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enablplanning.sharepoint.com/sites/EnablConsult/Shared Documents/Consultancy/01 - Projects/Planning/2026.005 Piccadilly Gardens/1.0 Application/2. Submitted Reports/1.Original/"/>
    </mc:Choice>
  </mc:AlternateContent>
  <xr:revisionPtr revIDLastSave="0" documentId="13_ncr:1_{C463C9F9-8E5D-E346-90AB-81336C1F4594}" xr6:coauthVersionLast="47" xr6:coauthVersionMax="47" xr10:uidLastSave="{00000000-0000-0000-0000-000000000000}"/>
  <workbookProtection workbookAlgorithmName="SHA-512" workbookHashValue="NneCg8SzDJsxyc9POdNbZLYx8cXKKGP9vAmhDlBjo0Kd2lDwVjQHgmebnuN6jast5otxuxXvTYyveqn4IuDD5g==" workbookSaltValue="P+f5BRdFzYCBaDc57kM8aQ==" workbookSpinCount="100000" lockStructure="1"/>
  <bookViews>
    <workbookView xWindow="-108" yWindow="-108" windowWidth="23256" windowHeight="14856" tabRatio="805" xr2:uid="{A0C4E534-BA80-4CBA-9B59-F839394148DA}"/>
  </bookViews>
  <sheets>
    <sheet name="Cover Sheet" sheetId="1" r:id="rId1"/>
    <sheet name="Revision" sheetId="2" r:id="rId2"/>
    <sheet name="Project Details" sheetId="3" r:id="rId3"/>
    <sheet name="Waste Actions" sheetId="6" r:id="rId4"/>
    <sheet name="Conversion Calculator" sheetId="7" r:id="rId5"/>
    <sheet name="Waste Forecast" sheetId="8" r:id="rId6"/>
    <sheet name="Legislative Checks" sheetId="9" r:id="rId7"/>
    <sheet name="Exemption Tracking" sheetId="10" r:id="rId8"/>
    <sheet name="Waste Tracking" sheetId="11" r:id="rId9"/>
    <sheet name="Data Sheet" sheetId="5" state="hidden" r:id="rId10"/>
    <sheet name="Project KPI's" sheetId="12" r:id="rId11"/>
    <sheet name="Reporting" sheetId="13" r:id="rId12"/>
    <sheet name="Project Cumulative " sheetId="14" r:id="rId13"/>
    <sheet name="Q1 2026" sheetId="43" r:id="rId14"/>
    <sheet name="Q2 2026" sheetId="44" r:id="rId15"/>
    <sheet name="Q3 2026" sheetId="47" r:id="rId16"/>
    <sheet name="Q4 2026" sheetId="48" r:id="rId17"/>
    <sheet name="Jan 26" sheetId="19" r:id="rId18"/>
    <sheet name="Feb 26" sheetId="33" r:id="rId19"/>
    <sheet name="Mar 26" sheetId="34" r:id="rId20"/>
    <sheet name="Apr 26" sheetId="32" r:id="rId21"/>
    <sheet name="May 26" sheetId="35" r:id="rId22"/>
    <sheet name="Jun 26" sheetId="36" r:id="rId23"/>
    <sheet name="Jul 26" sheetId="37" r:id="rId24"/>
    <sheet name="Aug 26" sheetId="38" r:id="rId25"/>
    <sheet name="Sept 26" sheetId="39" r:id="rId26"/>
    <sheet name="Oct 26" sheetId="40" r:id="rId27"/>
    <sheet name="Nov 26" sheetId="41" r:id="rId28"/>
    <sheet name="Dec 26" sheetId="42" r:id="rId29"/>
    <sheet name="Q1 2027" sheetId="49" r:id="rId30"/>
    <sheet name="Q2 2027" sheetId="50" r:id="rId31"/>
    <sheet name="Q3 2027" sheetId="51" r:id="rId32"/>
    <sheet name="Q4 2027" sheetId="52" r:id="rId33"/>
    <sheet name="Jan 27" sheetId="53" r:id="rId34"/>
    <sheet name="Feb 27" sheetId="54" r:id="rId35"/>
    <sheet name="Mar 27" sheetId="55" r:id="rId36"/>
    <sheet name="Apr 27" sheetId="56" r:id="rId37"/>
    <sheet name="May 27" sheetId="57" r:id="rId38"/>
    <sheet name="Jun 27" sheetId="58" r:id="rId39"/>
    <sheet name="Jul 27" sheetId="59" r:id="rId40"/>
    <sheet name="Aug 27" sheetId="60" r:id="rId41"/>
    <sheet name="Sept 27" sheetId="61" r:id="rId42"/>
    <sheet name="Oct 27" sheetId="62" r:id="rId43"/>
    <sheet name="Nov 27" sheetId="63" r:id="rId44"/>
    <sheet name="Dec 27" sheetId="64" r:id="rId45"/>
    <sheet name="Q1 2028" sheetId="65" r:id="rId46"/>
    <sheet name="Q2 2028" sheetId="66" r:id="rId47"/>
    <sheet name="Q3 2028" sheetId="67" r:id="rId48"/>
    <sheet name="Q4 2028" sheetId="68" r:id="rId49"/>
    <sheet name="Jan 28" sheetId="69" r:id="rId50"/>
    <sheet name="Feb 28" sheetId="70" r:id="rId51"/>
    <sheet name="Mar 28" sheetId="71" r:id="rId52"/>
    <sheet name="Apr 28" sheetId="72" r:id="rId53"/>
    <sheet name="May 28" sheetId="73" r:id="rId54"/>
    <sheet name="Jun 28" sheetId="74" r:id="rId55"/>
    <sheet name="Jul 28" sheetId="75" r:id="rId56"/>
    <sheet name="Aug 28" sheetId="76" r:id="rId57"/>
    <sheet name="Sept 28" sheetId="77" r:id="rId58"/>
    <sheet name="Oct 28" sheetId="78" r:id="rId59"/>
    <sheet name="Nov 28" sheetId="79" r:id="rId60"/>
    <sheet name="Dec 28" sheetId="80" r:id="rId61"/>
    <sheet name="Q1 2029" sheetId="81" r:id="rId62"/>
    <sheet name="Q2 2029" sheetId="82" r:id="rId63"/>
    <sheet name="Q3 2029" sheetId="83" r:id="rId64"/>
    <sheet name="Q4 2029" sheetId="84" r:id="rId65"/>
    <sheet name="Jan 29" sheetId="85" r:id="rId66"/>
    <sheet name="Feb 29" sheetId="86" r:id="rId67"/>
    <sheet name="Mar 29" sheetId="87" r:id="rId68"/>
    <sheet name="Apr 29" sheetId="88" r:id="rId69"/>
    <sheet name="May 29" sheetId="89" r:id="rId70"/>
    <sheet name="Jun 29" sheetId="90" r:id="rId71"/>
    <sheet name="Jul 29" sheetId="91" r:id="rId72"/>
    <sheet name="Aug 29" sheetId="92" r:id="rId73"/>
    <sheet name="Sept 29" sheetId="93" r:id="rId74"/>
    <sheet name="Oct 29" sheetId="94" r:id="rId75"/>
    <sheet name="Nov 29" sheetId="95" r:id="rId76"/>
    <sheet name="Dec 29" sheetId="96" r:id="rId77"/>
    <sheet name="Q1 2030" sheetId="97" r:id="rId78"/>
    <sheet name="Q2 2030" sheetId="98" r:id="rId79"/>
    <sheet name="Q3 2030" sheetId="99" r:id="rId80"/>
    <sheet name="Q4 2030" sheetId="100" r:id="rId81"/>
    <sheet name="Jan 30" sheetId="101" r:id="rId82"/>
    <sheet name="Feb 30" sheetId="102" r:id="rId83"/>
    <sheet name="Mar 30" sheetId="103" r:id="rId84"/>
    <sheet name="Apr 30" sheetId="104" r:id="rId85"/>
    <sheet name="May 30" sheetId="105" r:id="rId86"/>
    <sheet name="Jun 30" sheetId="106" r:id="rId87"/>
    <sheet name="Jul 30" sheetId="107" r:id="rId88"/>
    <sheet name="Aug 30" sheetId="108" r:id="rId89"/>
    <sheet name="Sept 30" sheetId="109" r:id="rId90"/>
    <sheet name="Oct 30" sheetId="110" r:id="rId91"/>
    <sheet name="Nov 30" sheetId="111" r:id="rId92"/>
    <sheet name="Dec 30" sheetId="112" r:id="rId93"/>
  </sheets>
  <definedNames>
    <definedName name="_xlnm._FilterDatabase" localSheetId="12" hidden="1">'Project Cumulative '!$O$7:$AJ$99</definedName>
    <definedName name="Container_Size">'Data Sheet'!$J$7:$J$44</definedName>
    <definedName name="Container_Volume">'Data Sheet'!$J$7:$K$44</definedName>
    <definedName name="Copy_Permit">'Data Sheet'!$H$59:$H$61</definedName>
    <definedName name="Division">'Data Sheet'!$H$7:$H$8</definedName>
    <definedName name="EWC">'Data Sheet'!$B$7:$E$139</definedName>
    <definedName name="Exemption_Desc">'Data Sheet'!$Q$7:$Q$46</definedName>
    <definedName name="Exemption_Type">'Data Sheet'!$P$7:$P$46</definedName>
    <definedName name="Forecast_Waste1">'Data Sheet'!$B$144:$B$171</definedName>
    <definedName name="KPI">'Data Sheet'!$N$8:$N$15</definedName>
    <definedName name="KPI_2">'Waste Forecast'!$AA$455:$AG$490</definedName>
    <definedName name="KPI_3">'Project Cumulative '!$O$467:$V$503</definedName>
    <definedName name="KPI_4">'Project Cumulative '!$O$509:$V$532</definedName>
    <definedName name="KPIS_List">'Data Sheet'!#REF!</definedName>
    <definedName name="Material_Stream">'Data Sheet'!$H$27:$H$39</definedName>
    <definedName name="Permit_Type">'Data Sheet'!$H$42:$H$47</definedName>
    <definedName name="_xlnm.Print_Area" localSheetId="12">'Project Cumulative '!$A$1:$L$35</definedName>
    <definedName name="_xlnm.Print_Area" localSheetId="2">'Project Details'!$A$1:$H$111</definedName>
    <definedName name="_xlnm.Print_Area" localSheetId="10">'Project KPI''s'!$B$2:$G$79</definedName>
    <definedName name="_xlnm.Print_Area" localSheetId="11">Reporting!$B$2:$X$43</definedName>
    <definedName name="_xlnm.Print_Area" localSheetId="1">Revision!$C$2:$N$61</definedName>
    <definedName name="_xlnm.Print_Area" localSheetId="5">'Waste Forecast'!$B$2:$L$31</definedName>
    <definedName name="_xlnm.Print_Area" localSheetId="8">'Waste Tracking'!$B$2:$O$5908</definedName>
    <definedName name="Reporta">'Project Cumulative '!$O$10:$O$116</definedName>
    <definedName name="Waste_Actions">'Data Sheet'!$H$23:$H$24</definedName>
    <definedName name="Waste_Activity">'Data Sheet'!$H$11:$H$13</definedName>
    <definedName name="Waste_Options">'Data Sheet'!$H$16:$H$20</definedName>
    <definedName name="Waste_Report1">'Waste Forecast'!$Y$7:$AG$110</definedName>
    <definedName name="Waste_Report2">'Project Cumulative '!$O$10:$W$116</definedName>
    <definedName name="Waste_Type">'Data Sheet'!$B$7:$B$140</definedName>
    <definedName name="WM_Facility">'Data Sheet'!$H$50:$H$56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03" l="1"/>
  <c r="C5" i="104"/>
  <c r="C5" i="105"/>
  <c r="C5" i="106"/>
  <c r="C5" i="107"/>
  <c r="C5" i="108"/>
  <c r="C5" i="109"/>
  <c r="C5" i="110"/>
  <c r="C5" i="111"/>
  <c r="C5" i="112"/>
  <c r="C5" i="102"/>
  <c r="C5" i="101"/>
  <c r="C5" i="87"/>
  <c r="C5" i="88"/>
  <c r="C5" i="89"/>
  <c r="C5" i="90"/>
  <c r="C5" i="91"/>
  <c r="C5" i="92"/>
  <c r="C5" i="93"/>
  <c r="C5" i="94"/>
  <c r="C5" i="95"/>
  <c r="C5" i="96"/>
  <c r="C5" i="86"/>
  <c r="C5" i="85"/>
  <c r="C5" i="71"/>
  <c r="C5" i="72"/>
  <c r="C5" i="73"/>
  <c r="C5" i="74"/>
  <c r="C5" i="75"/>
  <c r="C5" i="76"/>
  <c r="C5" i="77"/>
  <c r="C5" i="78"/>
  <c r="C5" i="79"/>
  <c r="C5" i="80"/>
  <c r="C5" i="70"/>
  <c r="C5" i="69"/>
  <c r="C5" i="61"/>
  <c r="C5" i="62"/>
  <c r="C5" i="63"/>
  <c r="C5" i="64"/>
  <c r="C5" i="60"/>
  <c r="C5" i="59"/>
  <c r="C5" i="58"/>
  <c r="C5" i="57"/>
  <c r="C5" i="56"/>
  <c r="C5" i="55"/>
  <c r="C5" i="54"/>
  <c r="C5" i="53"/>
  <c r="G23" i="100"/>
  <c r="K5" i="101"/>
  <c r="K5" i="102"/>
  <c r="K5" i="103"/>
  <c r="K5" i="104"/>
  <c r="K5" i="105"/>
  <c r="K5" i="106"/>
  <c r="K5" i="107"/>
  <c r="K5" i="108"/>
  <c r="K5" i="109"/>
  <c r="K5" i="110"/>
  <c r="K5" i="111"/>
  <c r="K5" i="112"/>
  <c r="K5" i="86"/>
  <c r="K5" i="87"/>
  <c r="K5" i="88"/>
  <c r="K5" i="89"/>
  <c r="K5" i="90"/>
  <c r="K5" i="91"/>
  <c r="K5" i="92"/>
  <c r="K5" i="93"/>
  <c r="K5" i="94"/>
  <c r="K5" i="95"/>
  <c r="K5" i="96"/>
  <c r="K5" i="85"/>
  <c r="K5" i="70"/>
  <c r="K5" i="71"/>
  <c r="K5" i="72"/>
  <c r="K5" i="73"/>
  <c r="K5" i="74"/>
  <c r="K5" i="75"/>
  <c r="K5" i="76"/>
  <c r="K5" i="77"/>
  <c r="K5" i="78"/>
  <c r="K5" i="79"/>
  <c r="K5" i="80"/>
  <c r="K5" i="69"/>
  <c r="K5" i="54"/>
  <c r="K5" i="55"/>
  <c r="K5" i="56"/>
  <c r="K5" i="57"/>
  <c r="K5" i="58"/>
  <c r="K5" i="59"/>
  <c r="K5" i="60"/>
  <c r="K5" i="61"/>
  <c r="K5" i="62"/>
  <c r="K5" i="63"/>
  <c r="K5" i="64"/>
  <c r="K5" i="53"/>
  <c r="K5" i="33"/>
  <c r="K5" i="34"/>
  <c r="K5" i="32"/>
  <c r="K5" i="35"/>
  <c r="K5" i="36"/>
  <c r="K5" i="37"/>
  <c r="K5" i="38"/>
  <c r="K5" i="39"/>
  <c r="K5" i="40"/>
  <c r="K5" i="41"/>
  <c r="K5" i="42"/>
  <c r="K5" i="19"/>
  <c r="J5" i="98"/>
  <c r="J5" i="99"/>
  <c r="J5" i="100"/>
  <c r="J5" i="97"/>
  <c r="J5" i="82"/>
  <c r="J5" i="83"/>
  <c r="J5" i="84"/>
  <c r="J5" i="81"/>
  <c r="J5" i="66"/>
  <c r="J5" i="67"/>
  <c r="J5" i="68"/>
  <c r="J5" i="65"/>
  <c r="J5" i="50"/>
  <c r="J5" i="51"/>
  <c r="J5" i="52"/>
  <c r="J5" i="49"/>
  <c r="J5" i="48"/>
  <c r="J5" i="47"/>
  <c r="J5" i="44"/>
  <c r="J5" i="43"/>
  <c r="N5" i="9"/>
  <c r="I5" i="14"/>
  <c r="C5" i="34"/>
  <c r="C5" i="32"/>
  <c r="C5" i="35"/>
  <c r="C5" i="36"/>
  <c r="C5" i="37"/>
  <c r="C5" i="38"/>
  <c r="C5" i="39"/>
  <c r="C5" i="40"/>
  <c r="C5" i="41"/>
  <c r="C5" i="42"/>
  <c r="C5" i="33"/>
  <c r="C5" i="19"/>
  <c r="C5" i="98"/>
  <c r="C5" i="99"/>
  <c r="C5" i="100"/>
  <c r="C5" i="97"/>
  <c r="C5" i="82"/>
  <c r="C5" i="83"/>
  <c r="C5" i="84"/>
  <c r="C5" i="81"/>
  <c r="C5" i="66"/>
  <c r="C5" i="67"/>
  <c r="C5" i="68"/>
  <c r="C5" i="65"/>
  <c r="C5" i="50"/>
  <c r="C5" i="51"/>
  <c r="C5" i="52"/>
  <c r="C5" i="49"/>
  <c r="C5" i="47"/>
  <c r="C5" i="48"/>
  <c r="C5" i="44"/>
  <c r="C5" i="43"/>
  <c r="C5" i="14"/>
  <c r="E5" i="9"/>
  <c r="D27" i="7"/>
  <c r="T9" i="5" l="1"/>
  <c r="G16" i="13"/>
  <c r="T13" i="5"/>
  <c r="I4" i="14"/>
  <c r="I3" i="14"/>
  <c r="C4" i="14"/>
  <c r="C3" i="14"/>
  <c r="C2" i="14"/>
  <c r="AR13" i="10"/>
  <c r="AR12" i="10"/>
  <c r="AR11" i="10"/>
  <c r="AR10" i="10"/>
  <c r="AR9" i="10"/>
  <c r="AR8" i="10"/>
  <c r="AR7" i="10"/>
  <c r="E48" i="9"/>
  <c r="E47" i="9"/>
  <c r="E46" i="9"/>
  <c r="E45" i="9"/>
  <c r="E44" i="9"/>
  <c r="E43" i="9"/>
  <c r="E42" i="9"/>
  <c r="E41" i="9"/>
  <c r="N3" i="9"/>
  <c r="E4" i="9"/>
  <c r="E3" i="9"/>
  <c r="E2" i="9"/>
  <c r="AG489" i="8"/>
  <c r="J4" i="98"/>
  <c r="C4" i="98"/>
  <c r="J3" i="98"/>
  <c r="C3" i="98"/>
  <c r="C2" i="98"/>
  <c r="J4" i="99"/>
  <c r="C4" i="99"/>
  <c r="J3" i="99"/>
  <c r="C3" i="99"/>
  <c r="C2" i="99"/>
  <c r="J4" i="100"/>
  <c r="C4" i="100"/>
  <c r="J3" i="100"/>
  <c r="C3" i="100"/>
  <c r="C2" i="100"/>
  <c r="J4" i="97"/>
  <c r="C4" i="97"/>
  <c r="J3" i="97"/>
  <c r="C3" i="97"/>
  <c r="C2" i="97"/>
  <c r="J4" i="81"/>
  <c r="C4" i="81"/>
  <c r="J3" i="81"/>
  <c r="C3" i="81"/>
  <c r="C2" i="81"/>
  <c r="J4" i="82"/>
  <c r="C4" i="82"/>
  <c r="J3" i="82"/>
  <c r="C3" i="82"/>
  <c r="C2" i="82"/>
  <c r="J4" i="83"/>
  <c r="C4" i="83"/>
  <c r="J3" i="83"/>
  <c r="C3" i="83"/>
  <c r="C2" i="83"/>
  <c r="J4" i="84"/>
  <c r="C4" i="84"/>
  <c r="J3" i="84"/>
  <c r="C3" i="84"/>
  <c r="C2" i="84"/>
  <c r="J4" i="66"/>
  <c r="C4" i="66"/>
  <c r="J3" i="66"/>
  <c r="C3" i="66"/>
  <c r="C2" i="66"/>
  <c r="J4" i="67"/>
  <c r="C4" i="67"/>
  <c r="J3" i="67"/>
  <c r="C3" i="67"/>
  <c r="C2" i="67"/>
  <c r="J4" i="68"/>
  <c r="C4" i="68"/>
  <c r="J3" i="68"/>
  <c r="C3" i="68"/>
  <c r="C2" i="68"/>
  <c r="J4" i="65"/>
  <c r="C4" i="65"/>
  <c r="J3" i="65"/>
  <c r="C3" i="65"/>
  <c r="C2" i="65"/>
  <c r="J4" i="50"/>
  <c r="C4" i="50"/>
  <c r="J3" i="50"/>
  <c r="C3" i="50"/>
  <c r="C2" i="50"/>
  <c r="J4" i="51"/>
  <c r="C4" i="51"/>
  <c r="J3" i="51"/>
  <c r="C3" i="51"/>
  <c r="C2" i="51"/>
  <c r="J4" i="52"/>
  <c r="C4" i="52"/>
  <c r="J3" i="52"/>
  <c r="C3" i="52"/>
  <c r="C2" i="52"/>
  <c r="J4" i="49"/>
  <c r="C4" i="49"/>
  <c r="J3" i="49"/>
  <c r="C3" i="49"/>
  <c r="C2" i="49"/>
  <c r="K4" i="102"/>
  <c r="C4" i="102"/>
  <c r="K3" i="102"/>
  <c r="C3" i="102"/>
  <c r="C2" i="102"/>
  <c r="K4" i="103"/>
  <c r="C4" i="103"/>
  <c r="K3" i="103"/>
  <c r="C3" i="103"/>
  <c r="C2" i="103"/>
  <c r="K4" i="104"/>
  <c r="C4" i="104"/>
  <c r="K3" i="104"/>
  <c r="C3" i="104"/>
  <c r="C2" i="104"/>
  <c r="K4" i="105"/>
  <c r="C4" i="105"/>
  <c r="K3" i="105"/>
  <c r="C3" i="105"/>
  <c r="C2" i="105"/>
  <c r="K4" i="106"/>
  <c r="C4" i="106"/>
  <c r="K3" i="106"/>
  <c r="C3" i="106"/>
  <c r="C2" i="106"/>
  <c r="K4" i="107"/>
  <c r="C4" i="107"/>
  <c r="K3" i="107"/>
  <c r="C3" i="107"/>
  <c r="C2" i="107"/>
  <c r="K4" i="108"/>
  <c r="C4" i="108"/>
  <c r="K3" i="108"/>
  <c r="C3" i="108"/>
  <c r="C2" i="108"/>
  <c r="K4" i="109"/>
  <c r="C4" i="109"/>
  <c r="K3" i="109"/>
  <c r="C3" i="109"/>
  <c r="C2" i="109"/>
  <c r="K4" i="110"/>
  <c r="C4" i="110"/>
  <c r="K3" i="110"/>
  <c r="C3" i="110"/>
  <c r="C2" i="110"/>
  <c r="K4" i="111"/>
  <c r="C4" i="111"/>
  <c r="K3" i="111"/>
  <c r="C3" i="111"/>
  <c r="C2" i="111"/>
  <c r="K4" i="112"/>
  <c r="C4" i="112"/>
  <c r="K3" i="112"/>
  <c r="C3" i="112"/>
  <c r="C2" i="112"/>
  <c r="K4" i="101"/>
  <c r="C4" i="101"/>
  <c r="K3" i="101"/>
  <c r="C3" i="101"/>
  <c r="C2" i="101"/>
  <c r="K4" i="86"/>
  <c r="C4" i="86"/>
  <c r="K3" i="86"/>
  <c r="C3" i="86"/>
  <c r="C2" i="86"/>
  <c r="K4" i="87"/>
  <c r="C4" i="87"/>
  <c r="K3" i="87"/>
  <c r="C3" i="87"/>
  <c r="C2" i="87"/>
  <c r="K4" i="88"/>
  <c r="C4" i="88"/>
  <c r="K3" i="88"/>
  <c r="C3" i="88"/>
  <c r="C2" i="88"/>
  <c r="K4" i="89"/>
  <c r="C4" i="89"/>
  <c r="K3" i="89"/>
  <c r="C3" i="89"/>
  <c r="C2" i="89"/>
  <c r="K4" i="90"/>
  <c r="C4" i="90"/>
  <c r="K3" i="90"/>
  <c r="C3" i="90"/>
  <c r="C2" i="90"/>
  <c r="K4" i="91"/>
  <c r="C4" i="91"/>
  <c r="K3" i="91"/>
  <c r="C3" i="91"/>
  <c r="C2" i="91"/>
  <c r="K4" i="92"/>
  <c r="C4" i="92"/>
  <c r="K3" i="92"/>
  <c r="C3" i="92"/>
  <c r="C2" i="92"/>
  <c r="K4" i="93"/>
  <c r="C4" i="93"/>
  <c r="K3" i="93"/>
  <c r="C3" i="93"/>
  <c r="C2" i="93"/>
  <c r="K4" i="94"/>
  <c r="C4" i="94"/>
  <c r="K3" i="94"/>
  <c r="C3" i="94"/>
  <c r="C2" i="94"/>
  <c r="K4" i="95"/>
  <c r="C4" i="95"/>
  <c r="K3" i="95"/>
  <c r="C3" i="95"/>
  <c r="C2" i="95"/>
  <c r="K4" i="96"/>
  <c r="C4" i="96"/>
  <c r="K3" i="96"/>
  <c r="C3" i="96"/>
  <c r="C2" i="96"/>
  <c r="K4" i="85"/>
  <c r="C4" i="85"/>
  <c r="K3" i="85"/>
  <c r="C3" i="85"/>
  <c r="C2" i="85"/>
  <c r="K4" i="70"/>
  <c r="C4" i="70"/>
  <c r="K3" i="70"/>
  <c r="C3" i="70"/>
  <c r="C2" i="70"/>
  <c r="K4" i="71"/>
  <c r="C4" i="71"/>
  <c r="K3" i="71"/>
  <c r="C3" i="71"/>
  <c r="C2" i="71"/>
  <c r="K4" i="72"/>
  <c r="C4" i="72"/>
  <c r="K3" i="72"/>
  <c r="C3" i="72"/>
  <c r="C2" i="72"/>
  <c r="K4" i="73"/>
  <c r="C4" i="73"/>
  <c r="K3" i="73"/>
  <c r="C3" i="73"/>
  <c r="C2" i="73"/>
  <c r="K4" i="74"/>
  <c r="C4" i="74"/>
  <c r="K3" i="74"/>
  <c r="C3" i="74"/>
  <c r="C2" i="74"/>
  <c r="K4" i="75"/>
  <c r="C4" i="75"/>
  <c r="K3" i="75"/>
  <c r="C3" i="75"/>
  <c r="C2" i="75"/>
  <c r="K4" i="76"/>
  <c r="C4" i="76"/>
  <c r="K3" i="76"/>
  <c r="C3" i="76"/>
  <c r="C2" i="76"/>
  <c r="K4" i="77"/>
  <c r="C4" i="77"/>
  <c r="K3" i="77"/>
  <c r="C3" i="77"/>
  <c r="C2" i="77"/>
  <c r="K4" i="78"/>
  <c r="C4" i="78"/>
  <c r="K3" i="78"/>
  <c r="C3" i="78"/>
  <c r="C2" i="78"/>
  <c r="K4" i="79"/>
  <c r="C4" i="79"/>
  <c r="K3" i="79"/>
  <c r="C3" i="79"/>
  <c r="C2" i="79"/>
  <c r="K4" i="80"/>
  <c r="C4" i="80"/>
  <c r="K3" i="80"/>
  <c r="C3" i="80"/>
  <c r="C2" i="80"/>
  <c r="K4" i="69"/>
  <c r="C4" i="69"/>
  <c r="K3" i="69"/>
  <c r="C3" i="69"/>
  <c r="C2" i="69"/>
  <c r="K4" i="54"/>
  <c r="C4" i="54"/>
  <c r="K3" i="54"/>
  <c r="C3" i="54"/>
  <c r="C2" i="54"/>
  <c r="K4" i="55"/>
  <c r="C4" i="55"/>
  <c r="K3" i="55"/>
  <c r="C3" i="55"/>
  <c r="C2" i="55"/>
  <c r="K4" i="56"/>
  <c r="C4" i="56"/>
  <c r="K3" i="56"/>
  <c r="C3" i="56"/>
  <c r="C2" i="56"/>
  <c r="K4" i="57"/>
  <c r="C4" i="57"/>
  <c r="K3" i="57"/>
  <c r="C3" i="57"/>
  <c r="C2" i="57"/>
  <c r="K4" i="58"/>
  <c r="C4" i="58"/>
  <c r="K3" i="58"/>
  <c r="C3" i="58"/>
  <c r="C2" i="58"/>
  <c r="K4" i="59"/>
  <c r="C4" i="59"/>
  <c r="K3" i="59"/>
  <c r="C3" i="59"/>
  <c r="C2" i="59"/>
  <c r="K4" i="60"/>
  <c r="C4" i="60"/>
  <c r="K3" i="60"/>
  <c r="C3" i="60"/>
  <c r="C2" i="60"/>
  <c r="K4" i="61"/>
  <c r="C4" i="61"/>
  <c r="K3" i="61"/>
  <c r="C3" i="61"/>
  <c r="C2" i="61"/>
  <c r="K4" i="62"/>
  <c r="C4" i="62"/>
  <c r="K3" i="62"/>
  <c r="C3" i="62"/>
  <c r="C2" i="62"/>
  <c r="K4" i="63"/>
  <c r="C4" i="63"/>
  <c r="K3" i="63"/>
  <c r="C3" i="63"/>
  <c r="C2" i="63"/>
  <c r="K4" i="64"/>
  <c r="C4" i="64"/>
  <c r="K3" i="64"/>
  <c r="C3" i="64"/>
  <c r="C2" i="64"/>
  <c r="K4" i="53"/>
  <c r="C4" i="53"/>
  <c r="K3" i="53"/>
  <c r="C3" i="53"/>
  <c r="C2" i="53"/>
  <c r="K4" i="42"/>
  <c r="C4" i="42"/>
  <c r="K3" i="42"/>
  <c r="C3" i="42"/>
  <c r="C2" i="42"/>
  <c r="K4" i="41"/>
  <c r="C4" i="41"/>
  <c r="K3" i="41"/>
  <c r="C3" i="41"/>
  <c r="C2" i="41"/>
  <c r="K4" i="40"/>
  <c r="C4" i="40"/>
  <c r="K3" i="40"/>
  <c r="C3" i="40"/>
  <c r="C2" i="40"/>
  <c r="K4" i="39"/>
  <c r="C4" i="39"/>
  <c r="K3" i="39"/>
  <c r="C3" i="39"/>
  <c r="C2" i="39"/>
  <c r="K4" i="38"/>
  <c r="C4" i="38"/>
  <c r="K3" i="38"/>
  <c r="C3" i="38"/>
  <c r="C2" i="38"/>
  <c r="K4" i="37"/>
  <c r="C4" i="37"/>
  <c r="K3" i="37"/>
  <c r="C3" i="37"/>
  <c r="C2" i="37"/>
  <c r="K4" i="36"/>
  <c r="C4" i="36"/>
  <c r="K3" i="36"/>
  <c r="C3" i="36"/>
  <c r="C2" i="36"/>
  <c r="K4" i="35"/>
  <c r="C4" i="35"/>
  <c r="K3" i="35"/>
  <c r="C3" i="35"/>
  <c r="C2" i="35"/>
  <c r="K4" i="32"/>
  <c r="C4" i="32"/>
  <c r="K3" i="32"/>
  <c r="C3" i="32"/>
  <c r="C2" i="32"/>
  <c r="K4" i="34"/>
  <c r="C4" i="34"/>
  <c r="K3" i="34"/>
  <c r="C3" i="34"/>
  <c r="C2" i="34"/>
  <c r="K4" i="33"/>
  <c r="C4" i="33"/>
  <c r="K3" i="33"/>
  <c r="C3" i="33"/>
  <c r="C2" i="33"/>
  <c r="K4" i="19"/>
  <c r="K3" i="19"/>
  <c r="C4" i="19"/>
  <c r="C3" i="19"/>
  <c r="C2" i="19"/>
  <c r="J4" i="48"/>
  <c r="C4" i="48"/>
  <c r="J3" i="48"/>
  <c r="C3" i="48"/>
  <c r="C2" i="48"/>
  <c r="J4" i="47"/>
  <c r="C4" i="47"/>
  <c r="J3" i="47"/>
  <c r="C3" i="47"/>
  <c r="C2" i="47"/>
  <c r="C2" i="44"/>
  <c r="J4" i="44"/>
  <c r="J3" i="44"/>
  <c r="C4" i="44"/>
  <c r="C3" i="44"/>
  <c r="J4" i="43"/>
  <c r="J3" i="43"/>
  <c r="C4" i="43"/>
  <c r="C3" i="43"/>
  <c r="C2" i="43"/>
  <c r="O36" i="112" l="1"/>
  <c r="K36" i="112"/>
  <c r="J36" i="112"/>
  <c r="H36" i="112"/>
  <c r="G36" i="112"/>
  <c r="S35" i="112"/>
  <c r="R35" i="112"/>
  <c r="P35" i="112"/>
  <c r="N35" i="112"/>
  <c r="M35" i="112"/>
  <c r="F35" i="112"/>
  <c r="C35" i="112"/>
  <c r="B35" i="112"/>
  <c r="A35" i="112"/>
  <c r="S34" i="112"/>
  <c r="R34" i="112"/>
  <c r="N34" i="112"/>
  <c r="M34" i="112"/>
  <c r="F34" i="112"/>
  <c r="C34" i="112"/>
  <c r="B34" i="112"/>
  <c r="A34" i="112"/>
  <c r="P34" i="112" s="1"/>
  <c r="S33" i="112"/>
  <c r="R33" i="112"/>
  <c r="N33" i="112"/>
  <c r="M33" i="112"/>
  <c r="F33" i="112"/>
  <c r="C33" i="112"/>
  <c r="B33" i="112"/>
  <c r="A33" i="112"/>
  <c r="P33" i="112" s="1"/>
  <c r="S32" i="112"/>
  <c r="R32" i="112"/>
  <c r="N32" i="112"/>
  <c r="M32" i="112"/>
  <c r="F32" i="112"/>
  <c r="C32" i="112"/>
  <c r="B32" i="112"/>
  <c r="A32" i="112"/>
  <c r="P32" i="112" s="1"/>
  <c r="S31" i="112"/>
  <c r="R31" i="112"/>
  <c r="N31" i="112"/>
  <c r="M31" i="112"/>
  <c r="F31" i="112"/>
  <c r="C31" i="112"/>
  <c r="B31" i="112"/>
  <c r="A31" i="112"/>
  <c r="P31" i="112" s="1"/>
  <c r="S30" i="112"/>
  <c r="R30" i="112"/>
  <c r="P30" i="112"/>
  <c r="N30" i="112"/>
  <c r="M30" i="112"/>
  <c r="F30" i="112"/>
  <c r="C30" i="112"/>
  <c r="B30" i="112"/>
  <c r="A30" i="112"/>
  <c r="S29" i="112"/>
  <c r="R29" i="112"/>
  <c r="P29" i="112"/>
  <c r="N29" i="112"/>
  <c r="M29" i="112"/>
  <c r="F29" i="112"/>
  <c r="C29" i="112"/>
  <c r="B29" i="112"/>
  <c r="A29" i="112"/>
  <c r="S28" i="112"/>
  <c r="R28" i="112"/>
  <c r="P28" i="112"/>
  <c r="N28" i="112"/>
  <c r="M28" i="112"/>
  <c r="F28" i="112"/>
  <c r="C28" i="112"/>
  <c r="B28" i="112"/>
  <c r="A28" i="112"/>
  <c r="S27" i="112"/>
  <c r="R27" i="112"/>
  <c r="P27" i="112"/>
  <c r="N27" i="112"/>
  <c r="M27" i="112"/>
  <c r="F27" i="112"/>
  <c r="C27" i="112"/>
  <c r="B27" i="112"/>
  <c r="A27" i="112"/>
  <c r="S26" i="112"/>
  <c r="R26" i="112"/>
  <c r="N26" i="112"/>
  <c r="M26" i="112"/>
  <c r="F26" i="112"/>
  <c r="C26" i="112"/>
  <c r="B26" i="112"/>
  <c r="A26" i="112"/>
  <c r="P26" i="112" s="1"/>
  <c r="S25" i="112"/>
  <c r="R25" i="112"/>
  <c r="N25" i="112"/>
  <c r="M25" i="112"/>
  <c r="F25" i="112"/>
  <c r="C25" i="112"/>
  <c r="B25" i="112"/>
  <c r="A25" i="112"/>
  <c r="P25" i="112" s="1"/>
  <c r="S24" i="112"/>
  <c r="R24" i="112"/>
  <c r="N24" i="112"/>
  <c r="M24" i="112"/>
  <c r="F24" i="112"/>
  <c r="C24" i="112"/>
  <c r="B24" i="112"/>
  <c r="A24" i="112"/>
  <c r="P24" i="112" s="1"/>
  <c r="S23" i="112"/>
  <c r="R23" i="112"/>
  <c r="N23" i="112"/>
  <c r="M23" i="112"/>
  <c r="F23" i="112"/>
  <c r="C23" i="112"/>
  <c r="B23" i="112"/>
  <c r="A23" i="112"/>
  <c r="P23" i="112" s="1"/>
  <c r="S22" i="112"/>
  <c r="R22" i="112"/>
  <c r="P22" i="112"/>
  <c r="N22" i="112"/>
  <c r="M22" i="112"/>
  <c r="F22" i="112"/>
  <c r="C22" i="112"/>
  <c r="B22" i="112"/>
  <c r="A22" i="112"/>
  <c r="S21" i="112"/>
  <c r="R21" i="112"/>
  <c r="P21" i="112"/>
  <c r="N21" i="112"/>
  <c r="M21" i="112"/>
  <c r="F21" i="112"/>
  <c r="C21" i="112"/>
  <c r="B21" i="112"/>
  <c r="A21" i="112"/>
  <c r="S20" i="112"/>
  <c r="R20" i="112"/>
  <c r="N20" i="112"/>
  <c r="M20" i="112"/>
  <c r="F20" i="112"/>
  <c r="C20" i="112"/>
  <c r="B20" i="112"/>
  <c r="A20" i="112"/>
  <c r="S19" i="112"/>
  <c r="R19" i="112"/>
  <c r="N19" i="112"/>
  <c r="M19" i="112"/>
  <c r="F19" i="112"/>
  <c r="C19" i="112"/>
  <c r="B19" i="112"/>
  <c r="A19" i="112"/>
  <c r="S18" i="112"/>
  <c r="R18" i="112"/>
  <c r="N18" i="112"/>
  <c r="M18" i="112"/>
  <c r="F18" i="112"/>
  <c r="C18" i="112"/>
  <c r="B18" i="112"/>
  <c r="A18" i="112"/>
  <c r="S17" i="112"/>
  <c r="R17" i="112"/>
  <c r="N17" i="112"/>
  <c r="M17" i="112"/>
  <c r="F17" i="112"/>
  <c r="C17" i="112"/>
  <c r="B17" i="112"/>
  <c r="A17" i="112"/>
  <c r="S16" i="112"/>
  <c r="R16" i="112"/>
  <c r="N16" i="112"/>
  <c r="M16" i="112"/>
  <c r="F16" i="112"/>
  <c r="C16" i="112"/>
  <c r="B16" i="112"/>
  <c r="A16" i="112"/>
  <c r="S15" i="112"/>
  <c r="R15" i="112"/>
  <c r="N15" i="112"/>
  <c r="M15" i="112"/>
  <c r="M36" i="112" s="1"/>
  <c r="F15" i="112"/>
  <c r="C15" i="112"/>
  <c r="B15" i="112"/>
  <c r="A15" i="112"/>
  <c r="S14" i="112"/>
  <c r="R14" i="112"/>
  <c r="N14" i="112"/>
  <c r="M14" i="112"/>
  <c r="F14" i="112"/>
  <c r="C14" i="112"/>
  <c r="B14" i="112"/>
  <c r="A14" i="112"/>
  <c r="S13" i="112"/>
  <c r="R13" i="112"/>
  <c r="N13" i="112"/>
  <c r="M13" i="112"/>
  <c r="F13" i="112"/>
  <c r="C13" i="112"/>
  <c r="B13" i="112"/>
  <c r="A13" i="112"/>
  <c r="S12" i="112"/>
  <c r="R12" i="112"/>
  <c r="N12" i="112"/>
  <c r="M12" i="112"/>
  <c r="F12" i="112"/>
  <c r="C12" i="112"/>
  <c r="B12" i="112"/>
  <c r="A12" i="112"/>
  <c r="S11" i="112"/>
  <c r="R11" i="112"/>
  <c r="N11" i="112"/>
  <c r="N36" i="112" s="1"/>
  <c r="M11" i="112"/>
  <c r="F11" i="112"/>
  <c r="C11" i="112"/>
  <c r="B11" i="112"/>
  <c r="A11" i="112"/>
  <c r="O36" i="111"/>
  <c r="K36" i="111"/>
  <c r="J36" i="111"/>
  <c r="H36" i="111"/>
  <c r="G36" i="111"/>
  <c r="S35" i="111"/>
  <c r="R35" i="111"/>
  <c r="N35" i="111"/>
  <c r="M35" i="111"/>
  <c r="F35" i="111"/>
  <c r="C35" i="111"/>
  <c r="B35" i="111"/>
  <c r="A35" i="111"/>
  <c r="P35" i="111" s="1"/>
  <c r="S34" i="111"/>
  <c r="R34" i="111"/>
  <c r="N34" i="111"/>
  <c r="M34" i="111"/>
  <c r="F34" i="111"/>
  <c r="C34" i="111"/>
  <c r="B34" i="111"/>
  <c r="A34" i="111"/>
  <c r="P34" i="111" s="1"/>
  <c r="S33" i="111"/>
  <c r="R33" i="111"/>
  <c r="P33" i="111"/>
  <c r="N33" i="111"/>
  <c r="M33" i="111"/>
  <c r="F33" i="111"/>
  <c r="C33" i="111"/>
  <c r="B33" i="111"/>
  <c r="A33" i="111"/>
  <c r="S32" i="111"/>
  <c r="R32" i="111"/>
  <c r="N32" i="111"/>
  <c r="M32" i="111"/>
  <c r="F32" i="111"/>
  <c r="C32" i="111"/>
  <c r="B32" i="111"/>
  <c r="A32" i="111"/>
  <c r="P32" i="111" s="1"/>
  <c r="S31" i="111"/>
  <c r="R31" i="111"/>
  <c r="P31" i="111"/>
  <c r="N31" i="111"/>
  <c r="M31" i="111"/>
  <c r="F31" i="111"/>
  <c r="C31" i="111"/>
  <c r="B31" i="111"/>
  <c r="A31" i="111"/>
  <c r="S30" i="111"/>
  <c r="R30" i="111"/>
  <c r="P30" i="111"/>
  <c r="N30" i="111"/>
  <c r="M30" i="111"/>
  <c r="F30" i="111"/>
  <c r="C30" i="111"/>
  <c r="B30" i="111"/>
  <c r="A30" i="111"/>
  <c r="S29" i="111"/>
  <c r="R29" i="111"/>
  <c r="P29" i="111"/>
  <c r="N29" i="111"/>
  <c r="M29" i="111"/>
  <c r="F29" i="111"/>
  <c r="C29" i="111"/>
  <c r="B29" i="111"/>
  <c r="A29" i="111"/>
  <c r="S28" i="111"/>
  <c r="R28" i="111"/>
  <c r="N28" i="111"/>
  <c r="M28" i="111"/>
  <c r="F28" i="111"/>
  <c r="C28" i="111"/>
  <c r="B28" i="111"/>
  <c r="A28" i="111"/>
  <c r="P28" i="111" s="1"/>
  <c r="S27" i="111"/>
  <c r="R27" i="111"/>
  <c r="N27" i="111"/>
  <c r="M27" i="111"/>
  <c r="F27" i="111"/>
  <c r="C27" i="111"/>
  <c r="B27" i="111"/>
  <c r="A27" i="111"/>
  <c r="P27" i="111" s="1"/>
  <c r="S26" i="111"/>
  <c r="R26" i="111"/>
  <c r="N26" i="111"/>
  <c r="M26" i="111"/>
  <c r="F26" i="111"/>
  <c r="C26" i="111"/>
  <c r="B26" i="111"/>
  <c r="A26" i="111"/>
  <c r="P26" i="111" s="1"/>
  <c r="S25" i="111"/>
  <c r="R25" i="111"/>
  <c r="P25" i="111"/>
  <c r="N25" i="111"/>
  <c r="M25" i="111"/>
  <c r="I23" i="100" s="1"/>
  <c r="F25" i="111"/>
  <c r="C25" i="111"/>
  <c r="B25" i="111"/>
  <c r="A25" i="111"/>
  <c r="S24" i="111"/>
  <c r="R24" i="111"/>
  <c r="N24" i="111"/>
  <c r="M24" i="111"/>
  <c r="F24" i="111"/>
  <c r="C24" i="111"/>
  <c r="B24" i="111"/>
  <c r="A24" i="111"/>
  <c r="P24" i="111" s="1"/>
  <c r="S23" i="111"/>
  <c r="R23" i="111"/>
  <c r="P23" i="111"/>
  <c r="N23" i="111"/>
  <c r="M23" i="111"/>
  <c r="F23" i="111"/>
  <c r="C23" i="111"/>
  <c r="B23" i="111"/>
  <c r="A23" i="111"/>
  <c r="S22" i="111"/>
  <c r="R22" i="111"/>
  <c r="P22" i="111"/>
  <c r="N22" i="111"/>
  <c r="M22" i="111"/>
  <c r="F22" i="111"/>
  <c r="C22" i="111"/>
  <c r="B22" i="111"/>
  <c r="A22" i="111"/>
  <c r="S21" i="111"/>
  <c r="R21" i="111"/>
  <c r="P21" i="111"/>
  <c r="N21" i="111"/>
  <c r="M21" i="111"/>
  <c r="F21" i="111"/>
  <c r="C21" i="111"/>
  <c r="B21" i="111"/>
  <c r="A21" i="111"/>
  <c r="S20" i="111"/>
  <c r="R20" i="111"/>
  <c r="N20" i="111"/>
  <c r="M20" i="111"/>
  <c r="F20" i="111"/>
  <c r="C20" i="111"/>
  <c r="B20" i="111"/>
  <c r="A20" i="111"/>
  <c r="S19" i="111"/>
  <c r="R19" i="111"/>
  <c r="N19" i="111"/>
  <c r="M19" i="111"/>
  <c r="F19" i="111"/>
  <c r="C19" i="111"/>
  <c r="B19" i="111"/>
  <c r="A19" i="111"/>
  <c r="S18" i="111"/>
  <c r="R18" i="111"/>
  <c r="N18" i="111"/>
  <c r="M18" i="111"/>
  <c r="F18" i="111"/>
  <c r="C18" i="111"/>
  <c r="B18" i="111"/>
  <c r="A18" i="111"/>
  <c r="S17" i="111"/>
  <c r="R17" i="111"/>
  <c r="N17" i="111"/>
  <c r="M17" i="111"/>
  <c r="F17" i="111"/>
  <c r="C17" i="111"/>
  <c r="B17" i="111"/>
  <c r="A17" i="111"/>
  <c r="S16" i="111"/>
  <c r="R16" i="111"/>
  <c r="N16" i="111"/>
  <c r="M16" i="111"/>
  <c r="F16" i="111"/>
  <c r="C16" i="111"/>
  <c r="B16" i="111"/>
  <c r="A16" i="111"/>
  <c r="S15" i="111"/>
  <c r="R15" i="111"/>
  <c r="N15" i="111"/>
  <c r="M15" i="111"/>
  <c r="F15" i="111"/>
  <c r="C15" i="111"/>
  <c r="B15" i="111"/>
  <c r="A15" i="111"/>
  <c r="S14" i="111"/>
  <c r="R14" i="111"/>
  <c r="N14" i="111"/>
  <c r="M14" i="111"/>
  <c r="F14" i="111"/>
  <c r="C14" i="111"/>
  <c r="B14" i="111"/>
  <c r="A14" i="111"/>
  <c r="S13" i="111"/>
  <c r="R13" i="111"/>
  <c r="N13" i="111"/>
  <c r="M13" i="111"/>
  <c r="F13" i="111"/>
  <c r="C13" i="111"/>
  <c r="B13" i="111"/>
  <c r="A13" i="111"/>
  <c r="S12" i="111"/>
  <c r="R12" i="111"/>
  <c r="N12" i="111"/>
  <c r="M12" i="111"/>
  <c r="F12" i="111"/>
  <c r="C12" i="111"/>
  <c r="B12" i="111"/>
  <c r="A12" i="111"/>
  <c r="S11" i="111"/>
  <c r="R11" i="111"/>
  <c r="N11" i="111"/>
  <c r="M11" i="111"/>
  <c r="F11" i="111"/>
  <c r="C11" i="111"/>
  <c r="B11" i="111"/>
  <c r="A11" i="111"/>
  <c r="O36" i="110"/>
  <c r="K36" i="110"/>
  <c r="J36" i="110"/>
  <c r="H36" i="110"/>
  <c r="G36" i="110"/>
  <c r="S35" i="110"/>
  <c r="R35" i="110"/>
  <c r="P35" i="110"/>
  <c r="N35" i="110"/>
  <c r="M35" i="110"/>
  <c r="F35" i="110"/>
  <c r="C35" i="110"/>
  <c r="B35" i="110"/>
  <c r="A35" i="110"/>
  <c r="S34" i="110"/>
  <c r="R34" i="110"/>
  <c r="N34" i="110"/>
  <c r="M34" i="110"/>
  <c r="F34" i="110"/>
  <c r="C34" i="110"/>
  <c r="B34" i="110"/>
  <c r="A34" i="110"/>
  <c r="P34" i="110" s="1"/>
  <c r="S33" i="110"/>
  <c r="R33" i="110"/>
  <c r="P33" i="110"/>
  <c r="N33" i="110"/>
  <c r="M33" i="110"/>
  <c r="F33" i="110"/>
  <c r="C33" i="110"/>
  <c r="B33" i="110"/>
  <c r="A33" i="110"/>
  <c r="S32" i="110"/>
  <c r="R32" i="110"/>
  <c r="P32" i="110"/>
  <c r="N32" i="110"/>
  <c r="M32" i="110"/>
  <c r="F32" i="110"/>
  <c r="C32" i="110"/>
  <c r="B32" i="110"/>
  <c r="A32" i="110"/>
  <c r="S31" i="110"/>
  <c r="R31" i="110"/>
  <c r="P31" i="110"/>
  <c r="N31" i="110"/>
  <c r="M31" i="110"/>
  <c r="F31" i="110"/>
  <c r="C31" i="110"/>
  <c r="B31" i="110"/>
  <c r="A31" i="110"/>
  <c r="S30" i="110"/>
  <c r="R30" i="110"/>
  <c r="N30" i="110"/>
  <c r="M30" i="110"/>
  <c r="F30" i="110"/>
  <c r="C30" i="110"/>
  <c r="B30" i="110"/>
  <c r="A30" i="110"/>
  <c r="P30" i="110" s="1"/>
  <c r="S29" i="110"/>
  <c r="R29" i="110"/>
  <c r="N29" i="110"/>
  <c r="M29" i="110"/>
  <c r="F29" i="110"/>
  <c r="C29" i="110"/>
  <c r="B29" i="110"/>
  <c r="A29" i="110"/>
  <c r="P29" i="110" s="1"/>
  <c r="S28" i="110"/>
  <c r="R28" i="110"/>
  <c r="N28" i="110"/>
  <c r="M28" i="110"/>
  <c r="F28" i="110"/>
  <c r="C28" i="110"/>
  <c r="B28" i="110"/>
  <c r="A28" i="110"/>
  <c r="P28" i="110" s="1"/>
  <c r="S27" i="110"/>
  <c r="R27" i="110"/>
  <c r="P27" i="110"/>
  <c r="N27" i="110"/>
  <c r="M27" i="110"/>
  <c r="F27" i="110"/>
  <c r="C27" i="110"/>
  <c r="B27" i="110"/>
  <c r="A27" i="110"/>
  <c r="S26" i="110"/>
  <c r="R26" i="110"/>
  <c r="N26" i="110"/>
  <c r="M26" i="110"/>
  <c r="F26" i="110"/>
  <c r="C26" i="110"/>
  <c r="B26" i="110"/>
  <c r="A26" i="110"/>
  <c r="P26" i="110" s="1"/>
  <c r="S25" i="110"/>
  <c r="R25" i="110"/>
  <c r="P25" i="110"/>
  <c r="N25" i="110"/>
  <c r="M25" i="110"/>
  <c r="F25" i="110"/>
  <c r="C25" i="110"/>
  <c r="B25" i="110"/>
  <c r="A25" i="110"/>
  <c r="S24" i="110"/>
  <c r="R24" i="110"/>
  <c r="P24" i="110"/>
  <c r="N24" i="110"/>
  <c r="M24" i="110"/>
  <c r="F24" i="110"/>
  <c r="C24" i="110"/>
  <c r="B24" i="110"/>
  <c r="A24" i="110"/>
  <c r="S23" i="110"/>
  <c r="R23" i="110"/>
  <c r="P23" i="110"/>
  <c r="N23" i="110"/>
  <c r="M23" i="110"/>
  <c r="F23" i="110"/>
  <c r="C23" i="110"/>
  <c r="B23" i="110"/>
  <c r="A23" i="110"/>
  <c r="S22" i="110"/>
  <c r="R22" i="110"/>
  <c r="N22" i="110"/>
  <c r="M22" i="110"/>
  <c r="F22" i="110"/>
  <c r="C22" i="110"/>
  <c r="B22" i="110"/>
  <c r="A22" i="110"/>
  <c r="P22" i="110" s="1"/>
  <c r="S21" i="110"/>
  <c r="R21" i="110"/>
  <c r="N21" i="110"/>
  <c r="M21" i="110"/>
  <c r="F21" i="110"/>
  <c r="C21" i="110"/>
  <c r="B21" i="110"/>
  <c r="A21" i="110"/>
  <c r="P21" i="110" s="1"/>
  <c r="S20" i="110"/>
  <c r="R20" i="110"/>
  <c r="N20" i="110"/>
  <c r="M20" i="110"/>
  <c r="F20" i="110"/>
  <c r="C20" i="110"/>
  <c r="B20" i="110"/>
  <c r="A20" i="110"/>
  <c r="S19" i="110"/>
  <c r="R19" i="110"/>
  <c r="N19" i="110"/>
  <c r="M19" i="110"/>
  <c r="F19" i="110"/>
  <c r="C19" i="110"/>
  <c r="B19" i="110"/>
  <c r="A19" i="110"/>
  <c r="S18" i="110"/>
  <c r="R18" i="110"/>
  <c r="N18" i="110"/>
  <c r="M18" i="110"/>
  <c r="F18" i="110"/>
  <c r="C18" i="110"/>
  <c r="B18" i="110"/>
  <c r="A18" i="110"/>
  <c r="S17" i="110"/>
  <c r="R17" i="110"/>
  <c r="N17" i="110"/>
  <c r="M17" i="110"/>
  <c r="F17" i="110"/>
  <c r="C17" i="110"/>
  <c r="B17" i="110"/>
  <c r="A17" i="110"/>
  <c r="S16" i="110"/>
  <c r="R16" i="110"/>
  <c r="N16" i="110"/>
  <c r="M16" i="110"/>
  <c r="F16" i="110"/>
  <c r="C16" i="110"/>
  <c r="B16" i="110"/>
  <c r="A16" i="110"/>
  <c r="S15" i="110"/>
  <c r="R15" i="110"/>
  <c r="N15" i="110"/>
  <c r="M15" i="110"/>
  <c r="F15" i="110"/>
  <c r="C15" i="110"/>
  <c r="B15" i="110"/>
  <c r="A15" i="110"/>
  <c r="S14" i="110"/>
  <c r="R14" i="110"/>
  <c r="N14" i="110"/>
  <c r="M14" i="110"/>
  <c r="F14" i="110"/>
  <c r="C14" i="110"/>
  <c r="B14" i="110"/>
  <c r="A14" i="110"/>
  <c r="S13" i="110"/>
  <c r="R13" i="110"/>
  <c r="N13" i="110"/>
  <c r="M13" i="110"/>
  <c r="F13" i="110"/>
  <c r="C13" i="110"/>
  <c r="B13" i="110"/>
  <c r="A13" i="110"/>
  <c r="S12" i="110"/>
  <c r="R12" i="110"/>
  <c r="N12" i="110"/>
  <c r="M12" i="110"/>
  <c r="F12" i="110"/>
  <c r="C12" i="110"/>
  <c r="B12" i="110"/>
  <c r="A12" i="110"/>
  <c r="S11" i="110"/>
  <c r="R11" i="110"/>
  <c r="N11" i="110"/>
  <c r="N36" i="110" s="1"/>
  <c r="M11" i="110"/>
  <c r="F11" i="110"/>
  <c r="C11" i="110"/>
  <c r="B11" i="110"/>
  <c r="A11" i="110"/>
  <c r="O36" i="109"/>
  <c r="K36" i="109"/>
  <c r="J36" i="109"/>
  <c r="H36" i="109"/>
  <c r="G36" i="109"/>
  <c r="S35" i="109"/>
  <c r="R35" i="109"/>
  <c r="P35" i="109"/>
  <c r="N35" i="109"/>
  <c r="M35" i="109"/>
  <c r="F35" i="109"/>
  <c r="C35" i="109"/>
  <c r="B35" i="109"/>
  <c r="A35" i="109"/>
  <c r="S34" i="109"/>
  <c r="R34" i="109"/>
  <c r="P34" i="109"/>
  <c r="N34" i="109"/>
  <c r="M34" i="109"/>
  <c r="F34" i="109"/>
  <c r="C34" i="109"/>
  <c r="B34" i="109"/>
  <c r="A34" i="109"/>
  <c r="S33" i="109"/>
  <c r="R33" i="109"/>
  <c r="P33" i="109"/>
  <c r="N33" i="109"/>
  <c r="M33" i="109"/>
  <c r="F33" i="109"/>
  <c r="C33" i="109"/>
  <c r="B33" i="109"/>
  <c r="A33" i="109"/>
  <c r="S32" i="109"/>
  <c r="R32" i="109"/>
  <c r="N32" i="109"/>
  <c r="M32" i="109"/>
  <c r="F32" i="109"/>
  <c r="C32" i="109"/>
  <c r="B32" i="109"/>
  <c r="A32" i="109"/>
  <c r="P32" i="109" s="1"/>
  <c r="S31" i="109"/>
  <c r="R31" i="109"/>
  <c r="N31" i="109"/>
  <c r="M31" i="109"/>
  <c r="F31" i="109"/>
  <c r="C31" i="109"/>
  <c r="B31" i="109"/>
  <c r="A31" i="109"/>
  <c r="P31" i="109" s="1"/>
  <c r="S30" i="109"/>
  <c r="R30" i="109"/>
  <c r="N30" i="109"/>
  <c r="M30" i="109"/>
  <c r="F30" i="109"/>
  <c r="C30" i="109"/>
  <c r="B30" i="109"/>
  <c r="A30" i="109"/>
  <c r="P30" i="109" s="1"/>
  <c r="S29" i="109"/>
  <c r="R29" i="109"/>
  <c r="P29" i="109"/>
  <c r="N29" i="109"/>
  <c r="M29" i="109"/>
  <c r="F29" i="109"/>
  <c r="C29" i="109"/>
  <c r="B29" i="109"/>
  <c r="A29" i="109"/>
  <c r="S28" i="109"/>
  <c r="R28" i="109"/>
  <c r="N28" i="109"/>
  <c r="M28" i="109"/>
  <c r="F28" i="109"/>
  <c r="C28" i="109"/>
  <c r="B28" i="109"/>
  <c r="A28" i="109"/>
  <c r="P28" i="109" s="1"/>
  <c r="S27" i="109"/>
  <c r="R27" i="109"/>
  <c r="P27" i="109"/>
  <c r="N27" i="109"/>
  <c r="M27" i="109"/>
  <c r="F27" i="109"/>
  <c r="C27" i="109"/>
  <c r="B27" i="109"/>
  <c r="A27" i="109"/>
  <c r="S26" i="109"/>
  <c r="R26" i="109"/>
  <c r="P26" i="109"/>
  <c r="N26" i="109"/>
  <c r="M26" i="109"/>
  <c r="F26" i="109"/>
  <c r="C26" i="109"/>
  <c r="B26" i="109"/>
  <c r="A26" i="109"/>
  <c r="S25" i="109"/>
  <c r="R25" i="109"/>
  <c r="P25" i="109"/>
  <c r="N25" i="109"/>
  <c r="M25" i="109"/>
  <c r="F25" i="109"/>
  <c r="C25" i="109"/>
  <c r="B25" i="109"/>
  <c r="A25" i="109"/>
  <c r="S24" i="109"/>
  <c r="R24" i="109"/>
  <c r="N24" i="109"/>
  <c r="M24" i="109"/>
  <c r="F24" i="109"/>
  <c r="C24" i="109"/>
  <c r="B24" i="109"/>
  <c r="A24" i="109"/>
  <c r="P24" i="109" s="1"/>
  <c r="S23" i="109"/>
  <c r="R23" i="109"/>
  <c r="N23" i="109"/>
  <c r="M23" i="109"/>
  <c r="F23" i="109"/>
  <c r="C23" i="109"/>
  <c r="B23" i="109"/>
  <c r="A23" i="109"/>
  <c r="P23" i="109" s="1"/>
  <c r="M21" i="99" s="1"/>
  <c r="S22" i="109"/>
  <c r="R22" i="109"/>
  <c r="N22" i="109"/>
  <c r="M22" i="109"/>
  <c r="F22" i="109"/>
  <c r="C22" i="109"/>
  <c r="B22" i="109"/>
  <c r="A22" i="109"/>
  <c r="P22" i="109" s="1"/>
  <c r="M20" i="99" s="1"/>
  <c r="S21" i="109"/>
  <c r="R21" i="109"/>
  <c r="P21" i="109"/>
  <c r="N21" i="109"/>
  <c r="M21" i="109"/>
  <c r="F21" i="109"/>
  <c r="C21" i="109"/>
  <c r="B21" i="109"/>
  <c r="A21" i="109"/>
  <c r="S20" i="109"/>
  <c r="R20" i="109"/>
  <c r="N20" i="109"/>
  <c r="M20" i="109"/>
  <c r="F20" i="109"/>
  <c r="C20" i="109"/>
  <c r="B20" i="109"/>
  <c r="A20" i="109"/>
  <c r="S19" i="109"/>
  <c r="R19" i="109"/>
  <c r="N19" i="109"/>
  <c r="M19" i="109"/>
  <c r="F19" i="109"/>
  <c r="C19" i="109"/>
  <c r="B19" i="109"/>
  <c r="A19" i="109"/>
  <c r="S18" i="109"/>
  <c r="R18" i="109"/>
  <c r="N18" i="109"/>
  <c r="M18" i="109"/>
  <c r="F18" i="109"/>
  <c r="C18" i="109"/>
  <c r="B18" i="109"/>
  <c r="A18" i="109"/>
  <c r="S17" i="109"/>
  <c r="R17" i="109"/>
  <c r="N17" i="109"/>
  <c r="M17" i="109"/>
  <c r="F17" i="109"/>
  <c r="C17" i="109"/>
  <c r="B17" i="109"/>
  <c r="A17" i="109"/>
  <c r="S16" i="109"/>
  <c r="R16" i="109"/>
  <c r="N16" i="109"/>
  <c r="M16" i="109"/>
  <c r="F16" i="109"/>
  <c r="C16" i="109"/>
  <c r="B16" i="109"/>
  <c r="A16" i="109"/>
  <c r="S15" i="109"/>
  <c r="R15" i="109"/>
  <c r="N15" i="109"/>
  <c r="N36" i="109" s="1"/>
  <c r="M15" i="109"/>
  <c r="F15" i="109"/>
  <c r="C15" i="109"/>
  <c r="B15" i="109"/>
  <c r="A15" i="109"/>
  <c r="S14" i="109"/>
  <c r="R14" i="109"/>
  <c r="N14" i="109"/>
  <c r="M14" i="109"/>
  <c r="F14" i="109"/>
  <c r="C14" i="109"/>
  <c r="B14" i="109"/>
  <c r="A14" i="109"/>
  <c r="S13" i="109"/>
  <c r="R13" i="109"/>
  <c r="N13" i="109"/>
  <c r="M13" i="109"/>
  <c r="F13" i="109"/>
  <c r="C13" i="109"/>
  <c r="B13" i="109"/>
  <c r="A13" i="109"/>
  <c r="S12" i="109"/>
  <c r="R12" i="109"/>
  <c r="N12" i="109"/>
  <c r="M12" i="109"/>
  <c r="F12" i="109"/>
  <c r="C12" i="109"/>
  <c r="B12" i="109"/>
  <c r="A12" i="109"/>
  <c r="S11" i="109"/>
  <c r="R11" i="109"/>
  <c r="N11" i="109"/>
  <c r="M11" i="109"/>
  <c r="F11" i="109"/>
  <c r="C11" i="109"/>
  <c r="B11" i="109"/>
  <c r="A11" i="109"/>
  <c r="O36" i="108"/>
  <c r="K36" i="108"/>
  <c r="J36" i="108"/>
  <c r="H36" i="108"/>
  <c r="G36" i="108"/>
  <c r="F36" i="108"/>
  <c r="S35" i="108"/>
  <c r="R35" i="108"/>
  <c r="P35" i="108"/>
  <c r="N35" i="108"/>
  <c r="M35" i="108"/>
  <c r="F35" i="108"/>
  <c r="C35" i="108"/>
  <c r="B35" i="108"/>
  <c r="A35" i="108"/>
  <c r="S34" i="108"/>
  <c r="R34" i="108"/>
  <c r="P34" i="108"/>
  <c r="N34" i="108"/>
  <c r="M34" i="108"/>
  <c r="F34" i="108"/>
  <c r="C34" i="108"/>
  <c r="B34" i="108"/>
  <c r="A34" i="108"/>
  <c r="S33" i="108"/>
  <c r="R33" i="108"/>
  <c r="N33" i="108"/>
  <c r="M33" i="108"/>
  <c r="F33" i="108"/>
  <c r="C33" i="108"/>
  <c r="B33" i="108"/>
  <c r="A33" i="108"/>
  <c r="P33" i="108" s="1"/>
  <c r="S32" i="108"/>
  <c r="R32" i="108"/>
  <c r="P32" i="108"/>
  <c r="N32" i="108"/>
  <c r="M32" i="108"/>
  <c r="F32" i="108"/>
  <c r="C32" i="108"/>
  <c r="B32" i="108"/>
  <c r="A32" i="108"/>
  <c r="S31" i="108"/>
  <c r="R31" i="108"/>
  <c r="P31" i="108"/>
  <c r="N31" i="108"/>
  <c r="M31" i="108"/>
  <c r="F31" i="108"/>
  <c r="C31" i="108"/>
  <c r="B31" i="108"/>
  <c r="A31" i="108"/>
  <c r="S30" i="108"/>
  <c r="R30" i="108"/>
  <c r="P30" i="108"/>
  <c r="M28" i="99" s="1"/>
  <c r="N30" i="108"/>
  <c r="M30" i="108"/>
  <c r="F30" i="108"/>
  <c r="C30" i="108"/>
  <c r="B30" i="108"/>
  <c r="A30" i="108"/>
  <c r="S29" i="108"/>
  <c r="R29" i="108"/>
  <c r="N29" i="108"/>
  <c r="M29" i="108"/>
  <c r="F29" i="108"/>
  <c r="C29" i="108"/>
  <c r="B29" i="108"/>
  <c r="A29" i="108"/>
  <c r="P29" i="108" s="1"/>
  <c r="S28" i="108"/>
  <c r="R28" i="108"/>
  <c r="P28" i="108"/>
  <c r="N28" i="108"/>
  <c r="M28" i="108"/>
  <c r="F28" i="108"/>
  <c r="C28" i="108"/>
  <c r="B28" i="108"/>
  <c r="A28" i="108"/>
  <c r="S27" i="108"/>
  <c r="R27" i="108"/>
  <c r="P27" i="108"/>
  <c r="N27" i="108"/>
  <c r="M27" i="108"/>
  <c r="F27" i="108"/>
  <c r="C27" i="108"/>
  <c r="B27" i="108"/>
  <c r="A27" i="108"/>
  <c r="S26" i="108"/>
  <c r="R26" i="108"/>
  <c r="P26" i="108"/>
  <c r="N26" i="108"/>
  <c r="M26" i="108"/>
  <c r="F26" i="108"/>
  <c r="C26" i="108"/>
  <c r="B26" i="108"/>
  <c r="A26" i="108"/>
  <c r="S25" i="108"/>
  <c r="R25" i="108"/>
  <c r="P25" i="108"/>
  <c r="N25" i="108"/>
  <c r="M25" i="108"/>
  <c r="F25" i="108"/>
  <c r="C25" i="108"/>
  <c r="B25" i="108"/>
  <c r="A25" i="108"/>
  <c r="S24" i="108"/>
  <c r="R24" i="108"/>
  <c r="N24" i="108"/>
  <c r="M24" i="108"/>
  <c r="F24" i="108"/>
  <c r="C24" i="108"/>
  <c r="B24" i="108"/>
  <c r="A24" i="108"/>
  <c r="P24" i="108" s="1"/>
  <c r="S23" i="108"/>
  <c r="R23" i="108"/>
  <c r="N23" i="108"/>
  <c r="M23" i="108"/>
  <c r="F23" i="108"/>
  <c r="C23" i="108"/>
  <c r="B23" i="108"/>
  <c r="A23" i="108"/>
  <c r="P23" i="108" s="1"/>
  <c r="S22" i="108"/>
  <c r="R22" i="108"/>
  <c r="P22" i="108"/>
  <c r="N22" i="108"/>
  <c r="M22" i="108"/>
  <c r="F22" i="108"/>
  <c r="C22" i="108"/>
  <c r="B22" i="108"/>
  <c r="A22" i="108"/>
  <c r="S21" i="108"/>
  <c r="R21" i="108"/>
  <c r="N21" i="108"/>
  <c r="M21" i="108"/>
  <c r="F21" i="108"/>
  <c r="C21" i="108"/>
  <c r="B21" i="108"/>
  <c r="A21" i="108"/>
  <c r="P21" i="108" s="1"/>
  <c r="S20" i="108"/>
  <c r="R20" i="108"/>
  <c r="N20" i="108"/>
  <c r="M20" i="108"/>
  <c r="F20" i="108"/>
  <c r="C20" i="108"/>
  <c r="B20" i="108"/>
  <c r="A20" i="108"/>
  <c r="S19" i="108"/>
  <c r="R19" i="108"/>
  <c r="N19" i="108"/>
  <c r="M19" i="108"/>
  <c r="F19" i="108"/>
  <c r="C19" i="108"/>
  <c r="B19" i="108"/>
  <c r="A19" i="108"/>
  <c r="S18" i="108"/>
  <c r="R18" i="108"/>
  <c r="N18" i="108"/>
  <c r="M18" i="108"/>
  <c r="F18" i="108"/>
  <c r="C18" i="108"/>
  <c r="B18" i="108"/>
  <c r="A18" i="108"/>
  <c r="S17" i="108"/>
  <c r="R17" i="108"/>
  <c r="N17" i="108"/>
  <c r="M17" i="108"/>
  <c r="F17" i="108"/>
  <c r="C17" i="108"/>
  <c r="B17" i="108"/>
  <c r="A17" i="108"/>
  <c r="S16" i="108"/>
  <c r="R16" i="108"/>
  <c r="N16" i="108"/>
  <c r="M16" i="108"/>
  <c r="F16" i="108"/>
  <c r="C16" i="108"/>
  <c r="B16" i="108"/>
  <c r="A16" i="108"/>
  <c r="S15" i="108"/>
  <c r="R15" i="108"/>
  <c r="N15" i="108"/>
  <c r="M15" i="108"/>
  <c r="F15" i="108"/>
  <c r="C15" i="108"/>
  <c r="B15" i="108"/>
  <c r="A15" i="108"/>
  <c r="S14" i="108"/>
  <c r="R14" i="108"/>
  <c r="N14" i="108"/>
  <c r="M14" i="108"/>
  <c r="F14" i="108"/>
  <c r="C14" i="108"/>
  <c r="B14" i="108"/>
  <c r="A14" i="108"/>
  <c r="S13" i="108"/>
  <c r="R13" i="108"/>
  <c r="N13" i="108"/>
  <c r="M13" i="108"/>
  <c r="F13" i="108"/>
  <c r="C13" i="108"/>
  <c r="B13" i="108"/>
  <c r="A13" i="108"/>
  <c r="S12" i="108"/>
  <c r="R12" i="108"/>
  <c r="N12" i="108"/>
  <c r="M12" i="108"/>
  <c r="F12" i="108"/>
  <c r="C12" i="108"/>
  <c r="B12" i="108"/>
  <c r="A12" i="108"/>
  <c r="S11" i="108"/>
  <c r="R11" i="108"/>
  <c r="N11" i="108"/>
  <c r="M11" i="108"/>
  <c r="F11" i="108"/>
  <c r="C11" i="108"/>
  <c r="B11" i="108"/>
  <c r="A11" i="108"/>
  <c r="O36" i="107"/>
  <c r="K36" i="107"/>
  <c r="J36" i="107"/>
  <c r="H36" i="107"/>
  <c r="G36" i="107"/>
  <c r="S35" i="107"/>
  <c r="R35" i="107"/>
  <c r="P35" i="107"/>
  <c r="M33" i="99" s="1"/>
  <c r="N35" i="107"/>
  <c r="M35" i="107"/>
  <c r="F35" i="107"/>
  <c r="C35" i="107"/>
  <c r="B35" i="107"/>
  <c r="A35" i="107"/>
  <c r="S34" i="107"/>
  <c r="R34" i="107"/>
  <c r="N34" i="107"/>
  <c r="M34" i="107"/>
  <c r="F34" i="107"/>
  <c r="C34" i="107"/>
  <c r="B34" i="107"/>
  <c r="A34" i="107"/>
  <c r="P34" i="107" s="1"/>
  <c r="S33" i="107"/>
  <c r="R33" i="107"/>
  <c r="N33" i="107"/>
  <c r="M33" i="107"/>
  <c r="F33" i="107"/>
  <c r="C33" i="107"/>
  <c r="B33" i="107"/>
  <c r="A33" i="107"/>
  <c r="P33" i="107" s="1"/>
  <c r="S32" i="107"/>
  <c r="R32" i="107"/>
  <c r="P32" i="107"/>
  <c r="N32" i="107"/>
  <c r="M32" i="107"/>
  <c r="F32" i="107"/>
  <c r="C32" i="107"/>
  <c r="B32" i="107"/>
  <c r="A32" i="107"/>
  <c r="S31" i="107"/>
  <c r="R31" i="107"/>
  <c r="N31" i="107"/>
  <c r="M31" i="107"/>
  <c r="F31" i="107"/>
  <c r="C31" i="107"/>
  <c r="B31" i="107"/>
  <c r="A31" i="107"/>
  <c r="P31" i="107" s="1"/>
  <c r="S30" i="107"/>
  <c r="R30" i="107"/>
  <c r="N30" i="107"/>
  <c r="M30" i="107"/>
  <c r="F30" i="107"/>
  <c r="C30" i="107"/>
  <c r="B30" i="107"/>
  <c r="A30" i="107"/>
  <c r="P30" i="107" s="1"/>
  <c r="S29" i="107"/>
  <c r="R29" i="107"/>
  <c r="P29" i="107"/>
  <c r="N29" i="107"/>
  <c r="M29" i="107"/>
  <c r="F29" i="107"/>
  <c r="C29" i="107"/>
  <c r="B29" i="107"/>
  <c r="A29" i="107"/>
  <c r="S28" i="107"/>
  <c r="R28" i="107"/>
  <c r="P28" i="107"/>
  <c r="N28" i="107"/>
  <c r="M28" i="107"/>
  <c r="M36" i="107" s="1"/>
  <c r="F28" i="107"/>
  <c r="C28" i="107"/>
  <c r="B28" i="107"/>
  <c r="A28" i="107"/>
  <c r="S27" i="107"/>
  <c r="R27" i="107"/>
  <c r="P27" i="107"/>
  <c r="N27" i="107"/>
  <c r="M27" i="107"/>
  <c r="F27" i="107"/>
  <c r="C27" i="107"/>
  <c r="B27" i="107"/>
  <c r="A27" i="107"/>
  <c r="S26" i="107"/>
  <c r="R26" i="107"/>
  <c r="P26" i="107"/>
  <c r="N26" i="107"/>
  <c r="M26" i="107"/>
  <c r="F26" i="107"/>
  <c r="C26" i="107"/>
  <c r="B26" i="107"/>
  <c r="A26" i="107"/>
  <c r="S25" i="107"/>
  <c r="R25" i="107"/>
  <c r="N25" i="107"/>
  <c r="M25" i="107"/>
  <c r="F25" i="107"/>
  <c r="C25" i="107"/>
  <c r="B25" i="107"/>
  <c r="A25" i="107"/>
  <c r="P25" i="107" s="1"/>
  <c r="M23" i="99" s="1"/>
  <c r="S24" i="107"/>
  <c r="R24" i="107"/>
  <c r="P24" i="107"/>
  <c r="N24" i="107"/>
  <c r="M24" i="107"/>
  <c r="F24" i="107"/>
  <c r="C24" i="107"/>
  <c r="B24" i="107"/>
  <c r="A24" i="107"/>
  <c r="S23" i="107"/>
  <c r="R23" i="107"/>
  <c r="N23" i="107"/>
  <c r="M23" i="107"/>
  <c r="F23" i="107"/>
  <c r="C23" i="107"/>
  <c r="B23" i="107"/>
  <c r="A23" i="107"/>
  <c r="P23" i="107" s="1"/>
  <c r="S22" i="107"/>
  <c r="R22" i="107"/>
  <c r="N22" i="107"/>
  <c r="M22" i="107"/>
  <c r="F22" i="107"/>
  <c r="C22" i="107"/>
  <c r="B22" i="107"/>
  <c r="A22" i="107"/>
  <c r="P22" i="107" s="1"/>
  <c r="S21" i="107"/>
  <c r="R21" i="107"/>
  <c r="P21" i="107"/>
  <c r="N21" i="107"/>
  <c r="M21" i="107"/>
  <c r="F21" i="107"/>
  <c r="C21" i="107"/>
  <c r="B21" i="107"/>
  <c r="A21" i="107"/>
  <c r="S20" i="107"/>
  <c r="R20" i="107"/>
  <c r="N20" i="107"/>
  <c r="M20" i="107"/>
  <c r="F20" i="107"/>
  <c r="C20" i="107"/>
  <c r="B20" i="107"/>
  <c r="A20" i="107"/>
  <c r="S19" i="107"/>
  <c r="R19" i="107"/>
  <c r="N19" i="107"/>
  <c r="M19" i="107"/>
  <c r="F19" i="107"/>
  <c r="C19" i="107"/>
  <c r="B19" i="107"/>
  <c r="A19" i="107"/>
  <c r="S18" i="107"/>
  <c r="R18" i="107"/>
  <c r="N18" i="107"/>
  <c r="M18" i="107"/>
  <c r="F18" i="107"/>
  <c r="C18" i="107"/>
  <c r="B18" i="107"/>
  <c r="A18" i="107"/>
  <c r="S17" i="107"/>
  <c r="R17" i="107"/>
  <c r="N17" i="107"/>
  <c r="M17" i="107"/>
  <c r="F17" i="107"/>
  <c r="C17" i="107"/>
  <c r="B17" i="107"/>
  <c r="A17" i="107"/>
  <c r="S16" i="107"/>
  <c r="R16" i="107"/>
  <c r="N16" i="107"/>
  <c r="M16" i="107"/>
  <c r="F16" i="107"/>
  <c r="C16" i="107"/>
  <c r="B16" i="107"/>
  <c r="A16" i="107"/>
  <c r="S15" i="107"/>
  <c r="R15" i="107"/>
  <c r="N15" i="107"/>
  <c r="M15" i="107"/>
  <c r="F15" i="107"/>
  <c r="C15" i="107"/>
  <c r="B15" i="107"/>
  <c r="A15" i="107"/>
  <c r="S14" i="107"/>
  <c r="R14" i="107"/>
  <c r="N14" i="107"/>
  <c r="M14" i="107"/>
  <c r="F14" i="107"/>
  <c r="C14" i="107"/>
  <c r="B14" i="107"/>
  <c r="A14" i="107"/>
  <c r="S13" i="107"/>
  <c r="R13" i="107"/>
  <c r="N13" i="107"/>
  <c r="M13" i="107"/>
  <c r="F13" i="107"/>
  <c r="C13" i="107"/>
  <c r="B13" i="107"/>
  <c r="A13" i="107"/>
  <c r="S12" i="107"/>
  <c r="R12" i="107"/>
  <c r="N12" i="107"/>
  <c r="M12" i="107"/>
  <c r="F12" i="107"/>
  <c r="C12" i="107"/>
  <c r="B12" i="107"/>
  <c r="A12" i="107"/>
  <c r="S11" i="107"/>
  <c r="R11" i="107"/>
  <c r="N11" i="107"/>
  <c r="M11" i="107"/>
  <c r="F11" i="107"/>
  <c r="C11" i="107"/>
  <c r="B11" i="107"/>
  <c r="A11" i="107"/>
  <c r="O36" i="106"/>
  <c r="K36" i="106"/>
  <c r="J36" i="106"/>
  <c r="H36" i="106"/>
  <c r="G36" i="106"/>
  <c r="S35" i="106"/>
  <c r="R35" i="106"/>
  <c r="N35" i="106"/>
  <c r="M35" i="106"/>
  <c r="F35" i="106"/>
  <c r="C35" i="106"/>
  <c r="B35" i="106"/>
  <c r="A35" i="106"/>
  <c r="P35" i="106" s="1"/>
  <c r="S34" i="106"/>
  <c r="R34" i="106"/>
  <c r="P34" i="106"/>
  <c r="N34" i="106"/>
  <c r="M34" i="106"/>
  <c r="F34" i="106"/>
  <c r="C34" i="106"/>
  <c r="B34" i="106"/>
  <c r="A34" i="106"/>
  <c r="S33" i="106"/>
  <c r="R33" i="106"/>
  <c r="N33" i="106"/>
  <c r="M33" i="106"/>
  <c r="F33" i="106"/>
  <c r="C33" i="106"/>
  <c r="B33" i="106"/>
  <c r="A33" i="106"/>
  <c r="P33" i="106" s="1"/>
  <c r="S32" i="106"/>
  <c r="R32" i="106"/>
  <c r="N32" i="106"/>
  <c r="M32" i="106"/>
  <c r="F32" i="106"/>
  <c r="C32" i="106"/>
  <c r="B32" i="106"/>
  <c r="A32" i="106"/>
  <c r="P32" i="106" s="1"/>
  <c r="S31" i="106"/>
  <c r="R31" i="106"/>
  <c r="P31" i="106"/>
  <c r="N31" i="106"/>
  <c r="M31" i="106"/>
  <c r="F31" i="106"/>
  <c r="C31" i="106"/>
  <c r="B31" i="106"/>
  <c r="A31" i="106"/>
  <c r="S30" i="106"/>
  <c r="R30" i="106"/>
  <c r="P30" i="106"/>
  <c r="N30" i="106"/>
  <c r="M30" i="106"/>
  <c r="F30" i="106"/>
  <c r="C30" i="106"/>
  <c r="B30" i="106"/>
  <c r="A30" i="106"/>
  <c r="S29" i="106"/>
  <c r="R29" i="106"/>
  <c r="P29" i="106"/>
  <c r="N29" i="106"/>
  <c r="M29" i="106"/>
  <c r="F29" i="106"/>
  <c r="C29" i="106"/>
  <c r="B29" i="106"/>
  <c r="A29" i="106"/>
  <c r="S28" i="106"/>
  <c r="R28" i="106"/>
  <c r="N28" i="106"/>
  <c r="M28" i="106"/>
  <c r="F28" i="106"/>
  <c r="C28" i="106"/>
  <c r="B28" i="106"/>
  <c r="A28" i="106"/>
  <c r="P28" i="106" s="1"/>
  <c r="S27" i="106"/>
  <c r="R27" i="106"/>
  <c r="N27" i="106"/>
  <c r="M27" i="106"/>
  <c r="F27" i="106"/>
  <c r="C27" i="106"/>
  <c r="B27" i="106"/>
  <c r="A27" i="106"/>
  <c r="P27" i="106" s="1"/>
  <c r="S26" i="106"/>
  <c r="R26" i="106"/>
  <c r="P26" i="106"/>
  <c r="N26" i="106"/>
  <c r="M26" i="106"/>
  <c r="F26" i="106"/>
  <c r="C26" i="106"/>
  <c r="B26" i="106"/>
  <c r="A26" i="106"/>
  <c r="S25" i="106"/>
  <c r="R25" i="106"/>
  <c r="N25" i="106"/>
  <c r="M25" i="106"/>
  <c r="F25" i="106"/>
  <c r="C25" i="106"/>
  <c r="B25" i="106"/>
  <c r="A25" i="106"/>
  <c r="P25" i="106" s="1"/>
  <c r="S24" i="106"/>
  <c r="R24" i="106"/>
  <c r="N24" i="106"/>
  <c r="M24" i="106"/>
  <c r="F24" i="106"/>
  <c r="C24" i="106"/>
  <c r="B24" i="106"/>
  <c r="A24" i="106"/>
  <c r="P24" i="106" s="1"/>
  <c r="S23" i="106"/>
  <c r="R23" i="106"/>
  <c r="P23" i="106"/>
  <c r="N23" i="106"/>
  <c r="M23" i="106"/>
  <c r="F23" i="106"/>
  <c r="C23" i="106"/>
  <c r="B23" i="106"/>
  <c r="A23" i="106"/>
  <c r="S22" i="106"/>
  <c r="R22" i="106"/>
  <c r="P22" i="106"/>
  <c r="N22" i="106"/>
  <c r="M22" i="106"/>
  <c r="F22" i="106"/>
  <c r="C22" i="106"/>
  <c r="B22" i="106"/>
  <c r="A22" i="106"/>
  <c r="S21" i="106"/>
  <c r="R21" i="106"/>
  <c r="P21" i="106"/>
  <c r="N21" i="106"/>
  <c r="M21" i="106"/>
  <c r="F21" i="106"/>
  <c r="C21" i="106"/>
  <c r="B21" i="106"/>
  <c r="A21" i="106"/>
  <c r="S20" i="106"/>
  <c r="R20" i="106"/>
  <c r="N20" i="106"/>
  <c r="M20" i="106"/>
  <c r="F20" i="106"/>
  <c r="C20" i="106"/>
  <c r="B20" i="106"/>
  <c r="A20" i="106"/>
  <c r="S19" i="106"/>
  <c r="R19" i="106"/>
  <c r="N19" i="106"/>
  <c r="M19" i="106"/>
  <c r="F19" i="106"/>
  <c r="C19" i="106"/>
  <c r="B19" i="106"/>
  <c r="A19" i="106"/>
  <c r="S18" i="106"/>
  <c r="R18" i="106"/>
  <c r="N18" i="106"/>
  <c r="M18" i="106"/>
  <c r="F18" i="106"/>
  <c r="C18" i="106"/>
  <c r="B18" i="106"/>
  <c r="A18" i="106"/>
  <c r="S17" i="106"/>
  <c r="R17" i="106"/>
  <c r="N17" i="106"/>
  <c r="M17" i="106"/>
  <c r="F17" i="106"/>
  <c r="C17" i="106"/>
  <c r="B17" i="106"/>
  <c r="A17" i="106"/>
  <c r="S16" i="106"/>
  <c r="R16" i="106"/>
  <c r="N16" i="106"/>
  <c r="M16" i="106"/>
  <c r="F16" i="106"/>
  <c r="C16" i="106"/>
  <c r="B16" i="106"/>
  <c r="A16" i="106"/>
  <c r="S15" i="106"/>
  <c r="R15" i="106"/>
  <c r="N15" i="106"/>
  <c r="M15" i="106"/>
  <c r="F15" i="106"/>
  <c r="C15" i="106"/>
  <c r="B15" i="106"/>
  <c r="A15" i="106"/>
  <c r="S14" i="106"/>
  <c r="R14" i="106"/>
  <c r="N14" i="106"/>
  <c r="M14" i="106"/>
  <c r="F14" i="106"/>
  <c r="C14" i="106"/>
  <c r="B14" i="106"/>
  <c r="A14" i="106"/>
  <c r="S13" i="106"/>
  <c r="R13" i="106"/>
  <c r="N13" i="106"/>
  <c r="M13" i="106"/>
  <c r="F13" i="106"/>
  <c r="C13" i="106"/>
  <c r="B13" i="106"/>
  <c r="A13" i="106"/>
  <c r="S12" i="106"/>
  <c r="R12" i="106"/>
  <c r="N12" i="106"/>
  <c r="M12" i="106"/>
  <c r="F12" i="106"/>
  <c r="C12" i="106"/>
  <c r="B12" i="106"/>
  <c r="A12" i="106"/>
  <c r="S11" i="106"/>
  <c r="R11" i="106"/>
  <c r="N11" i="106"/>
  <c r="M11" i="106"/>
  <c r="F11" i="106"/>
  <c r="C11" i="106"/>
  <c r="B11" i="106"/>
  <c r="A11" i="106"/>
  <c r="O36" i="105"/>
  <c r="K36" i="105"/>
  <c r="J36" i="105"/>
  <c r="H36" i="105"/>
  <c r="G36" i="105"/>
  <c r="S35" i="105"/>
  <c r="R35" i="105"/>
  <c r="N35" i="105"/>
  <c r="M35" i="105"/>
  <c r="F35" i="105"/>
  <c r="C35" i="105"/>
  <c r="B35" i="105"/>
  <c r="A35" i="105"/>
  <c r="P35" i="105" s="1"/>
  <c r="S34" i="105"/>
  <c r="R34" i="105"/>
  <c r="N34" i="105"/>
  <c r="M34" i="105"/>
  <c r="F34" i="105"/>
  <c r="C34" i="105"/>
  <c r="B34" i="105"/>
  <c r="A34" i="105"/>
  <c r="P34" i="105" s="1"/>
  <c r="S33" i="105"/>
  <c r="R33" i="105"/>
  <c r="N33" i="105"/>
  <c r="M33" i="105"/>
  <c r="F33" i="105"/>
  <c r="C33" i="105"/>
  <c r="B33" i="105"/>
  <c r="A33" i="105"/>
  <c r="P33" i="105" s="1"/>
  <c r="S32" i="105"/>
  <c r="R32" i="105"/>
  <c r="P32" i="105"/>
  <c r="N32" i="105"/>
  <c r="M32" i="105"/>
  <c r="F32" i="105"/>
  <c r="C32" i="105"/>
  <c r="B32" i="105"/>
  <c r="A32" i="105"/>
  <c r="S31" i="105"/>
  <c r="R31" i="105"/>
  <c r="P31" i="105"/>
  <c r="N31" i="105"/>
  <c r="M31" i="105"/>
  <c r="F31" i="105"/>
  <c r="C31" i="105"/>
  <c r="B31" i="105"/>
  <c r="A31" i="105"/>
  <c r="S30" i="105"/>
  <c r="R30" i="105"/>
  <c r="N30" i="105"/>
  <c r="M30" i="105"/>
  <c r="F30" i="105"/>
  <c r="C30" i="105"/>
  <c r="B30" i="105"/>
  <c r="A30" i="105"/>
  <c r="P30" i="105" s="1"/>
  <c r="S29" i="105"/>
  <c r="R29" i="105"/>
  <c r="N29" i="105"/>
  <c r="M29" i="105"/>
  <c r="F29" i="105"/>
  <c r="C29" i="105"/>
  <c r="B29" i="105"/>
  <c r="A29" i="105"/>
  <c r="P29" i="105" s="1"/>
  <c r="S28" i="105"/>
  <c r="R28" i="105"/>
  <c r="P28" i="105"/>
  <c r="N28" i="105"/>
  <c r="M28" i="105"/>
  <c r="F28" i="105"/>
  <c r="C28" i="105"/>
  <c r="B28" i="105"/>
  <c r="A28" i="105"/>
  <c r="S27" i="105"/>
  <c r="R27" i="105"/>
  <c r="N27" i="105"/>
  <c r="M27" i="105"/>
  <c r="F27" i="105"/>
  <c r="C27" i="105"/>
  <c r="B27" i="105"/>
  <c r="A27" i="105"/>
  <c r="P27" i="105" s="1"/>
  <c r="S26" i="105"/>
  <c r="R26" i="105"/>
  <c r="N26" i="105"/>
  <c r="M26" i="105"/>
  <c r="F26" i="105"/>
  <c r="C26" i="105"/>
  <c r="B26" i="105"/>
  <c r="A26" i="105"/>
  <c r="P26" i="105" s="1"/>
  <c r="S25" i="105"/>
  <c r="R25" i="105"/>
  <c r="N25" i="105"/>
  <c r="M25" i="105"/>
  <c r="F25" i="105"/>
  <c r="C25" i="105"/>
  <c r="B25" i="105"/>
  <c r="A25" i="105"/>
  <c r="P25" i="105" s="1"/>
  <c r="S24" i="105"/>
  <c r="R24" i="105"/>
  <c r="N24" i="105"/>
  <c r="M24" i="105"/>
  <c r="F24" i="105"/>
  <c r="C24" i="105"/>
  <c r="B24" i="105"/>
  <c r="A24" i="105"/>
  <c r="P24" i="105" s="1"/>
  <c r="S23" i="105"/>
  <c r="R23" i="105"/>
  <c r="P23" i="105"/>
  <c r="N23" i="105"/>
  <c r="M23" i="105"/>
  <c r="F23" i="105"/>
  <c r="C23" i="105"/>
  <c r="B23" i="105"/>
  <c r="A23" i="105"/>
  <c r="S22" i="105"/>
  <c r="R22" i="105"/>
  <c r="N22" i="105"/>
  <c r="M22" i="105"/>
  <c r="F22" i="105"/>
  <c r="C22" i="105"/>
  <c r="B22" i="105"/>
  <c r="A22" i="105"/>
  <c r="P22" i="105" s="1"/>
  <c r="S21" i="105"/>
  <c r="R21" i="105"/>
  <c r="P21" i="105"/>
  <c r="N21" i="105"/>
  <c r="M21" i="105"/>
  <c r="F21" i="105"/>
  <c r="C21" i="105"/>
  <c r="B21" i="105"/>
  <c r="A21" i="105"/>
  <c r="S20" i="105"/>
  <c r="R20" i="105"/>
  <c r="N20" i="105"/>
  <c r="M20" i="105"/>
  <c r="F20" i="105"/>
  <c r="C20" i="105"/>
  <c r="B20" i="105"/>
  <c r="A20" i="105"/>
  <c r="S19" i="105"/>
  <c r="R19" i="105"/>
  <c r="N19" i="105"/>
  <c r="M19" i="105"/>
  <c r="F19" i="105"/>
  <c r="C19" i="105"/>
  <c r="B19" i="105"/>
  <c r="A19" i="105"/>
  <c r="S18" i="105"/>
  <c r="R18" i="105"/>
  <c r="N18" i="105"/>
  <c r="M18" i="105"/>
  <c r="F18" i="105"/>
  <c r="C18" i="105"/>
  <c r="B18" i="105"/>
  <c r="A18" i="105"/>
  <c r="S17" i="105"/>
  <c r="R17" i="105"/>
  <c r="N17" i="105"/>
  <c r="M17" i="105"/>
  <c r="F17" i="105"/>
  <c r="C17" i="105"/>
  <c r="B17" i="105"/>
  <c r="A17" i="105"/>
  <c r="S16" i="105"/>
  <c r="R16" i="105"/>
  <c r="N16" i="105"/>
  <c r="M16" i="105"/>
  <c r="F16" i="105"/>
  <c r="C16" i="105"/>
  <c r="B16" i="105"/>
  <c r="A16" i="105"/>
  <c r="S15" i="105"/>
  <c r="R15" i="105"/>
  <c r="N15" i="105"/>
  <c r="M15" i="105"/>
  <c r="F15" i="105"/>
  <c r="C15" i="105"/>
  <c r="B15" i="105"/>
  <c r="A15" i="105"/>
  <c r="S14" i="105"/>
  <c r="R14" i="105"/>
  <c r="N14" i="105"/>
  <c r="M14" i="105"/>
  <c r="F14" i="105"/>
  <c r="C14" i="105"/>
  <c r="B14" i="105"/>
  <c r="A14" i="105"/>
  <c r="S13" i="105"/>
  <c r="R13" i="105"/>
  <c r="N13" i="105"/>
  <c r="M13" i="105"/>
  <c r="F13" i="105"/>
  <c r="C13" i="105"/>
  <c r="B13" i="105"/>
  <c r="A13" i="105"/>
  <c r="S12" i="105"/>
  <c r="R12" i="105"/>
  <c r="N12" i="105"/>
  <c r="M12" i="105"/>
  <c r="F12" i="105"/>
  <c r="C12" i="105"/>
  <c r="B12" i="105"/>
  <c r="A12" i="105"/>
  <c r="S11" i="105"/>
  <c r="R11" i="105"/>
  <c r="N11" i="105"/>
  <c r="M11" i="105"/>
  <c r="M36" i="105" s="1"/>
  <c r="F11" i="105"/>
  <c r="C11" i="105"/>
  <c r="B11" i="105"/>
  <c r="A11" i="105"/>
  <c r="O36" i="104"/>
  <c r="K36" i="104"/>
  <c r="J36" i="104"/>
  <c r="H36" i="104"/>
  <c r="G36" i="104"/>
  <c r="S35" i="104"/>
  <c r="R35" i="104"/>
  <c r="N35" i="104"/>
  <c r="M35" i="104"/>
  <c r="F35" i="104"/>
  <c r="C35" i="104"/>
  <c r="B35" i="104"/>
  <c r="A35" i="104"/>
  <c r="P35" i="104" s="1"/>
  <c r="S34" i="104"/>
  <c r="R34" i="104"/>
  <c r="N34" i="104"/>
  <c r="M34" i="104"/>
  <c r="F34" i="104"/>
  <c r="C34" i="104"/>
  <c r="B34" i="104"/>
  <c r="A34" i="104"/>
  <c r="P34" i="104" s="1"/>
  <c r="S33" i="104"/>
  <c r="R33" i="104"/>
  <c r="N33" i="104"/>
  <c r="M33" i="104"/>
  <c r="F33" i="104"/>
  <c r="C33" i="104"/>
  <c r="B33" i="104"/>
  <c r="A33" i="104"/>
  <c r="P33" i="104" s="1"/>
  <c r="S32" i="104"/>
  <c r="R32" i="104"/>
  <c r="P32" i="104"/>
  <c r="N32" i="104"/>
  <c r="M32" i="104"/>
  <c r="F32" i="104"/>
  <c r="C32" i="104"/>
  <c r="B32" i="104"/>
  <c r="A32" i="104"/>
  <c r="S31" i="104"/>
  <c r="R31" i="104"/>
  <c r="N31" i="104"/>
  <c r="M31" i="104"/>
  <c r="F31" i="104"/>
  <c r="C31" i="104"/>
  <c r="B31" i="104"/>
  <c r="A31" i="104"/>
  <c r="P31" i="104" s="1"/>
  <c r="S30" i="104"/>
  <c r="R30" i="104"/>
  <c r="P30" i="104"/>
  <c r="N30" i="104"/>
  <c r="M30" i="104"/>
  <c r="F30" i="104"/>
  <c r="C30" i="104"/>
  <c r="B30" i="104"/>
  <c r="A30" i="104"/>
  <c r="S29" i="104"/>
  <c r="R29" i="104"/>
  <c r="P29" i="104"/>
  <c r="M27" i="98" s="1"/>
  <c r="N29" i="104"/>
  <c r="M29" i="104"/>
  <c r="F29" i="104"/>
  <c r="C29" i="104"/>
  <c r="B29" i="104"/>
  <c r="A29" i="104"/>
  <c r="S28" i="104"/>
  <c r="R28" i="104"/>
  <c r="P28" i="104"/>
  <c r="N28" i="104"/>
  <c r="M28" i="104"/>
  <c r="F28" i="104"/>
  <c r="C28" i="104"/>
  <c r="B28" i="104"/>
  <c r="A28" i="104"/>
  <c r="S27" i="104"/>
  <c r="R27" i="104"/>
  <c r="N27" i="104"/>
  <c r="M27" i="104"/>
  <c r="F27" i="104"/>
  <c r="C27" i="104"/>
  <c r="B27" i="104"/>
  <c r="A27" i="104"/>
  <c r="P27" i="104" s="1"/>
  <c r="S26" i="104"/>
  <c r="R26" i="104"/>
  <c r="N26" i="104"/>
  <c r="M26" i="104"/>
  <c r="I24" i="98" s="1"/>
  <c r="F26" i="104"/>
  <c r="C26" i="104"/>
  <c r="B26" i="104"/>
  <c r="A26" i="104"/>
  <c r="P26" i="104" s="1"/>
  <c r="M24" i="98" s="1"/>
  <c r="S25" i="104"/>
  <c r="R25" i="104"/>
  <c r="N25" i="104"/>
  <c r="M25" i="104"/>
  <c r="F25" i="104"/>
  <c r="C25" i="104"/>
  <c r="B25" i="104"/>
  <c r="A25" i="104"/>
  <c r="P25" i="104" s="1"/>
  <c r="S24" i="104"/>
  <c r="R24" i="104"/>
  <c r="P24" i="104"/>
  <c r="N24" i="104"/>
  <c r="M24" i="104"/>
  <c r="F24" i="104"/>
  <c r="C24" i="104"/>
  <c r="B24" i="104"/>
  <c r="A24" i="104"/>
  <c r="S23" i="104"/>
  <c r="R23" i="104"/>
  <c r="N23" i="104"/>
  <c r="M23" i="104"/>
  <c r="F23" i="104"/>
  <c r="C23" i="104"/>
  <c r="B23" i="104"/>
  <c r="A23" i="104"/>
  <c r="P23" i="104" s="1"/>
  <c r="S22" i="104"/>
  <c r="R22" i="104"/>
  <c r="P22" i="104"/>
  <c r="N22" i="104"/>
  <c r="M22" i="104"/>
  <c r="F22" i="104"/>
  <c r="C22" i="104"/>
  <c r="B22" i="104"/>
  <c r="A22" i="104"/>
  <c r="S21" i="104"/>
  <c r="R21" i="104"/>
  <c r="P21" i="104"/>
  <c r="N21" i="104"/>
  <c r="M21" i="104"/>
  <c r="F21" i="104"/>
  <c r="C21" i="104"/>
  <c r="B21" i="104"/>
  <c r="A21" i="104"/>
  <c r="S20" i="104"/>
  <c r="R20" i="104"/>
  <c r="N20" i="104"/>
  <c r="M20" i="104"/>
  <c r="F20" i="104"/>
  <c r="C20" i="104"/>
  <c r="B20" i="104"/>
  <c r="A20" i="104"/>
  <c r="S19" i="104"/>
  <c r="R19" i="104"/>
  <c r="N19" i="104"/>
  <c r="M19" i="104"/>
  <c r="F19" i="104"/>
  <c r="C19" i="104"/>
  <c r="B19" i="104"/>
  <c r="A19" i="104"/>
  <c r="S18" i="104"/>
  <c r="R18" i="104"/>
  <c r="N18" i="104"/>
  <c r="M18" i="104"/>
  <c r="F18" i="104"/>
  <c r="C18" i="104"/>
  <c r="B18" i="104"/>
  <c r="A18" i="104"/>
  <c r="S17" i="104"/>
  <c r="R17" i="104"/>
  <c r="N17" i="104"/>
  <c r="M17" i="104"/>
  <c r="F17" i="104"/>
  <c r="C17" i="104"/>
  <c r="B17" i="104"/>
  <c r="A17" i="104"/>
  <c r="S16" i="104"/>
  <c r="R16" i="104"/>
  <c r="N16" i="104"/>
  <c r="M16" i="104"/>
  <c r="F16" i="104"/>
  <c r="C16" i="104"/>
  <c r="B16" i="104"/>
  <c r="A16" i="104"/>
  <c r="S15" i="104"/>
  <c r="R15" i="104"/>
  <c r="N15" i="104"/>
  <c r="M15" i="104"/>
  <c r="F15" i="104"/>
  <c r="C15" i="104"/>
  <c r="B15" i="104"/>
  <c r="A15" i="104"/>
  <c r="S14" i="104"/>
  <c r="R14" i="104"/>
  <c r="N14" i="104"/>
  <c r="M14" i="104"/>
  <c r="F14" i="104"/>
  <c r="C14" i="104"/>
  <c r="B14" i="104"/>
  <c r="A14" i="104"/>
  <c r="S13" i="104"/>
  <c r="R13" i="104"/>
  <c r="N13" i="104"/>
  <c r="M13" i="104"/>
  <c r="F13" i="104"/>
  <c r="C13" i="104"/>
  <c r="B13" i="104"/>
  <c r="A13" i="104"/>
  <c r="S12" i="104"/>
  <c r="R12" i="104"/>
  <c r="N12" i="104"/>
  <c r="M12" i="104"/>
  <c r="F12" i="104"/>
  <c r="C12" i="104"/>
  <c r="B12" i="104"/>
  <c r="A12" i="104"/>
  <c r="S11" i="104"/>
  <c r="R11" i="104"/>
  <c r="N11" i="104"/>
  <c r="M11" i="104"/>
  <c r="F11" i="104"/>
  <c r="C11" i="104"/>
  <c r="B11" i="104"/>
  <c r="A11" i="104"/>
  <c r="O36" i="103"/>
  <c r="K36" i="103"/>
  <c r="J36" i="103"/>
  <c r="H36" i="103"/>
  <c r="G36" i="103"/>
  <c r="S35" i="103"/>
  <c r="R35" i="103"/>
  <c r="N35" i="103"/>
  <c r="M35" i="103"/>
  <c r="F35" i="103"/>
  <c r="C35" i="103"/>
  <c r="B35" i="103"/>
  <c r="A35" i="103"/>
  <c r="P35" i="103" s="1"/>
  <c r="S34" i="103"/>
  <c r="R34" i="103"/>
  <c r="P34" i="103"/>
  <c r="N34" i="103"/>
  <c r="M34" i="103"/>
  <c r="F34" i="103"/>
  <c r="C34" i="103"/>
  <c r="B34" i="103"/>
  <c r="A34" i="103"/>
  <c r="S33" i="103"/>
  <c r="R33" i="103"/>
  <c r="N33" i="103"/>
  <c r="M33" i="103"/>
  <c r="F33" i="103"/>
  <c r="C33" i="103"/>
  <c r="B33" i="103"/>
  <c r="A33" i="103"/>
  <c r="P33" i="103" s="1"/>
  <c r="S32" i="103"/>
  <c r="R32" i="103"/>
  <c r="P32" i="103"/>
  <c r="N32" i="103"/>
  <c r="M32" i="103"/>
  <c r="F32" i="103"/>
  <c r="C32" i="103"/>
  <c r="B32" i="103"/>
  <c r="A32" i="103"/>
  <c r="S31" i="103"/>
  <c r="R31" i="103"/>
  <c r="N31" i="103"/>
  <c r="M31" i="103"/>
  <c r="F31" i="103"/>
  <c r="C31" i="103"/>
  <c r="B31" i="103"/>
  <c r="A31" i="103"/>
  <c r="P31" i="103" s="1"/>
  <c r="S30" i="103"/>
  <c r="R30" i="103"/>
  <c r="P30" i="103"/>
  <c r="N30" i="103"/>
  <c r="M30" i="103"/>
  <c r="F30" i="103"/>
  <c r="C30" i="103"/>
  <c r="B30" i="103"/>
  <c r="A30" i="103"/>
  <c r="S29" i="103"/>
  <c r="R29" i="103"/>
  <c r="N29" i="103"/>
  <c r="M29" i="103"/>
  <c r="F29" i="103"/>
  <c r="C29" i="103"/>
  <c r="B29" i="103"/>
  <c r="A29" i="103"/>
  <c r="P29" i="103" s="1"/>
  <c r="S28" i="103"/>
  <c r="R28" i="103"/>
  <c r="N28" i="103"/>
  <c r="M28" i="103"/>
  <c r="F28" i="103"/>
  <c r="C28" i="103"/>
  <c r="B28" i="103"/>
  <c r="A28" i="103"/>
  <c r="P28" i="103" s="1"/>
  <c r="S27" i="103"/>
  <c r="R27" i="103"/>
  <c r="N27" i="103"/>
  <c r="M27" i="103"/>
  <c r="F27" i="103"/>
  <c r="C27" i="103"/>
  <c r="B27" i="103"/>
  <c r="A27" i="103"/>
  <c r="P27" i="103" s="1"/>
  <c r="S26" i="103"/>
  <c r="R26" i="103"/>
  <c r="P26" i="103"/>
  <c r="N26" i="103"/>
  <c r="M26" i="103"/>
  <c r="F26" i="103"/>
  <c r="C26" i="103"/>
  <c r="B26" i="103"/>
  <c r="A26" i="103"/>
  <c r="S25" i="103"/>
  <c r="R25" i="103"/>
  <c r="N25" i="103"/>
  <c r="M25" i="103"/>
  <c r="F25" i="103"/>
  <c r="C25" i="103"/>
  <c r="B25" i="103"/>
  <c r="A25" i="103"/>
  <c r="P25" i="103" s="1"/>
  <c r="S24" i="103"/>
  <c r="R24" i="103"/>
  <c r="P24" i="103"/>
  <c r="N24" i="103"/>
  <c r="M24" i="103"/>
  <c r="F24" i="103"/>
  <c r="C24" i="103"/>
  <c r="B24" i="103"/>
  <c r="A24" i="103"/>
  <c r="S23" i="103"/>
  <c r="R23" i="103"/>
  <c r="N23" i="103"/>
  <c r="M23" i="103"/>
  <c r="F23" i="103"/>
  <c r="C23" i="103"/>
  <c r="B23" i="103"/>
  <c r="A23" i="103"/>
  <c r="P23" i="103" s="1"/>
  <c r="S22" i="103"/>
  <c r="R22" i="103"/>
  <c r="P22" i="103"/>
  <c r="N22" i="103"/>
  <c r="M22" i="103"/>
  <c r="F22" i="103"/>
  <c r="C22" i="103"/>
  <c r="B22" i="103"/>
  <c r="A22" i="103"/>
  <c r="S21" i="103"/>
  <c r="R21" i="103"/>
  <c r="N21" i="103"/>
  <c r="M21" i="103"/>
  <c r="F21" i="103"/>
  <c r="C21" i="103"/>
  <c r="B21" i="103"/>
  <c r="A21" i="103"/>
  <c r="P21" i="103" s="1"/>
  <c r="S20" i="103"/>
  <c r="R20" i="103"/>
  <c r="N20" i="103"/>
  <c r="M20" i="103"/>
  <c r="F20" i="103"/>
  <c r="C20" i="103"/>
  <c r="B20" i="103"/>
  <c r="A20" i="103"/>
  <c r="S19" i="103"/>
  <c r="R19" i="103"/>
  <c r="N19" i="103"/>
  <c r="M19" i="103"/>
  <c r="F19" i="103"/>
  <c r="C19" i="103"/>
  <c r="B19" i="103"/>
  <c r="A19" i="103"/>
  <c r="S18" i="103"/>
  <c r="R18" i="103"/>
  <c r="N18" i="103"/>
  <c r="M18" i="103"/>
  <c r="F18" i="103"/>
  <c r="C18" i="103"/>
  <c r="B18" i="103"/>
  <c r="A18" i="103"/>
  <c r="S17" i="103"/>
  <c r="R17" i="103"/>
  <c r="N17" i="103"/>
  <c r="M17" i="103"/>
  <c r="F17" i="103"/>
  <c r="C17" i="103"/>
  <c r="B17" i="103"/>
  <c r="A17" i="103"/>
  <c r="S16" i="103"/>
  <c r="R16" i="103"/>
  <c r="N16" i="103"/>
  <c r="M16" i="103"/>
  <c r="F16" i="103"/>
  <c r="C16" i="103"/>
  <c r="B16" i="103"/>
  <c r="A16" i="103"/>
  <c r="S15" i="103"/>
  <c r="R15" i="103"/>
  <c r="N15" i="103"/>
  <c r="M15" i="103"/>
  <c r="F15" i="103"/>
  <c r="C15" i="103"/>
  <c r="B15" i="103"/>
  <c r="A15" i="103"/>
  <c r="S14" i="103"/>
  <c r="R14" i="103"/>
  <c r="N14" i="103"/>
  <c r="M14" i="103"/>
  <c r="F14" i="103"/>
  <c r="C14" i="103"/>
  <c r="B14" i="103"/>
  <c r="A14" i="103"/>
  <c r="S13" i="103"/>
  <c r="R13" i="103"/>
  <c r="N13" i="103"/>
  <c r="M13" i="103"/>
  <c r="F13" i="103"/>
  <c r="C13" i="103"/>
  <c r="B13" i="103"/>
  <c r="A13" i="103"/>
  <c r="S12" i="103"/>
  <c r="R12" i="103"/>
  <c r="N12" i="103"/>
  <c r="M12" i="103"/>
  <c r="F12" i="103"/>
  <c r="C12" i="103"/>
  <c r="B12" i="103"/>
  <c r="A12" i="103"/>
  <c r="S11" i="103"/>
  <c r="R11" i="103"/>
  <c r="N11" i="103"/>
  <c r="N36" i="103" s="1"/>
  <c r="M11" i="103"/>
  <c r="F11" i="103"/>
  <c r="C11" i="103"/>
  <c r="B11" i="103"/>
  <c r="A11" i="103"/>
  <c r="O36" i="102"/>
  <c r="K36" i="102"/>
  <c r="J36" i="102"/>
  <c r="H36" i="102"/>
  <c r="G36" i="102"/>
  <c r="F36" i="102"/>
  <c r="S35" i="102"/>
  <c r="R35" i="102"/>
  <c r="N35" i="102"/>
  <c r="M35" i="102"/>
  <c r="F35" i="102"/>
  <c r="C35" i="102"/>
  <c r="B35" i="102"/>
  <c r="A35" i="102"/>
  <c r="P35" i="102" s="1"/>
  <c r="S34" i="102"/>
  <c r="R34" i="102"/>
  <c r="P34" i="102"/>
  <c r="N34" i="102"/>
  <c r="M34" i="102"/>
  <c r="F34" i="102"/>
  <c r="C34" i="102"/>
  <c r="B34" i="102"/>
  <c r="A34" i="102"/>
  <c r="S33" i="102"/>
  <c r="R33" i="102"/>
  <c r="N33" i="102"/>
  <c r="M33" i="102"/>
  <c r="F33" i="102"/>
  <c r="C33" i="102"/>
  <c r="B33" i="102"/>
  <c r="A33" i="102"/>
  <c r="P33" i="102" s="1"/>
  <c r="S32" i="102"/>
  <c r="R32" i="102"/>
  <c r="P32" i="102"/>
  <c r="N32" i="102"/>
  <c r="M32" i="102"/>
  <c r="F32" i="102"/>
  <c r="C32" i="102"/>
  <c r="B32" i="102"/>
  <c r="A32" i="102"/>
  <c r="S31" i="102"/>
  <c r="R31" i="102"/>
  <c r="P31" i="102"/>
  <c r="N31" i="102"/>
  <c r="M31" i="102"/>
  <c r="F31" i="102"/>
  <c r="C31" i="102"/>
  <c r="B31" i="102"/>
  <c r="A31" i="102"/>
  <c r="S30" i="102"/>
  <c r="R30" i="102"/>
  <c r="P30" i="102"/>
  <c r="N30" i="102"/>
  <c r="M30" i="102"/>
  <c r="F30" i="102"/>
  <c r="C30" i="102"/>
  <c r="B30" i="102"/>
  <c r="A30" i="102"/>
  <c r="S29" i="102"/>
  <c r="R29" i="102"/>
  <c r="N29" i="102"/>
  <c r="M29" i="102"/>
  <c r="F29" i="102"/>
  <c r="C29" i="102"/>
  <c r="B29" i="102"/>
  <c r="A29" i="102"/>
  <c r="P29" i="102" s="1"/>
  <c r="S28" i="102"/>
  <c r="R28" i="102"/>
  <c r="P28" i="102"/>
  <c r="N28" i="102"/>
  <c r="M28" i="102"/>
  <c r="F28" i="102"/>
  <c r="C28" i="102"/>
  <c r="B28" i="102"/>
  <c r="A28" i="102"/>
  <c r="S27" i="102"/>
  <c r="R27" i="102"/>
  <c r="N27" i="102"/>
  <c r="M27" i="102"/>
  <c r="F27" i="102"/>
  <c r="C27" i="102"/>
  <c r="B27" i="102"/>
  <c r="A27" i="102"/>
  <c r="P27" i="102" s="1"/>
  <c r="S26" i="102"/>
  <c r="R26" i="102"/>
  <c r="P26" i="102"/>
  <c r="N26" i="102"/>
  <c r="M26" i="102"/>
  <c r="F26" i="102"/>
  <c r="C26" i="102"/>
  <c r="B26" i="102"/>
  <c r="A26" i="102"/>
  <c r="S25" i="102"/>
  <c r="R25" i="102"/>
  <c r="N25" i="102"/>
  <c r="M25" i="102"/>
  <c r="F25" i="102"/>
  <c r="C25" i="102"/>
  <c r="B25" i="102"/>
  <c r="A25" i="102"/>
  <c r="P25" i="102" s="1"/>
  <c r="S24" i="102"/>
  <c r="R24" i="102"/>
  <c r="N24" i="102"/>
  <c r="M24" i="102"/>
  <c r="F24" i="102"/>
  <c r="C24" i="102"/>
  <c r="B24" i="102"/>
  <c r="A24" i="102"/>
  <c r="P24" i="102" s="1"/>
  <c r="S23" i="102"/>
  <c r="R23" i="102"/>
  <c r="P23" i="102"/>
  <c r="N23" i="102"/>
  <c r="M23" i="102"/>
  <c r="F23" i="102"/>
  <c r="C23" i="102"/>
  <c r="B23" i="102"/>
  <c r="A23" i="102"/>
  <c r="S22" i="102"/>
  <c r="R22" i="102"/>
  <c r="P22" i="102"/>
  <c r="N22" i="102"/>
  <c r="M22" i="102"/>
  <c r="F22" i="102"/>
  <c r="C22" i="102"/>
  <c r="B22" i="102"/>
  <c r="A22" i="102"/>
  <c r="S21" i="102"/>
  <c r="R21" i="102"/>
  <c r="N21" i="102"/>
  <c r="M21" i="102"/>
  <c r="F21" i="102"/>
  <c r="C21" i="102"/>
  <c r="B21" i="102"/>
  <c r="A21" i="102"/>
  <c r="P21" i="102" s="1"/>
  <c r="S20" i="102"/>
  <c r="R20" i="102"/>
  <c r="N20" i="102"/>
  <c r="M20" i="102"/>
  <c r="F20" i="102"/>
  <c r="C20" i="102"/>
  <c r="B20" i="102"/>
  <c r="A20" i="102"/>
  <c r="S19" i="102"/>
  <c r="R19" i="102"/>
  <c r="N19" i="102"/>
  <c r="M19" i="102"/>
  <c r="F19" i="102"/>
  <c r="C19" i="102"/>
  <c r="B19" i="102"/>
  <c r="A19" i="102"/>
  <c r="S18" i="102"/>
  <c r="R18" i="102"/>
  <c r="N18" i="102"/>
  <c r="M18" i="102"/>
  <c r="F18" i="102"/>
  <c r="C18" i="102"/>
  <c r="B18" i="102"/>
  <c r="A18" i="102"/>
  <c r="S17" i="102"/>
  <c r="R17" i="102"/>
  <c r="N17" i="102"/>
  <c r="M17" i="102"/>
  <c r="F17" i="102"/>
  <c r="C17" i="102"/>
  <c r="B17" i="102"/>
  <c r="A17" i="102"/>
  <c r="S16" i="102"/>
  <c r="R16" i="102"/>
  <c r="N16" i="102"/>
  <c r="M16" i="102"/>
  <c r="F16" i="102"/>
  <c r="C16" i="102"/>
  <c r="B16" i="102"/>
  <c r="A16" i="102"/>
  <c r="S15" i="102"/>
  <c r="R15" i="102"/>
  <c r="N15" i="102"/>
  <c r="M15" i="102"/>
  <c r="F15" i="102"/>
  <c r="C15" i="102"/>
  <c r="B15" i="102"/>
  <c r="A15" i="102"/>
  <c r="S14" i="102"/>
  <c r="R14" i="102"/>
  <c r="N14" i="102"/>
  <c r="M14" i="102"/>
  <c r="F14" i="102"/>
  <c r="C14" i="102"/>
  <c r="B14" i="102"/>
  <c r="A14" i="102"/>
  <c r="S13" i="102"/>
  <c r="R13" i="102"/>
  <c r="N13" i="102"/>
  <c r="M13" i="102"/>
  <c r="F13" i="102"/>
  <c r="C13" i="102"/>
  <c r="B13" i="102"/>
  <c r="A13" i="102"/>
  <c r="S12" i="102"/>
  <c r="R12" i="102"/>
  <c r="N12" i="102"/>
  <c r="M12" i="102"/>
  <c r="F12" i="102"/>
  <c r="C12" i="102"/>
  <c r="B12" i="102"/>
  <c r="A12" i="102"/>
  <c r="S11" i="102"/>
  <c r="R11" i="102"/>
  <c r="N11" i="102"/>
  <c r="M11" i="102"/>
  <c r="F11" i="102"/>
  <c r="C11" i="102"/>
  <c r="B11" i="102"/>
  <c r="A11" i="102"/>
  <c r="O36" i="101"/>
  <c r="M36" i="101"/>
  <c r="K36" i="101"/>
  <c r="J36" i="101"/>
  <c r="H36" i="101"/>
  <c r="G36" i="101"/>
  <c r="S35" i="101"/>
  <c r="R35" i="101"/>
  <c r="N35" i="101"/>
  <c r="M35" i="101"/>
  <c r="F35" i="101"/>
  <c r="C35" i="101"/>
  <c r="B35" i="101"/>
  <c r="A35" i="101"/>
  <c r="P35" i="101" s="1"/>
  <c r="S34" i="101"/>
  <c r="R34" i="101"/>
  <c r="N34" i="101"/>
  <c r="M34" i="101"/>
  <c r="F34" i="101"/>
  <c r="C34" i="101"/>
  <c r="B34" i="101"/>
  <c r="A34" i="101"/>
  <c r="P34" i="101" s="1"/>
  <c r="S33" i="101"/>
  <c r="R33" i="101"/>
  <c r="P33" i="101"/>
  <c r="N33" i="101"/>
  <c r="M33" i="101"/>
  <c r="F33" i="101"/>
  <c r="C33" i="101"/>
  <c r="B33" i="101"/>
  <c r="A33" i="101"/>
  <c r="S32" i="101"/>
  <c r="R32" i="101"/>
  <c r="P32" i="101"/>
  <c r="M30" i="97" s="1"/>
  <c r="N32" i="101"/>
  <c r="M32" i="101"/>
  <c r="F32" i="101"/>
  <c r="C32" i="101"/>
  <c r="B32" i="101"/>
  <c r="A32" i="101"/>
  <c r="S31" i="101"/>
  <c r="R31" i="101"/>
  <c r="P31" i="101"/>
  <c r="N31" i="101"/>
  <c r="M31" i="101"/>
  <c r="F31" i="101"/>
  <c r="C31" i="101"/>
  <c r="B31" i="101"/>
  <c r="A31" i="101"/>
  <c r="S30" i="101"/>
  <c r="R30" i="101"/>
  <c r="N30" i="101"/>
  <c r="M30" i="101"/>
  <c r="F30" i="101"/>
  <c r="C30" i="101"/>
  <c r="B30" i="101"/>
  <c r="A30" i="101"/>
  <c r="P30" i="101" s="1"/>
  <c r="S29" i="101"/>
  <c r="R29" i="101"/>
  <c r="P29" i="101"/>
  <c r="N29" i="101"/>
  <c r="M29" i="101"/>
  <c r="F29" i="101"/>
  <c r="C29" i="101"/>
  <c r="B29" i="101"/>
  <c r="A29" i="101"/>
  <c r="S28" i="101"/>
  <c r="R28" i="101"/>
  <c r="P28" i="101"/>
  <c r="N28" i="101"/>
  <c r="M28" i="101"/>
  <c r="F28" i="101"/>
  <c r="C28" i="101"/>
  <c r="B28" i="101"/>
  <c r="A28" i="101"/>
  <c r="S27" i="101"/>
  <c r="R27" i="101"/>
  <c r="N27" i="101"/>
  <c r="M27" i="101"/>
  <c r="F27" i="101"/>
  <c r="C27" i="101"/>
  <c r="B27" i="101"/>
  <c r="A27" i="101"/>
  <c r="P27" i="101" s="1"/>
  <c r="M25" i="97" s="1"/>
  <c r="S26" i="101"/>
  <c r="R26" i="101"/>
  <c r="N26" i="101"/>
  <c r="M26" i="101"/>
  <c r="I24" i="97" s="1"/>
  <c r="F26" i="101"/>
  <c r="C26" i="101"/>
  <c r="B26" i="101"/>
  <c r="A26" i="101"/>
  <c r="P26" i="101" s="1"/>
  <c r="S25" i="101"/>
  <c r="R25" i="101"/>
  <c r="P25" i="101"/>
  <c r="N25" i="101"/>
  <c r="M25" i="101"/>
  <c r="F25" i="101"/>
  <c r="C25" i="101"/>
  <c r="B25" i="101"/>
  <c r="A25" i="101"/>
  <c r="S24" i="101"/>
  <c r="R24" i="101"/>
  <c r="P24" i="101"/>
  <c r="N24" i="101"/>
  <c r="M24" i="101"/>
  <c r="F24" i="101"/>
  <c r="C24" i="101"/>
  <c r="B24" i="101"/>
  <c r="A24" i="101"/>
  <c r="S23" i="101"/>
  <c r="R23" i="101"/>
  <c r="P23" i="101"/>
  <c r="N23" i="101"/>
  <c r="M23" i="101"/>
  <c r="I21" i="97" s="1"/>
  <c r="F23" i="101"/>
  <c r="C23" i="101"/>
  <c r="B23" i="101"/>
  <c r="A23" i="101"/>
  <c r="S22" i="101"/>
  <c r="R22" i="101"/>
  <c r="N22" i="101"/>
  <c r="M22" i="101"/>
  <c r="F22" i="101"/>
  <c r="C22" i="101"/>
  <c r="B22" i="101"/>
  <c r="A22" i="101"/>
  <c r="P22" i="101" s="1"/>
  <c r="S21" i="101"/>
  <c r="R21" i="101"/>
  <c r="N21" i="101"/>
  <c r="M21" i="101"/>
  <c r="F21" i="101"/>
  <c r="C21" i="101"/>
  <c r="B21" i="101"/>
  <c r="A21" i="101"/>
  <c r="P21" i="101" s="1"/>
  <c r="S20" i="101"/>
  <c r="R20" i="101"/>
  <c r="N20" i="101"/>
  <c r="M20" i="101"/>
  <c r="F20" i="101"/>
  <c r="C20" i="101"/>
  <c r="B20" i="101"/>
  <c r="A20" i="101"/>
  <c r="S19" i="101"/>
  <c r="R19" i="101"/>
  <c r="N19" i="101"/>
  <c r="M19" i="101"/>
  <c r="F19" i="101"/>
  <c r="C19" i="101"/>
  <c r="B19" i="101"/>
  <c r="A19" i="101"/>
  <c r="S18" i="101"/>
  <c r="R18" i="101"/>
  <c r="N18" i="101"/>
  <c r="M18" i="101"/>
  <c r="F18" i="101"/>
  <c r="C18" i="101"/>
  <c r="B18" i="101"/>
  <c r="A18" i="101"/>
  <c r="S17" i="101"/>
  <c r="R17" i="101"/>
  <c r="N17" i="101"/>
  <c r="M17" i="101"/>
  <c r="F17" i="101"/>
  <c r="C17" i="101"/>
  <c r="B17" i="101"/>
  <c r="A17" i="101"/>
  <c r="S16" i="101"/>
  <c r="R16" i="101"/>
  <c r="N16" i="101"/>
  <c r="M16" i="101"/>
  <c r="F16" i="101"/>
  <c r="C16" i="101"/>
  <c r="B16" i="101"/>
  <c r="A16" i="101"/>
  <c r="S15" i="101"/>
  <c r="R15" i="101"/>
  <c r="N15" i="101"/>
  <c r="M15" i="101"/>
  <c r="F15" i="101"/>
  <c r="C15" i="101"/>
  <c r="B15" i="101"/>
  <c r="A15" i="101"/>
  <c r="S14" i="101"/>
  <c r="R14" i="101"/>
  <c r="N14" i="101"/>
  <c r="M14" i="101"/>
  <c r="F14" i="101"/>
  <c r="C14" i="101"/>
  <c r="B14" i="101"/>
  <c r="A14" i="101"/>
  <c r="S13" i="101"/>
  <c r="R13" i="101"/>
  <c r="N13" i="101"/>
  <c r="M13" i="101"/>
  <c r="F13" i="101"/>
  <c r="C13" i="101"/>
  <c r="B13" i="101"/>
  <c r="A13" i="101"/>
  <c r="S12" i="101"/>
  <c r="R12" i="101"/>
  <c r="N12" i="101"/>
  <c r="M12" i="101"/>
  <c r="F12" i="101"/>
  <c r="C12" i="101"/>
  <c r="B12" i="101"/>
  <c r="A12" i="101"/>
  <c r="S11" i="101"/>
  <c r="R11" i="101"/>
  <c r="N11" i="101"/>
  <c r="M11" i="101"/>
  <c r="I9" i="97" s="1"/>
  <c r="F11" i="101"/>
  <c r="C11" i="101"/>
  <c r="B11" i="101"/>
  <c r="A11" i="101"/>
  <c r="L33" i="100"/>
  <c r="I33" i="100"/>
  <c r="H33" i="100"/>
  <c r="F33" i="100"/>
  <c r="B33" i="100"/>
  <c r="A33" i="100"/>
  <c r="L32" i="100"/>
  <c r="I32" i="100"/>
  <c r="H32" i="100"/>
  <c r="F32" i="100"/>
  <c r="B32" i="100"/>
  <c r="A32" i="100"/>
  <c r="L31" i="100"/>
  <c r="I31" i="100"/>
  <c r="H31" i="100"/>
  <c r="F31" i="100"/>
  <c r="B31" i="100"/>
  <c r="A31" i="100"/>
  <c r="L30" i="100"/>
  <c r="I30" i="100"/>
  <c r="H30" i="100"/>
  <c r="F30" i="100"/>
  <c r="B30" i="100"/>
  <c r="A30" i="100"/>
  <c r="L29" i="100"/>
  <c r="I29" i="100"/>
  <c r="H29" i="100"/>
  <c r="F29" i="100"/>
  <c r="B29" i="100"/>
  <c r="A29" i="100"/>
  <c r="L28" i="100"/>
  <c r="I28" i="100"/>
  <c r="H28" i="100"/>
  <c r="F28" i="100"/>
  <c r="B28" i="100"/>
  <c r="A28" i="100"/>
  <c r="L27" i="100"/>
  <c r="I27" i="100"/>
  <c r="H27" i="100"/>
  <c r="F27" i="100"/>
  <c r="B27" i="100"/>
  <c r="A27" i="100"/>
  <c r="L26" i="100"/>
  <c r="I26" i="100"/>
  <c r="H26" i="100"/>
  <c r="F26" i="100"/>
  <c r="B26" i="100"/>
  <c r="A26" i="100"/>
  <c r="L25" i="100"/>
  <c r="I25" i="100"/>
  <c r="H25" i="100"/>
  <c r="F25" i="100"/>
  <c r="B25" i="100"/>
  <c r="A25" i="100"/>
  <c r="L24" i="100"/>
  <c r="I24" i="100"/>
  <c r="H24" i="100"/>
  <c r="F24" i="100"/>
  <c r="B24" i="100"/>
  <c r="A24" i="100"/>
  <c r="L23" i="100"/>
  <c r="H23" i="100"/>
  <c r="F23" i="100"/>
  <c r="B23" i="100"/>
  <c r="A23" i="100"/>
  <c r="L22" i="100"/>
  <c r="I22" i="100"/>
  <c r="H22" i="100"/>
  <c r="F22" i="100"/>
  <c r="B22" i="100"/>
  <c r="A22" i="100"/>
  <c r="M21" i="100"/>
  <c r="L21" i="100"/>
  <c r="I21" i="100"/>
  <c r="H21" i="100"/>
  <c r="F21" i="100"/>
  <c r="B21" i="100"/>
  <c r="A21" i="100"/>
  <c r="M20" i="100"/>
  <c r="L20" i="100"/>
  <c r="I20" i="100"/>
  <c r="H20" i="100"/>
  <c r="F20" i="100"/>
  <c r="B20" i="100"/>
  <c r="A20" i="100"/>
  <c r="L19" i="100"/>
  <c r="I19" i="100"/>
  <c r="H19" i="100"/>
  <c r="F19" i="100"/>
  <c r="B19" i="100"/>
  <c r="A19" i="100"/>
  <c r="L18" i="100"/>
  <c r="I18" i="100"/>
  <c r="H18" i="100"/>
  <c r="F18" i="100"/>
  <c r="B18" i="100"/>
  <c r="A18" i="100"/>
  <c r="L17" i="100"/>
  <c r="I17" i="100"/>
  <c r="H17" i="100"/>
  <c r="F17" i="100"/>
  <c r="B17" i="100"/>
  <c r="A17" i="100"/>
  <c r="L16" i="100"/>
  <c r="I16" i="100"/>
  <c r="H16" i="100"/>
  <c r="F16" i="100"/>
  <c r="B16" i="100"/>
  <c r="A16" i="100"/>
  <c r="L15" i="100"/>
  <c r="I15" i="100"/>
  <c r="H15" i="100"/>
  <c r="F15" i="100"/>
  <c r="B15" i="100"/>
  <c r="A15" i="100"/>
  <c r="L14" i="100"/>
  <c r="I14" i="100"/>
  <c r="H14" i="100"/>
  <c r="F14" i="100"/>
  <c r="B14" i="100"/>
  <c r="A14" i="100"/>
  <c r="L13" i="100"/>
  <c r="I13" i="100"/>
  <c r="H13" i="100"/>
  <c r="F13" i="100"/>
  <c r="B13" i="100"/>
  <c r="A13" i="100"/>
  <c r="L12" i="100"/>
  <c r="I12" i="100"/>
  <c r="H12" i="100"/>
  <c r="F12" i="100"/>
  <c r="B12" i="100"/>
  <c r="A12" i="100"/>
  <c r="L11" i="100"/>
  <c r="I11" i="100"/>
  <c r="H11" i="100"/>
  <c r="F11" i="100"/>
  <c r="B11" i="100"/>
  <c r="A11" i="100"/>
  <c r="L10" i="100"/>
  <c r="I10" i="100"/>
  <c r="H10" i="100"/>
  <c r="F10" i="100"/>
  <c r="B10" i="100"/>
  <c r="A10" i="100"/>
  <c r="L9" i="100"/>
  <c r="I9" i="100"/>
  <c r="H9" i="100"/>
  <c r="F9" i="100"/>
  <c r="B9" i="100"/>
  <c r="A9" i="100"/>
  <c r="L33" i="99"/>
  <c r="I33" i="99"/>
  <c r="H33" i="99"/>
  <c r="F33" i="99"/>
  <c r="B33" i="99"/>
  <c r="A33" i="99"/>
  <c r="L32" i="99"/>
  <c r="I32" i="99"/>
  <c r="H32" i="99"/>
  <c r="F32" i="99"/>
  <c r="B32" i="99"/>
  <c r="A32" i="99"/>
  <c r="L31" i="99"/>
  <c r="I31" i="99"/>
  <c r="H31" i="99"/>
  <c r="F31" i="99"/>
  <c r="B31" i="99"/>
  <c r="A31" i="99"/>
  <c r="L30" i="99"/>
  <c r="I30" i="99"/>
  <c r="H30" i="99"/>
  <c r="F30" i="99"/>
  <c r="B30" i="99"/>
  <c r="A30" i="99"/>
  <c r="L29" i="99"/>
  <c r="I29" i="99"/>
  <c r="H29" i="99"/>
  <c r="F29" i="99"/>
  <c r="B29" i="99"/>
  <c r="A29" i="99"/>
  <c r="L28" i="99"/>
  <c r="I28" i="99"/>
  <c r="H28" i="99"/>
  <c r="F28" i="99"/>
  <c r="B28" i="99"/>
  <c r="A28" i="99"/>
  <c r="L27" i="99"/>
  <c r="I27" i="99"/>
  <c r="H27" i="99"/>
  <c r="F27" i="99"/>
  <c r="B27" i="99"/>
  <c r="A27" i="99"/>
  <c r="L26" i="99"/>
  <c r="I26" i="99"/>
  <c r="H26" i="99"/>
  <c r="F26" i="99"/>
  <c r="B26" i="99"/>
  <c r="A26" i="99"/>
  <c r="L25" i="99"/>
  <c r="I25" i="99"/>
  <c r="H25" i="99"/>
  <c r="F25" i="99"/>
  <c r="B25" i="99"/>
  <c r="A25" i="99"/>
  <c r="L24" i="99"/>
  <c r="I24" i="99"/>
  <c r="H24" i="99"/>
  <c r="F24" i="99"/>
  <c r="B24" i="99"/>
  <c r="A24" i="99"/>
  <c r="L23" i="99"/>
  <c r="I23" i="99"/>
  <c r="H23" i="99"/>
  <c r="F23" i="99"/>
  <c r="B23" i="99"/>
  <c r="A23" i="99"/>
  <c r="L22" i="99"/>
  <c r="I22" i="99"/>
  <c r="H22" i="99"/>
  <c r="F22" i="99"/>
  <c r="B22" i="99"/>
  <c r="A22" i="99"/>
  <c r="L21" i="99"/>
  <c r="I21" i="99"/>
  <c r="H21" i="99"/>
  <c r="F21" i="99"/>
  <c r="B21" i="99"/>
  <c r="A21" i="99"/>
  <c r="L20" i="99"/>
  <c r="I20" i="99"/>
  <c r="H20" i="99"/>
  <c r="F20" i="99"/>
  <c r="B20" i="99"/>
  <c r="A20" i="99"/>
  <c r="L19" i="99"/>
  <c r="I19" i="99"/>
  <c r="H19" i="99"/>
  <c r="F19" i="99"/>
  <c r="B19" i="99"/>
  <c r="A19" i="99"/>
  <c r="L18" i="99"/>
  <c r="I18" i="99"/>
  <c r="H18" i="99"/>
  <c r="F18" i="99"/>
  <c r="B18" i="99"/>
  <c r="A18" i="99"/>
  <c r="L17" i="99"/>
  <c r="I17" i="99"/>
  <c r="H17" i="99"/>
  <c r="F17" i="99"/>
  <c r="B17" i="99"/>
  <c r="A17" i="99"/>
  <c r="L16" i="99"/>
  <c r="I16" i="99"/>
  <c r="H16" i="99"/>
  <c r="F16" i="99"/>
  <c r="B16" i="99"/>
  <c r="A16" i="99"/>
  <c r="L15" i="99"/>
  <c r="I15" i="99"/>
  <c r="H15" i="99"/>
  <c r="F15" i="99"/>
  <c r="B15" i="99"/>
  <c r="A15" i="99"/>
  <c r="L14" i="99"/>
  <c r="I14" i="99"/>
  <c r="H14" i="99"/>
  <c r="F14" i="99"/>
  <c r="B14" i="99"/>
  <c r="A14" i="99"/>
  <c r="L13" i="99"/>
  <c r="I13" i="99"/>
  <c r="H13" i="99"/>
  <c r="F13" i="99"/>
  <c r="B13" i="99"/>
  <c r="A13" i="99"/>
  <c r="L12" i="99"/>
  <c r="I12" i="99"/>
  <c r="H12" i="99"/>
  <c r="F12" i="99"/>
  <c r="B12" i="99"/>
  <c r="A12" i="99"/>
  <c r="L11" i="99"/>
  <c r="I11" i="99"/>
  <c r="H11" i="99"/>
  <c r="F11" i="99"/>
  <c r="B11" i="99"/>
  <c r="A11" i="99"/>
  <c r="L10" i="99"/>
  <c r="I10" i="99"/>
  <c r="H10" i="99"/>
  <c r="F10" i="99"/>
  <c r="B10" i="99"/>
  <c r="A10" i="99"/>
  <c r="L9" i="99"/>
  <c r="I9" i="99"/>
  <c r="H9" i="99"/>
  <c r="F9" i="99"/>
  <c r="B9" i="99"/>
  <c r="A9" i="99"/>
  <c r="L33" i="98"/>
  <c r="I33" i="98"/>
  <c r="H33" i="98"/>
  <c r="F33" i="98"/>
  <c r="B33" i="98"/>
  <c r="A33" i="98"/>
  <c r="L32" i="98"/>
  <c r="I32" i="98"/>
  <c r="H32" i="98"/>
  <c r="F32" i="98"/>
  <c r="B32" i="98"/>
  <c r="A32" i="98"/>
  <c r="L31" i="98"/>
  <c r="I31" i="98"/>
  <c r="H31" i="98"/>
  <c r="F31" i="98"/>
  <c r="B31" i="98"/>
  <c r="A31" i="98"/>
  <c r="L30" i="98"/>
  <c r="I30" i="98"/>
  <c r="H30" i="98"/>
  <c r="F30" i="98"/>
  <c r="B30" i="98"/>
  <c r="A30" i="98"/>
  <c r="L29" i="98"/>
  <c r="I29" i="98"/>
  <c r="H29" i="98"/>
  <c r="F29" i="98"/>
  <c r="B29" i="98"/>
  <c r="A29" i="98"/>
  <c r="L28" i="98"/>
  <c r="I28" i="98"/>
  <c r="H28" i="98"/>
  <c r="F28" i="98"/>
  <c r="B28" i="98"/>
  <c r="A28" i="98"/>
  <c r="L27" i="98"/>
  <c r="I27" i="98"/>
  <c r="H27" i="98"/>
  <c r="F27" i="98"/>
  <c r="B27" i="98"/>
  <c r="A27" i="98"/>
  <c r="L26" i="98"/>
  <c r="I26" i="98"/>
  <c r="H26" i="98"/>
  <c r="F26" i="98"/>
  <c r="B26" i="98"/>
  <c r="A26" i="98"/>
  <c r="L25" i="98"/>
  <c r="I25" i="98"/>
  <c r="H25" i="98"/>
  <c r="F25" i="98"/>
  <c r="B25" i="98"/>
  <c r="A25" i="98"/>
  <c r="L24" i="98"/>
  <c r="H24" i="98"/>
  <c r="F24" i="98"/>
  <c r="B24" i="98"/>
  <c r="A24" i="98"/>
  <c r="L23" i="98"/>
  <c r="I23" i="98"/>
  <c r="H23" i="98"/>
  <c r="F23" i="98"/>
  <c r="B23" i="98"/>
  <c r="A23" i="98"/>
  <c r="L22" i="98"/>
  <c r="I22" i="98"/>
  <c r="H22" i="98"/>
  <c r="F22" i="98"/>
  <c r="B22" i="98"/>
  <c r="A22" i="98"/>
  <c r="L21" i="98"/>
  <c r="I21" i="98"/>
  <c r="H21" i="98"/>
  <c r="F21" i="98"/>
  <c r="B21" i="98"/>
  <c r="A21" i="98"/>
  <c r="L20" i="98"/>
  <c r="I20" i="98"/>
  <c r="H20" i="98"/>
  <c r="F20" i="98"/>
  <c r="B20" i="98"/>
  <c r="A20" i="98"/>
  <c r="L19" i="98"/>
  <c r="I19" i="98"/>
  <c r="H19" i="98"/>
  <c r="F19" i="98"/>
  <c r="B19" i="98"/>
  <c r="A19" i="98"/>
  <c r="L18" i="98"/>
  <c r="I18" i="98"/>
  <c r="H18" i="98"/>
  <c r="F18" i="98"/>
  <c r="B18" i="98"/>
  <c r="A18" i="98"/>
  <c r="L17" i="98"/>
  <c r="I17" i="98"/>
  <c r="H17" i="98"/>
  <c r="F17" i="98"/>
  <c r="B17" i="98"/>
  <c r="A17" i="98"/>
  <c r="L16" i="98"/>
  <c r="I16" i="98"/>
  <c r="H16" i="98"/>
  <c r="F16" i="98"/>
  <c r="B16" i="98"/>
  <c r="A16" i="98"/>
  <c r="L15" i="98"/>
  <c r="I15" i="98"/>
  <c r="H15" i="98"/>
  <c r="F15" i="98"/>
  <c r="B15" i="98"/>
  <c r="A15" i="98"/>
  <c r="L14" i="98"/>
  <c r="I14" i="98"/>
  <c r="H14" i="98"/>
  <c r="F14" i="98"/>
  <c r="B14" i="98"/>
  <c r="A14" i="98"/>
  <c r="L13" i="98"/>
  <c r="I13" i="98"/>
  <c r="H13" i="98"/>
  <c r="F13" i="98"/>
  <c r="B13" i="98"/>
  <c r="A13" i="98"/>
  <c r="L12" i="98"/>
  <c r="I12" i="98"/>
  <c r="H12" i="98"/>
  <c r="F12" i="98"/>
  <c r="B12" i="98"/>
  <c r="A12" i="98"/>
  <c r="L11" i="98"/>
  <c r="I11" i="98"/>
  <c r="H11" i="98"/>
  <c r="F11" i="98"/>
  <c r="B11" i="98"/>
  <c r="A11" i="98"/>
  <c r="L10" i="98"/>
  <c r="I10" i="98"/>
  <c r="H10" i="98"/>
  <c r="F10" i="98"/>
  <c r="B10" i="98"/>
  <c r="A10" i="98"/>
  <c r="L9" i="98"/>
  <c r="I9" i="98"/>
  <c r="H9" i="98"/>
  <c r="F9" i="98"/>
  <c r="B9" i="98"/>
  <c r="A9" i="98"/>
  <c r="L33" i="97"/>
  <c r="I33" i="97"/>
  <c r="H33" i="97"/>
  <c r="F33" i="97"/>
  <c r="B33" i="97"/>
  <c r="A33" i="97"/>
  <c r="L32" i="97"/>
  <c r="I32" i="97"/>
  <c r="H32" i="97"/>
  <c r="F32" i="97"/>
  <c r="B32" i="97"/>
  <c r="A32" i="97"/>
  <c r="L31" i="97"/>
  <c r="I31" i="97"/>
  <c r="H31" i="97"/>
  <c r="F31" i="97"/>
  <c r="B31" i="97"/>
  <c r="A31" i="97"/>
  <c r="L30" i="97"/>
  <c r="I30" i="97"/>
  <c r="H30" i="97"/>
  <c r="F30" i="97"/>
  <c r="B30" i="97"/>
  <c r="A30" i="97"/>
  <c r="L29" i="97"/>
  <c r="I29" i="97"/>
  <c r="H29" i="97"/>
  <c r="F29" i="97"/>
  <c r="B29" i="97"/>
  <c r="A29" i="97"/>
  <c r="L28" i="97"/>
  <c r="I28" i="97"/>
  <c r="H28" i="97"/>
  <c r="F28" i="97"/>
  <c r="B28" i="97"/>
  <c r="A28" i="97"/>
  <c r="L27" i="97"/>
  <c r="I27" i="97"/>
  <c r="H27" i="97"/>
  <c r="F27" i="97"/>
  <c r="B27" i="97"/>
  <c r="A27" i="97"/>
  <c r="L26" i="97"/>
  <c r="I26" i="97"/>
  <c r="H26" i="97"/>
  <c r="F26" i="97"/>
  <c r="B26" i="97"/>
  <c r="A26" i="97"/>
  <c r="L25" i="97"/>
  <c r="I25" i="97"/>
  <c r="H25" i="97"/>
  <c r="F25" i="97"/>
  <c r="B25" i="97"/>
  <c r="A25" i="97"/>
  <c r="L24" i="97"/>
  <c r="H24" i="97"/>
  <c r="F24" i="97"/>
  <c r="B24" i="97"/>
  <c r="A24" i="97"/>
  <c r="L23" i="97"/>
  <c r="I23" i="97"/>
  <c r="H23" i="97"/>
  <c r="F23" i="97"/>
  <c r="B23" i="97"/>
  <c r="A23" i="97"/>
  <c r="L22" i="97"/>
  <c r="I22" i="97"/>
  <c r="H22" i="97"/>
  <c r="F22" i="97"/>
  <c r="B22" i="97"/>
  <c r="A22" i="97"/>
  <c r="L21" i="97"/>
  <c r="H21" i="97"/>
  <c r="F21" i="97"/>
  <c r="B21" i="97"/>
  <c r="A21" i="97"/>
  <c r="L20" i="97"/>
  <c r="I20" i="97"/>
  <c r="H20" i="97"/>
  <c r="F20" i="97"/>
  <c r="B20" i="97"/>
  <c r="A20" i="97"/>
  <c r="L19" i="97"/>
  <c r="I19" i="97"/>
  <c r="H19" i="97"/>
  <c r="F19" i="97"/>
  <c r="B19" i="97"/>
  <c r="A19" i="97"/>
  <c r="L18" i="97"/>
  <c r="I18" i="97"/>
  <c r="H18" i="97"/>
  <c r="F18" i="97"/>
  <c r="B18" i="97"/>
  <c r="A18" i="97"/>
  <c r="L17" i="97"/>
  <c r="I17" i="97"/>
  <c r="H17" i="97"/>
  <c r="F17" i="97"/>
  <c r="B17" i="97"/>
  <c r="A17" i="97"/>
  <c r="L16" i="97"/>
  <c r="I16" i="97"/>
  <c r="H16" i="97"/>
  <c r="F16" i="97"/>
  <c r="B16" i="97"/>
  <c r="A16" i="97"/>
  <c r="L15" i="97"/>
  <c r="I15" i="97"/>
  <c r="H15" i="97"/>
  <c r="F15" i="97"/>
  <c r="B15" i="97"/>
  <c r="A15" i="97"/>
  <c r="L14" i="97"/>
  <c r="I14" i="97"/>
  <c r="H14" i="97"/>
  <c r="F14" i="97"/>
  <c r="B14" i="97"/>
  <c r="A14" i="97"/>
  <c r="L13" i="97"/>
  <c r="I13" i="97"/>
  <c r="H13" i="97"/>
  <c r="F13" i="97"/>
  <c r="B13" i="97"/>
  <c r="A13" i="97"/>
  <c r="L12" i="97"/>
  <c r="I12" i="97"/>
  <c r="H12" i="97"/>
  <c r="F12" i="97"/>
  <c r="B12" i="97"/>
  <c r="A12" i="97"/>
  <c r="L11" i="97"/>
  <c r="I11" i="97"/>
  <c r="H11" i="97"/>
  <c r="F11" i="97"/>
  <c r="B11" i="97"/>
  <c r="A11" i="97"/>
  <c r="L10" i="97"/>
  <c r="I10" i="97"/>
  <c r="H10" i="97"/>
  <c r="F10" i="97"/>
  <c r="B10" i="97"/>
  <c r="A10" i="97"/>
  <c r="L9" i="97"/>
  <c r="H9" i="97"/>
  <c r="F9" i="97"/>
  <c r="B9" i="97"/>
  <c r="A9" i="97"/>
  <c r="O36" i="96"/>
  <c r="K36" i="96"/>
  <c r="J36" i="96"/>
  <c r="H36" i="96"/>
  <c r="G36" i="96"/>
  <c r="S35" i="96"/>
  <c r="R35" i="96"/>
  <c r="N35" i="96"/>
  <c r="M35" i="96"/>
  <c r="F35" i="96"/>
  <c r="C35" i="96"/>
  <c r="B35" i="96"/>
  <c r="A35" i="96"/>
  <c r="P35" i="96" s="1"/>
  <c r="S34" i="96"/>
  <c r="R34" i="96"/>
  <c r="N34" i="96"/>
  <c r="M34" i="96"/>
  <c r="F34" i="96"/>
  <c r="C34" i="96"/>
  <c r="B34" i="96"/>
  <c r="A34" i="96"/>
  <c r="P34" i="96" s="1"/>
  <c r="S33" i="96"/>
  <c r="R33" i="96"/>
  <c r="N33" i="96"/>
  <c r="M33" i="96"/>
  <c r="F33" i="96"/>
  <c r="C33" i="96"/>
  <c r="B33" i="96"/>
  <c r="A33" i="96"/>
  <c r="P33" i="96" s="1"/>
  <c r="S32" i="96"/>
  <c r="R32" i="96"/>
  <c r="N32" i="96"/>
  <c r="M32" i="96"/>
  <c r="F32" i="96"/>
  <c r="C32" i="96"/>
  <c r="B32" i="96"/>
  <c r="A32" i="96"/>
  <c r="P32" i="96" s="1"/>
  <c r="S31" i="96"/>
  <c r="R31" i="96"/>
  <c r="P31" i="96"/>
  <c r="N31" i="96"/>
  <c r="M31" i="96"/>
  <c r="F31" i="96"/>
  <c r="C31" i="96"/>
  <c r="B31" i="96"/>
  <c r="A31" i="96"/>
  <c r="S30" i="96"/>
  <c r="R30" i="96"/>
  <c r="N30" i="96"/>
  <c r="M30" i="96"/>
  <c r="F30" i="96"/>
  <c r="C30" i="96"/>
  <c r="B30" i="96"/>
  <c r="A30" i="96"/>
  <c r="P30" i="96" s="1"/>
  <c r="S29" i="96"/>
  <c r="R29" i="96"/>
  <c r="P29" i="96"/>
  <c r="N29" i="96"/>
  <c r="M29" i="96"/>
  <c r="F29" i="96"/>
  <c r="C29" i="96"/>
  <c r="B29" i="96"/>
  <c r="A29" i="96"/>
  <c r="S28" i="96"/>
  <c r="R28" i="96"/>
  <c r="P28" i="96"/>
  <c r="N28" i="96"/>
  <c r="M28" i="96"/>
  <c r="F28" i="96"/>
  <c r="C28" i="96"/>
  <c r="B28" i="96"/>
  <c r="A28" i="96"/>
  <c r="S27" i="96"/>
  <c r="R27" i="96"/>
  <c r="N27" i="96"/>
  <c r="M27" i="96"/>
  <c r="F27" i="96"/>
  <c r="C27" i="96"/>
  <c r="B27" i="96"/>
  <c r="A27" i="96"/>
  <c r="P27" i="96" s="1"/>
  <c r="S26" i="96"/>
  <c r="R26" i="96"/>
  <c r="N26" i="96"/>
  <c r="M26" i="96"/>
  <c r="F26" i="96"/>
  <c r="C26" i="96"/>
  <c r="B26" i="96"/>
  <c r="A26" i="96"/>
  <c r="P26" i="96" s="1"/>
  <c r="S25" i="96"/>
  <c r="R25" i="96"/>
  <c r="P25" i="96"/>
  <c r="N25" i="96"/>
  <c r="M25" i="96"/>
  <c r="F25" i="96"/>
  <c r="C25" i="96"/>
  <c r="B25" i="96"/>
  <c r="A25" i="96"/>
  <c r="S24" i="96"/>
  <c r="R24" i="96"/>
  <c r="N24" i="96"/>
  <c r="M24" i="96"/>
  <c r="F24" i="96"/>
  <c r="C24" i="96"/>
  <c r="B24" i="96"/>
  <c r="A24" i="96"/>
  <c r="P24" i="96" s="1"/>
  <c r="S23" i="96"/>
  <c r="R23" i="96"/>
  <c r="P23" i="96"/>
  <c r="N23" i="96"/>
  <c r="M23" i="96"/>
  <c r="F23" i="96"/>
  <c r="C23" i="96"/>
  <c r="B23" i="96"/>
  <c r="A23" i="96"/>
  <c r="S22" i="96"/>
  <c r="R22" i="96"/>
  <c r="N22" i="96"/>
  <c r="M22" i="96"/>
  <c r="I20" i="84" s="1"/>
  <c r="F22" i="96"/>
  <c r="C22" i="96"/>
  <c r="B22" i="96"/>
  <c r="A22" i="96"/>
  <c r="P22" i="96" s="1"/>
  <c r="S21" i="96"/>
  <c r="R21" i="96"/>
  <c r="P21" i="96"/>
  <c r="N21" i="96"/>
  <c r="M21" i="96"/>
  <c r="F21" i="96"/>
  <c r="C21" i="96"/>
  <c r="B21" i="96"/>
  <c r="A21" i="96"/>
  <c r="S20" i="96"/>
  <c r="R20" i="96"/>
  <c r="N20" i="96"/>
  <c r="M20" i="96"/>
  <c r="F20" i="96"/>
  <c r="C20" i="96"/>
  <c r="B20" i="96"/>
  <c r="A20" i="96"/>
  <c r="S19" i="96"/>
  <c r="R19" i="96"/>
  <c r="N19" i="96"/>
  <c r="M19" i="96"/>
  <c r="F19" i="96"/>
  <c r="C19" i="96"/>
  <c r="B19" i="96"/>
  <c r="A19" i="96"/>
  <c r="S18" i="96"/>
  <c r="R18" i="96"/>
  <c r="N18" i="96"/>
  <c r="M18" i="96"/>
  <c r="F18" i="96"/>
  <c r="C18" i="96"/>
  <c r="B18" i="96"/>
  <c r="A18" i="96"/>
  <c r="S17" i="96"/>
  <c r="R17" i="96"/>
  <c r="N17" i="96"/>
  <c r="M17" i="96"/>
  <c r="I15" i="84" s="1"/>
  <c r="F17" i="96"/>
  <c r="C17" i="96"/>
  <c r="B17" i="96"/>
  <c r="A17" i="96"/>
  <c r="S16" i="96"/>
  <c r="R16" i="96"/>
  <c r="N16" i="96"/>
  <c r="M16" i="96"/>
  <c r="F16" i="96"/>
  <c r="C16" i="96"/>
  <c r="B16" i="96"/>
  <c r="A16" i="96"/>
  <c r="S15" i="96"/>
  <c r="R15" i="96"/>
  <c r="N15" i="96"/>
  <c r="M15" i="96"/>
  <c r="F15" i="96"/>
  <c r="C15" i="96"/>
  <c r="B15" i="96"/>
  <c r="A15" i="96"/>
  <c r="S14" i="96"/>
  <c r="R14" i="96"/>
  <c r="N14" i="96"/>
  <c r="M14" i="96"/>
  <c r="F14" i="96"/>
  <c r="C14" i="96"/>
  <c r="B14" i="96"/>
  <c r="A14" i="96"/>
  <c r="S13" i="96"/>
  <c r="R13" i="96"/>
  <c r="N13" i="96"/>
  <c r="M13" i="96"/>
  <c r="F13" i="96"/>
  <c r="C13" i="96"/>
  <c r="B13" i="96"/>
  <c r="A13" i="96"/>
  <c r="S12" i="96"/>
  <c r="R12" i="96"/>
  <c r="N12" i="96"/>
  <c r="M12" i="96"/>
  <c r="I10" i="84" s="1"/>
  <c r="F12" i="96"/>
  <c r="C12" i="96"/>
  <c r="B12" i="96"/>
  <c r="A12" i="96"/>
  <c r="S11" i="96"/>
  <c r="R11" i="96"/>
  <c r="N11" i="96"/>
  <c r="M11" i="96"/>
  <c r="F11" i="96"/>
  <c r="C11" i="96"/>
  <c r="B11" i="96"/>
  <c r="A11" i="96"/>
  <c r="O36" i="95"/>
  <c r="K36" i="95"/>
  <c r="J36" i="95"/>
  <c r="H36" i="95"/>
  <c r="G36" i="95"/>
  <c r="S35" i="95"/>
  <c r="R35" i="95"/>
  <c r="N35" i="95"/>
  <c r="M35" i="95"/>
  <c r="F35" i="95"/>
  <c r="C35" i="95"/>
  <c r="B35" i="95"/>
  <c r="A35" i="95"/>
  <c r="P35" i="95" s="1"/>
  <c r="S34" i="95"/>
  <c r="R34" i="95"/>
  <c r="N34" i="95"/>
  <c r="M34" i="95"/>
  <c r="F34" i="95"/>
  <c r="C34" i="95"/>
  <c r="B34" i="95"/>
  <c r="A34" i="95"/>
  <c r="P34" i="95" s="1"/>
  <c r="S33" i="95"/>
  <c r="R33" i="95"/>
  <c r="P33" i="95"/>
  <c r="N33" i="95"/>
  <c r="M33" i="95"/>
  <c r="F33" i="95"/>
  <c r="C33" i="95"/>
  <c r="B33" i="95"/>
  <c r="A33" i="95"/>
  <c r="S32" i="95"/>
  <c r="R32" i="95"/>
  <c r="N32" i="95"/>
  <c r="M32" i="95"/>
  <c r="F32" i="95"/>
  <c r="C32" i="95"/>
  <c r="B32" i="95"/>
  <c r="A32" i="95"/>
  <c r="P32" i="95" s="1"/>
  <c r="S31" i="95"/>
  <c r="R31" i="95"/>
  <c r="P31" i="95"/>
  <c r="N31" i="95"/>
  <c r="M31" i="95"/>
  <c r="F31" i="95"/>
  <c r="C31" i="95"/>
  <c r="B31" i="95"/>
  <c r="A31" i="95"/>
  <c r="S30" i="95"/>
  <c r="R30" i="95"/>
  <c r="P30" i="95"/>
  <c r="N30" i="95"/>
  <c r="M30" i="95"/>
  <c r="F30" i="95"/>
  <c r="C30" i="95"/>
  <c r="B30" i="95"/>
  <c r="A30" i="95"/>
  <c r="S29" i="95"/>
  <c r="R29" i="95"/>
  <c r="N29" i="95"/>
  <c r="M29" i="95"/>
  <c r="F29" i="95"/>
  <c r="C29" i="95"/>
  <c r="B29" i="95"/>
  <c r="A29" i="95"/>
  <c r="P29" i="95" s="1"/>
  <c r="S28" i="95"/>
  <c r="R28" i="95"/>
  <c r="N28" i="95"/>
  <c r="M28" i="95"/>
  <c r="F28" i="95"/>
  <c r="C28" i="95"/>
  <c r="B28" i="95"/>
  <c r="A28" i="95"/>
  <c r="P28" i="95" s="1"/>
  <c r="S27" i="95"/>
  <c r="R27" i="95"/>
  <c r="P27" i="95"/>
  <c r="N27" i="95"/>
  <c r="M27" i="95"/>
  <c r="F27" i="95"/>
  <c r="C27" i="95"/>
  <c r="B27" i="95"/>
  <c r="A27" i="95"/>
  <c r="S26" i="95"/>
  <c r="R26" i="95"/>
  <c r="N26" i="95"/>
  <c r="M26" i="95"/>
  <c r="F26" i="95"/>
  <c r="C26" i="95"/>
  <c r="B26" i="95"/>
  <c r="A26" i="95"/>
  <c r="P26" i="95" s="1"/>
  <c r="S25" i="95"/>
  <c r="R25" i="95"/>
  <c r="P25" i="95"/>
  <c r="N25" i="95"/>
  <c r="M25" i="95"/>
  <c r="F25" i="95"/>
  <c r="C25" i="95"/>
  <c r="B25" i="95"/>
  <c r="A25" i="95"/>
  <c r="S24" i="95"/>
  <c r="R24" i="95"/>
  <c r="N24" i="95"/>
  <c r="M24" i="95"/>
  <c r="F24" i="95"/>
  <c r="C24" i="95"/>
  <c r="B24" i="95"/>
  <c r="A24" i="95"/>
  <c r="P24" i="95" s="1"/>
  <c r="S23" i="95"/>
  <c r="R23" i="95"/>
  <c r="P23" i="95"/>
  <c r="N23" i="95"/>
  <c r="M23" i="95"/>
  <c r="F23" i="95"/>
  <c r="C23" i="95"/>
  <c r="B23" i="95"/>
  <c r="A23" i="95"/>
  <c r="S22" i="95"/>
  <c r="R22" i="95"/>
  <c r="N22" i="95"/>
  <c r="M22" i="95"/>
  <c r="F22" i="95"/>
  <c r="C22" i="95"/>
  <c r="B22" i="95"/>
  <c r="A22" i="95"/>
  <c r="P22" i="95" s="1"/>
  <c r="S21" i="95"/>
  <c r="R21" i="95"/>
  <c r="N21" i="95"/>
  <c r="M21" i="95"/>
  <c r="F21" i="95"/>
  <c r="C21" i="95"/>
  <c r="B21" i="95"/>
  <c r="A21" i="95"/>
  <c r="P21" i="95" s="1"/>
  <c r="S20" i="95"/>
  <c r="R20" i="95"/>
  <c r="N20" i="95"/>
  <c r="M20" i="95"/>
  <c r="F20" i="95"/>
  <c r="C20" i="95"/>
  <c r="B20" i="95"/>
  <c r="A20" i="95"/>
  <c r="S19" i="95"/>
  <c r="R19" i="95"/>
  <c r="N19" i="95"/>
  <c r="M19" i="95"/>
  <c r="F19" i="95"/>
  <c r="C19" i="95"/>
  <c r="B19" i="95"/>
  <c r="A19" i="95"/>
  <c r="S18" i="95"/>
  <c r="R18" i="95"/>
  <c r="N18" i="95"/>
  <c r="M18" i="95"/>
  <c r="F18" i="95"/>
  <c r="C18" i="95"/>
  <c r="B18" i="95"/>
  <c r="A18" i="95"/>
  <c r="S17" i="95"/>
  <c r="R17" i="95"/>
  <c r="N17" i="95"/>
  <c r="M17" i="95"/>
  <c r="F17" i="95"/>
  <c r="C17" i="95"/>
  <c r="B17" i="95"/>
  <c r="A17" i="95"/>
  <c r="S16" i="95"/>
  <c r="R16" i="95"/>
  <c r="N16" i="95"/>
  <c r="M16" i="95"/>
  <c r="F16" i="95"/>
  <c r="C16" i="95"/>
  <c r="B16" i="95"/>
  <c r="A16" i="95"/>
  <c r="S15" i="95"/>
  <c r="R15" i="95"/>
  <c r="N15" i="95"/>
  <c r="M15" i="95"/>
  <c r="F15" i="95"/>
  <c r="C15" i="95"/>
  <c r="B15" i="95"/>
  <c r="A15" i="95"/>
  <c r="S14" i="95"/>
  <c r="R14" i="95"/>
  <c r="N14" i="95"/>
  <c r="M14" i="95"/>
  <c r="F14" i="95"/>
  <c r="C14" i="95"/>
  <c r="B14" i="95"/>
  <c r="A14" i="95"/>
  <c r="S13" i="95"/>
  <c r="R13" i="95"/>
  <c r="N13" i="95"/>
  <c r="M13" i="95"/>
  <c r="F13" i="95"/>
  <c r="C13" i="95"/>
  <c r="B13" i="95"/>
  <c r="A13" i="95"/>
  <c r="S12" i="95"/>
  <c r="R12" i="95"/>
  <c r="N12" i="95"/>
  <c r="M12" i="95"/>
  <c r="F12" i="95"/>
  <c r="C12" i="95"/>
  <c r="B12" i="95"/>
  <c r="A12" i="95"/>
  <c r="S11" i="95"/>
  <c r="R11" i="95"/>
  <c r="N11" i="95"/>
  <c r="M11" i="95"/>
  <c r="F11" i="95"/>
  <c r="C11" i="95"/>
  <c r="B11" i="95"/>
  <c r="A11" i="95"/>
  <c r="O36" i="94"/>
  <c r="K36" i="94"/>
  <c r="J36" i="94"/>
  <c r="H36" i="94"/>
  <c r="G36" i="94"/>
  <c r="S35" i="94"/>
  <c r="R35" i="94"/>
  <c r="N35" i="94"/>
  <c r="M35" i="94"/>
  <c r="I33" i="84" s="1"/>
  <c r="F35" i="94"/>
  <c r="C35" i="94"/>
  <c r="B35" i="94"/>
  <c r="A35" i="94"/>
  <c r="P35" i="94" s="1"/>
  <c r="S34" i="94"/>
  <c r="R34" i="94"/>
  <c r="N34" i="94"/>
  <c r="M34" i="94"/>
  <c r="F34" i="94"/>
  <c r="C34" i="94"/>
  <c r="B34" i="94"/>
  <c r="A34" i="94"/>
  <c r="P34" i="94" s="1"/>
  <c r="S33" i="94"/>
  <c r="R33" i="94"/>
  <c r="P33" i="94"/>
  <c r="N33" i="94"/>
  <c r="M33" i="94"/>
  <c r="F33" i="94"/>
  <c r="C33" i="94"/>
  <c r="B33" i="94"/>
  <c r="A33" i="94"/>
  <c r="S32" i="94"/>
  <c r="R32" i="94"/>
  <c r="N32" i="94"/>
  <c r="M32" i="94"/>
  <c r="F32" i="94"/>
  <c r="C32" i="94"/>
  <c r="B32" i="94"/>
  <c r="A32" i="94"/>
  <c r="P32" i="94" s="1"/>
  <c r="S31" i="94"/>
  <c r="R31" i="94"/>
  <c r="N31" i="94"/>
  <c r="M31" i="94"/>
  <c r="F31" i="94"/>
  <c r="C31" i="94"/>
  <c r="B31" i="94"/>
  <c r="A31" i="94"/>
  <c r="P31" i="94" s="1"/>
  <c r="S30" i="94"/>
  <c r="R30" i="94"/>
  <c r="N30" i="94"/>
  <c r="M30" i="94"/>
  <c r="F30" i="94"/>
  <c r="C30" i="94"/>
  <c r="B30" i="94"/>
  <c r="A30" i="94"/>
  <c r="P30" i="94" s="1"/>
  <c r="S29" i="94"/>
  <c r="R29" i="94"/>
  <c r="P29" i="94"/>
  <c r="N29" i="94"/>
  <c r="M29" i="94"/>
  <c r="I27" i="84" s="1"/>
  <c r="F29" i="94"/>
  <c r="C29" i="94"/>
  <c r="B29" i="94"/>
  <c r="A29" i="94"/>
  <c r="S28" i="94"/>
  <c r="R28" i="94"/>
  <c r="N28" i="94"/>
  <c r="M28" i="94"/>
  <c r="F28" i="94"/>
  <c r="C28" i="94"/>
  <c r="B28" i="94"/>
  <c r="A28" i="94"/>
  <c r="P28" i="94" s="1"/>
  <c r="S27" i="94"/>
  <c r="R27" i="94"/>
  <c r="N27" i="94"/>
  <c r="M27" i="94"/>
  <c r="F27" i="94"/>
  <c r="C27" i="94"/>
  <c r="B27" i="94"/>
  <c r="A27" i="94"/>
  <c r="P27" i="94" s="1"/>
  <c r="S26" i="94"/>
  <c r="R26" i="94"/>
  <c r="N26" i="94"/>
  <c r="M26" i="94"/>
  <c r="F26" i="94"/>
  <c r="C26" i="94"/>
  <c r="B26" i="94"/>
  <c r="A26" i="94"/>
  <c r="P26" i="94" s="1"/>
  <c r="S25" i="94"/>
  <c r="R25" i="94"/>
  <c r="P25" i="94"/>
  <c r="N25" i="94"/>
  <c r="M25" i="94"/>
  <c r="F25" i="94"/>
  <c r="C25" i="94"/>
  <c r="B25" i="94"/>
  <c r="A25" i="94"/>
  <c r="S24" i="94"/>
  <c r="R24" i="94"/>
  <c r="P24" i="94"/>
  <c r="N24" i="94"/>
  <c r="M24" i="94"/>
  <c r="F24" i="94"/>
  <c r="C24" i="94"/>
  <c r="B24" i="94"/>
  <c r="A24" i="94"/>
  <c r="S23" i="94"/>
  <c r="R23" i="94"/>
  <c r="N23" i="94"/>
  <c r="M23" i="94"/>
  <c r="F23" i="94"/>
  <c r="C23" i="94"/>
  <c r="B23" i="94"/>
  <c r="A23" i="94"/>
  <c r="P23" i="94" s="1"/>
  <c r="S22" i="94"/>
  <c r="R22" i="94"/>
  <c r="N22" i="94"/>
  <c r="M22" i="94"/>
  <c r="F22" i="94"/>
  <c r="C22" i="94"/>
  <c r="B22" i="94"/>
  <c r="A22" i="94"/>
  <c r="P22" i="94" s="1"/>
  <c r="S21" i="94"/>
  <c r="R21" i="94"/>
  <c r="N21" i="94"/>
  <c r="M21" i="94"/>
  <c r="F21" i="94"/>
  <c r="C21" i="94"/>
  <c r="B21" i="94"/>
  <c r="A21" i="94"/>
  <c r="P21" i="94" s="1"/>
  <c r="S20" i="94"/>
  <c r="R20" i="94"/>
  <c r="N20" i="94"/>
  <c r="M20" i="94"/>
  <c r="F20" i="94"/>
  <c r="C20" i="94"/>
  <c r="B20" i="94"/>
  <c r="A20" i="94"/>
  <c r="S19" i="94"/>
  <c r="R19" i="94"/>
  <c r="N19" i="94"/>
  <c r="M19" i="94"/>
  <c r="F19" i="94"/>
  <c r="C19" i="94"/>
  <c r="B19" i="94"/>
  <c r="A19" i="94"/>
  <c r="S18" i="94"/>
  <c r="R18" i="94"/>
  <c r="N18" i="94"/>
  <c r="M18" i="94"/>
  <c r="F18" i="94"/>
  <c r="C18" i="94"/>
  <c r="B18" i="94"/>
  <c r="A18" i="94"/>
  <c r="S17" i="94"/>
  <c r="R17" i="94"/>
  <c r="N17" i="94"/>
  <c r="M17" i="94"/>
  <c r="F17" i="94"/>
  <c r="C17" i="94"/>
  <c r="B17" i="94"/>
  <c r="A17" i="94"/>
  <c r="S16" i="94"/>
  <c r="R16" i="94"/>
  <c r="N16" i="94"/>
  <c r="M16" i="94"/>
  <c r="F16" i="94"/>
  <c r="C16" i="94"/>
  <c r="B16" i="94"/>
  <c r="A16" i="94"/>
  <c r="S15" i="94"/>
  <c r="R15" i="94"/>
  <c r="N15" i="94"/>
  <c r="M15" i="94"/>
  <c r="F15" i="94"/>
  <c r="C15" i="94"/>
  <c r="B15" i="94"/>
  <c r="A15" i="94"/>
  <c r="S14" i="94"/>
  <c r="R14" i="94"/>
  <c r="N14" i="94"/>
  <c r="M14" i="94"/>
  <c r="F14" i="94"/>
  <c r="C14" i="94"/>
  <c r="B14" i="94"/>
  <c r="A14" i="94"/>
  <c r="S13" i="94"/>
  <c r="R13" i="94"/>
  <c r="N13" i="94"/>
  <c r="M13" i="94"/>
  <c r="F13" i="94"/>
  <c r="C13" i="94"/>
  <c r="B13" i="94"/>
  <c r="A13" i="94"/>
  <c r="S12" i="94"/>
  <c r="R12" i="94"/>
  <c r="N12" i="94"/>
  <c r="M12" i="94"/>
  <c r="F12" i="94"/>
  <c r="C12" i="94"/>
  <c r="B12" i="94"/>
  <c r="A12" i="94"/>
  <c r="S11" i="94"/>
  <c r="R11" i="94"/>
  <c r="N11" i="94"/>
  <c r="N36" i="94" s="1"/>
  <c r="M11" i="94"/>
  <c r="F11" i="94"/>
  <c r="C11" i="94"/>
  <c r="B11" i="94"/>
  <c r="A11" i="94"/>
  <c r="O36" i="93"/>
  <c r="K36" i="93"/>
  <c r="J36" i="93"/>
  <c r="H36" i="93"/>
  <c r="G36" i="93"/>
  <c r="S35" i="93"/>
  <c r="R35" i="93"/>
  <c r="P35" i="93"/>
  <c r="N35" i="93"/>
  <c r="M35" i="93"/>
  <c r="F35" i="93"/>
  <c r="C35" i="93"/>
  <c r="B35" i="93"/>
  <c r="A35" i="93"/>
  <c r="S34" i="93"/>
  <c r="R34" i="93"/>
  <c r="N34" i="93"/>
  <c r="M34" i="93"/>
  <c r="F34" i="93"/>
  <c r="C34" i="93"/>
  <c r="B34" i="93"/>
  <c r="A34" i="93"/>
  <c r="P34" i="93" s="1"/>
  <c r="S33" i="93"/>
  <c r="R33" i="93"/>
  <c r="N33" i="93"/>
  <c r="M33" i="93"/>
  <c r="F33" i="93"/>
  <c r="C33" i="93"/>
  <c r="B33" i="93"/>
  <c r="A33" i="93"/>
  <c r="P33" i="93" s="1"/>
  <c r="S32" i="93"/>
  <c r="R32" i="93"/>
  <c r="N32" i="93"/>
  <c r="M32" i="93"/>
  <c r="F32" i="93"/>
  <c r="C32" i="93"/>
  <c r="B32" i="93"/>
  <c r="A32" i="93"/>
  <c r="P32" i="93" s="1"/>
  <c r="S31" i="93"/>
  <c r="R31" i="93"/>
  <c r="P31" i="93"/>
  <c r="N31" i="93"/>
  <c r="M31" i="93"/>
  <c r="F31" i="93"/>
  <c r="C31" i="93"/>
  <c r="B31" i="93"/>
  <c r="A31" i="93"/>
  <c r="S30" i="93"/>
  <c r="R30" i="93"/>
  <c r="N30" i="93"/>
  <c r="M30" i="93"/>
  <c r="F30" i="93"/>
  <c r="C30" i="93"/>
  <c r="B30" i="93"/>
  <c r="A30" i="93"/>
  <c r="P30" i="93" s="1"/>
  <c r="S29" i="93"/>
  <c r="R29" i="93"/>
  <c r="N29" i="93"/>
  <c r="M29" i="93"/>
  <c r="F29" i="93"/>
  <c r="C29" i="93"/>
  <c r="B29" i="93"/>
  <c r="A29" i="93"/>
  <c r="P29" i="93" s="1"/>
  <c r="S28" i="93"/>
  <c r="R28" i="93"/>
  <c r="P28" i="93"/>
  <c r="N28" i="93"/>
  <c r="M28" i="93"/>
  <c r="F28" i="93"/>
  <c r="C28" i="93"/>
  <c r="B28" i="93"/>
  <c r="A28" i="93"/>
  <c r="S27" i="93"/>
  <c r="R27" i="93"/>
  <c r="P27" i="93"/>
  <c r="N27" i="93"/>
  <c r="M27" i="93"/>
  <c r="F27" i="93"/>
  <c r="C27" i="93"/>
  <c r="B27" i="93"/>
  <c r="A27" i="93"/>
  <c r="S26" i="93"/>
  <c r="R26" i="93"/>
  <c r="P26" i="93"/>
  <c r="N26" i="93"/>
  <c r="M26" i="93"/>
  <c r="F26" i="93"/>
  <c r="C26" i="93"/>
  <c r="B26" i="93"/>
  <c r="A26" i="93"/>
  <c r="S25" i="93"/>
  <c r="R25" i="93"/>
  <c r="P25" i="93"/>
  <c r="N25" i="93"/>
  <c r="M25" i="93"/>
  <c r="F25" i="93"/>
  <c r="C25" i="93"/>
  <c r="B25" i="93"/>
  <c r="A25" i="93"/>
  <c r="S24" i="93"/>
  <c r="R24" i="93"/>
  <c r="N24" i="93"/>
  <c r="M24" i="93"/>
  <c r="F24" i="93"/>
  <c r="C24" i="93"/>
  <c r="B24" i="93"/>
  <c r="A24" i="93"/>
  <c r="P24" i="93" s="1"/>
  <c r="S23" i="93"/>
  <c r="R23" i="93"/>
  <c r="P23" i="93"/>
  <c r="N23" i="93"/>
  <c r="M23" i="93"/>
  <c r="F23" i="93"/>
  <c r="C23" i="93"/>
  <c r="B23" i="93"/>
  <c r="A23" i="93"/>
  <c r="S22" i="93"/>
  <c r="R22" i="93"/>
  <c r="N22" i="93"/>
  <c r="M22" i="93"/>
  <c r="F22" i="93"/>
  <c r="C22" i="93"/>
  <c r="B22" i="93"/>
  <c r="A22" i="93"/>
  <c r="P22" i="93" s="1"/>
  <c r="S21" i="93"/>
  <c r="R21" i="93"/>
  <c r="P21" i="93"/>
  <c r="N21" i="93"/>
  <c r="M21" i="93"/>
  <c r="F21" i="93"/>
  <c r="C21" i="93"/>
  <c r="B21" i="93"/>
  <c r="A21" i="93"/>
  <c r="S20" i="93"/>
  <c r="R20" i="93"/>
  <c r="N20" i="93"/>
  <c r="M20" i="93"/>
  <c r="F20" i="93"/>
  <c r="C20" i="93"/>
  <c r="B20" i="93"/>
  <c r="A20" i="93"/>
  <c r="S19" i="93"/>
  <c r="R19" i="93"/>
  <c r="N19" i="93"/>
  <c r="M19" i="93"/>
  <c r="F19" i="93"/>
  <c r="C19" i="93"/>
  <c r="B19" i="93"/>
  <c r="A19" i="93"/>
  <c r="S18" i="93"/>
  <c r="R18" i="93"/>
  <c r="N18" i="93"/>
  <c r="M18" i="93"/>
  <c r="F18" i="93"/>
  <c r="C18" i="93"/>
  <c r="B18" i="93"/>
  <c r="A18" i="93"/>
  <c r="S17" i="93"/>
  <c r="R17" i="93"/>
  <c r="N17" i="93"/>
  <c r="M17" i="93"/>
  <c r="F17" i="93"/>
  <c r="C17" i="93"/>
  <c r="B17" i="93"/>
  <c r="A17" i="93"/>
  <c r="S16" i="93"/>
  <c r="R16" i="93"/>
  <c r="N16" i="93"/>
  <c r="M16" i="93"/>
  <c r="F16" i="93"/>
  <c r="C16" i="93"/>
  <c r="B16" i="93"/>
  <c r="A16" i="93"/>
  <c r="S15" i="93"/>
  <c r="R15" i="93"/>
  <c r="N15" i="93"/>
  <c r="M15" i="93"/>
  <c r="F15" i="93"/>
  <c r="C15" i="93"/>
  <c r="B15" i="93"/>
  <c r="A15" i="93"/>
  <c r="S14" i="93"/>
  <c r="R14" i="93"/>
  <c r="N14" i="93"/>
  <c r="M14" i="93"/>
  <c r="F14" i="93"/>
  <c r="C14" i="93"/>
  <c r="B14" i="93"/>
  <c r="A14" i="93"/>
  <c r="S13" i="93"/>
  <c r="R13" i="93"/>
  <c r="N13" i="93"/>
  <c r="M13" i="93"/>
  <c r="F13" i="93"/>
  <c r="C13" i="93"/>
  <c r="B13" i="93"/>
  <c r="A13" i="93"/>
  <c r="S12" i="93"/>
  <c r="R12" i="93"/>
  <c r="N12" i="93"/>
  <c r="M12" i="93"/>
  <c r="F12" i="93"/>
  <c r="C12" i="93"/>
  <c r="B12" i="93"/>
  <c r="A12" i="93"/>
  <c r="S11" i="93"/>
  <c r="R11" i="93"/>
  <c r="N11" i="93"/>
  <c r="M11" i="93"/>
  <c r="F11" i="93"/>
  <c r="C11" i="93"/>
  <c r="B11" i="93"/>
  <c r="A11" i="93"/>
  <c r="O36" i="92"/>
  <c r="K36" i="92"/>
  <c r="J36" i="92"/>
  <c r="H36" i="92"/>
  <c r="G36" i="92"/>
  <c r="S35" i="92"/>
  <c r="R35" i="92"/>
  <c r="N35" i="92"/>
  <c r="M35" i="92"/>
  <c r="F35" i="92"/>
  <c r="C35" i="92"/>
  <c r="B35" i="92"/>
  <c r="A35" i="92"/>
  <c r="P35" i="92" s="1"/>
  <c r="S34" i="92"/>
  <c r="R34" i="92"/>
  <c r="N34" i="92"/>
  <c r="M34" i="92"/>
  <c r="F34" i="92"/>
  <c r="C34" i="92"/>
  <c r="B34" i="92"/>
  <c r="A34" i="92"/>
  <c r="P34" i="92" s="1"/>
  <c r="S33" i="92"/>
  <c r="R33" i="92"/>
  <c r="P33" i="92"/>
  <c r="N33" i="92"/>
  <c r="M33" i="92"/>
  <c r="F33" i="92"/>
  <c r="C33" i="92"/>
  <c r="B33" i="92"/>
  <c r="A33" i="92"/>
  <c r="S32" i="92"/>
  <c r="R32" i="92"/>
  <c r="N32" i="92"/>
  <c r="M32" i="92"/>
  <c r="F32" i="92"/>
  <c r="C32" i="92"/>
  <c r="B32" i="92"/>
  <c r="A32" i="92"/>
  <c r="P32" i="92" s="1"/>
  <c r="S31" i="92"/>
  <c r="R31" i="92"/>
  <c r="N31" i="92"/>
  <c r="M31" i="92"/>
  <c r="F31" i="92"/>
  <c r="C31" i="92"/>
  <c r="B31" i="92"/>
  <c r="A31" i="92"/>
  <c r="P31" i="92" s="1"/>
  <c r="S30" i="92"/>
  <c r="R30" i="92"/>
  <c r="P30" i="92"/>
  <c r="N30" i="92"/>
  <c r="M30" i="92"/>
  <c r="F30" i="92"/>
  <c r="C30" i="92"/>
  <c r="B30" i="92"/>
  <c r="A30" i="92"/>
  <c r="S29" i="92"/>
  <c r="R29" i="92"/>
  <c r="N29" i="92"/>
  <c r="M29" i="92"/>
  <c r="F29" i="92"/>
  <c r="C29" i="92"/>
  <c r="B29" i="92"/>
  <c r="A29" i="92"/>
  <c r="P29" i="92" s="1"/>
  <c r="S28" i="92"/>
  <c r="R28" i="92"/>
  <c r="P28" i="92"/>
  <c r="N28" i="92"/>
  <c r="M28" i="92"/>
  <c r="F28" i="92"/>
  <c r="C28" i="92"/>
  <c r="B28" i="92"/>
  <c r="A28" i="92"/>
  <c r="S27" i="92"/>
  <c r="R27" i="92"/>
  <c r="N27" i="92"/>
  <c r="M27" i="92"/>
  <c r="F27" i="92"/>
  <c r="C27" i="92"/>
  <c r="B27" i="92"/>
  <c r="A27" i="92"/>
  <c r="P27" i="92" s="1"/>
  <c r="S26" i="92"/>
  <c r="R26" i="92"/>
  <c r="P26" i="92"/>
  <c r="N26" i="92"/>
  <c r="M26" i="92"/>
  <c r="F26" i="92"/>
  <c r="C26" i="92"/>
  <c r="B26" i="92"/>
  <c r="A26" i="92"/>
  <c r="S25" i="92"/>
  <c r="R25" i="92"/>
  <c r="P25" i="92"/>
  <c r="N25" i="92"/>
  <c r="M25" i="92"/>
  <c r="F25" i="92"/>
  <c r="C25" i="92"/>
  <c r="B25" i="92"/>
  <c r="A25" i="92"/>
  <c r="S24" i="92"/>
  <c r="R24" i="92"/>
  <c r="N24" i="92"/>
  <c r="M24" i="92"/>
  <c r="F24" i="92"/>
  <c r="C24" i="92"/>
  <c r="B24" i="92"/>
  <c r="A24" i="92"/>
  <c r="P24" i="92" s="1"/>
  <c r="S23" i="92"/>
  <c r="R23" i="92"/>
  <c r="N23" i="92"/>
  <c r="M23" i="92"/>
  <c r="F23" i="92"/>
  <c r="C23" i="92"/>
  <c r="B23" i="92"/>
  <c r="A23" i="92"/>
  <c r="P23" i="92" s="1"/>
  <c r="S22" i="92"/>
  <c r="R22" i="92"/>
  <c r="N22" i="92"/>
  <c r="M22" i="92"/>
  <c r="F22" i="92"/>
  <c r="C22" i="92"/>
  <c r="B22" i="92"/>
  <c r="A22" i="92"/>
  <c r="P22" i="92" s="1"/>
  <c r="S21" i="92"/>
  <c r="R21" i="92"/>
  <c r="N21" i="92"/>
  <c r="M21" i="92"/>
  <c r="F21" i="92"/>
  <c r="C21" i="92"/>
  <c r="B21" i="92"/>
  <c r="A21" i="92"/>
  <c r="P21" i="92" s="1"/>
  <c r="S20" i="92"/>
  <c r="R20" i="92"/>
  <c r="N20" i="92"/>
  <c r="M20" i="92"/>
  <c r="I18" i="83" s="1"/>
  <c r="F20" i="92"/>
  <c r="C20" i="92"/>
  <c r="B20" i="92"/>
  <c r="A20" i="92"/>
  <c r="S19" i="92"/>
  <c r="R19" i="92"/>
  <c r="N19" i="92"/>
  <c r="M19" i="92"/>
  <c r="F19" i="92"/>
  <c r="C19" i="92"/>
  <c r="B19" i="92"/>
  <c r="A19" i="92"/>
  <c r="S18" i="92"/>
  <c r="R18" i="92"/>
  <c r="N18" i="92"/>
  <c r="M18" i="92"/>
  <c r="F18" i="92"/>
  <c r="C18" i="92"/>
  <c r="B18" i="92"/>
  <c r="A18" i="92"/>
  <c r="S17" i="92"/>
  <c r="R17" i="92"/>
  <c r="N17" i="92"/>
  <c r="M17" i="92"/>
  <c r="F17" i="92"/>
  <c r="C17" i="92"/>
  <c r="B17" i="92"/>
  <c r="A17" i="92"/>
  <c r="S16" i="92"/>
  <c r="R16" i="92"/>
  <c r="N16" i="92"/>
  <c r="M16" i="92"/>
  <c r="F16" i="92"/>
  <c r="C16" i="92"/>
  <c r="B16" i="92"/>
  <c r="A16" i="92"/>
  <c r="S15" i="92"/>
  <c r="R15" i="92"/>
  <c r="N15" i="92"/>
  <c r="M15" i="92"/>
  <c r="F15" i="92"/>
  <c r="C15" i="92"/>
  <c r="B15" i="92"/>
  <c r="A15" i="92"/>
  <c r="S14" i="92"/>
  <c r="R14" i="92"/>
  <c r="N14" i="92"/>
  <c r="M14" i="92"/>
  <c r="F14" i="92"/>
  <c r="C14" i="92"/>
  <c r="B14" i="92"/>
  <c r="A14" i="92"/>
  <c r="S13" i="92"/>
  <c r="R13" i="92"/>
  <c r="N13" i="92"/>
  <c r="M13" i="92"/>
  <c r="F13" i="92"/>
  <c r="C13" i="92"/>
  <c r="B13" i="92"/>
  <c r="A13" i="92"/>
  <c r="S12" i="92"/>
  <c r="R12" i="92"/>
  <c r="N12" i="92"/>
  <c r="M12" i="92"/>
  <c r="F12" i="92"/>
  <c r="C12" i="92"/>
  <c r="B12" i="92"/>
  <c r="A12" i="92"/>
  <c r="S11" i="92"/>
  <c r="R11" i="92"/>
  <c r="N11" i="92"/>
  <c r="M11" i="92"/>
  <c r="F11" i="92"/>
  <c r="C11" i="92"/>
  <c r="B11" i="92"/>
  <c r="A11" i="92"/>
  <c r="O36" i="91"/>
  <c r="K36" i="91"/>
  <c r="J36" i="91"/>
  <c r="H36" i="91"/>
  <c r="G36" i="91"/>
  <c r="S35" i="91"/>
  <c r="R35" i="91"/>
  <c r="P35" i="91"/>
  <c r="N35" i="91"/>
  <c r="M35" i="91"/>
  <c r="F35" i="91"/>
  <c r="C35" i="91"/>
  <c r="B35" i="91"/>
  <c r="A35" i="91"/>
  <c r="S34" i="91"/>
  <c r="R34" i="91"/>
  <c r="N34" i="91"/>
  <c r="M34" i="91"/>
  <c r="F34" i="91"/>
  <c r="C34" i="91"/>
  <c r="B34" i="91"/>
  <c r="A34" i="91"/>
  <c r="P34" i="91" s="1"/>
  <c r="S33" i="91"/>
  <c r="R33" i="91"/>
  <c r="N33" i="91"/>
  <c r="M33" i="91"/>
  <c r="F33" i="91"/>
  <c r="C33" i="91"/>
  <c r="B33" i="91"/>
  <c r="A33" i="91"/>
  <c r="P33" i="91" s="1"/>
  <c r="S32" i="91"/>
  <c r="R32" i="91"/>
  <c r="N32" i="91"/>
  <c r="M32" i="91"/>
  <c r="F32" i="91"/>
  <c r="C32" i="91"/>
  <c r="B32" i="91"/>
  <c r="A32" i="91"/>
  <c r="P32" i="91" s="1"/>
  <c r="S31" i="91"/>
  <c r="R31" i="91"/>
  <c r="P31" i="91"/>
  <c r="N31" i="91"/>
  <c r="M31" i="91"/>
  <c r="I29" i="83" s="1"/>
  <c r="F31" i="91"/>
  <c r="C31" i="91"/>
  <c r="B31" i="91"/>
  <c r="A31" i="91"/>
  <c r="S30" i="91"/>
  <c r="R30" i="91"/>
  <c r="N30" i="91"/>
  <c r="M30" i="91"/>
  <c r="F30" i="91"/>
  <c r="C30" i="91"/>
  <c r="B30" i="91"/>
  <c r="A30" i="91"/>
  <c r="P30" i="91" s="1"/>
  <c r="S29" i="91"/>
  <c r="R29" i="91"/>
  <c r="N29" i="91"/>
  <c r="M29" i="91"/>
  <c r="I27" i="83" s="1"/>
  <c r="F29" i="91"/>
  <c r="C29" i="91"/>
  <c r="B29" i="91"/>
  <c r="A29" i="91"/>
  <c r="P29" i="91" s="1"/>
  <c r="S28" i="91"/>
  <c r="R28" i="91"/>
  <c r="N28" i="91"/>
  <c r="M28" i="91"/>
  <c r="F28" i="91"/>
  <c r="C28" i="91"/>
  <c r="B28" i="91"/>
  <c r="A28" i="91"/>
  <c r="P28" i="91" s="1"/>
  <c r="S27" i="91"/>
  <c r="R27" i="91"/>
  <c r="N27" i="91"/>
  <c r="M27" i="91"/>
  <c r="I25" i="83" s="1"/>
  <c r="F27" i="91"/>
  <c r="C27" i="91"/>
  <c r="B27" i="91"/>
  <c r="A27" i="91"/>
  <c r="P27" i="91" s="1"/>
  <c r="S26" i="91"/>
  <c r="R26" i="91"/>
  <c r="P26" i="91"/>
  <c r="N26" i="91"/>
  <c r="M26" i="91"/>
  <c r="F26" i="91"/>
  <c r="C26" i="91"/>
  <c r="B26" i="91"/>
  <c r="A26" i="91"/>
  <c r="S25" i="91"/>
  <c r="R25" i="91"/>
  <c r="P25" i="91"/>
  <c r="N25" i="91"/>
  <c r="M25" i="91"/>
  <c r="F25" i="91"/>
  <c r="C25" i="91"/>
  <c r="B25" i="91"/>
  <c r="A25" i="91"/>
  <c r="S24" i="91"/>
  <c r="R24" i="91"/>
  <c r="P24" i="91"/>
  <c r="N24" i="91"/>
  <c r="M24" i="91"/>
  <c r="F24" i="91"/>
  <c r="C24" i="91"/>
  <c r="B24" i="91"/>
  <c r="A24" i="91"/>
  <c r="S23" i="91"/>
  <c r="R23" i="91"/>
  <c r="P23" i="91"/>
  <c r="N23" i="91"/>
  <c r="M23" i="91"/>
  <c r="F23" i="91"/>
  <c r="C23" i="91"/>
  <c r="B23" i="91"/>
  <c r="A23" i="91"/>
  <c r="S22" i="91"/>
  <c r="R22" i="91"/>
  <c r="N22" i="91"/>
  <c r="M22" i="91"/>
  <c r="F22" i="91"/>
  <c r="C22" i="91"/>
  <c r="B22" i="91"/>
  <c r="A22" i="91"/>
  <c r="P22" i="91" s="1"/>
  <c r="S21" i="91"/>
  <c r="R21" i="91"/>
  <c r="N21" i="91"/>
  <c r="M21" i="91"/>
  <c r="F21" i="91"/>
  <c r="C21" i="91"/>
  <c r="B21" i="91"/>
  <c r="A21" i="91"/>
  <c r="P21" i="91" s="1"/>
  <c r="S20" i="91"/>
  <c r="R20" i="91"/>
  <c r="N20" i="91"/>
  <c r="M20" i="91"/>
  <c r="F20" i="91"/>
  <c r="C20" i="91"/>
  <c r="B20" i="91"/>
  <c r="A20" i="91"/>
  <c r="S19" i="91"/>
  <c r="R19" i="91"/>
  <c r="N19" i="91"/>
  <c r="M19" i="91"/>
  <c r="F19" i="91"/>
  <c r="C19" i="91"/>
  <c r="B19" i="91"/>
  <c r="A19" i="91"/>
  <c r="S18" i="91"/>
  <c r="R18" i="91"/>
  <c r="N18" i="91"/>
  <c r="M18" i="91"/>
  <c r="I16" i="83" s="1"/>
  <c r="F18" i="91"/>
  <c r="C18" i="91"/>
  <c r="B18" i="91"/>
  <c r="A18" i="91"/>
  <c r="S17" i="91"/>
  <c r="R17" i="91"/>
  <c r="N17" i="91"/>
  <c r="M17" i="91"/>
  <c r="F17" i="91"/>
  <c r="C17" i="91"/>
  <c r="B17" i="91"/>
  <c r="A17" i="91"/>
  <c r="S16" i="91"/>
  <c r="R16" i="91"/>
  <c r="N16" i="91"/>
  <c r="M16" i="91"/>
  <c r="F16" i="91"/>
  <c r="C16" i="91"/>
  <c r="B16" i="91"/>
  <c r="A16" i="91"/>
  <c r="S15" i="91"/>
  <c r="R15" i="91"/>
  <c r="N15" i="91"/>
  <c r="M15" i="91"/>
  <c r="F15" i="91"/>
  <c r="C15" i="91"/>
  <c r="B15" i="91"/>
  <c r="A15" i="91"/>
  <c r="S14" i="91"/>
  <c r="R14" i="91"/>
  <c r="N14" i="91"/>
  <c r="M14" i="91"/>
  <c r="F14" i="91"/>
  <c r="C14" i="91"/>
  <c r="B14" i="91"/>
  <c r="A14" i="91"/>
  <c r="S13" i="91"/>
  <c r="R13" i="91"/>
  <c r="N13" i="91"/>
  <c r="M13" i="91"/>
  <c r="F13" i="91"/>
  <c r="C13" i="91"/>
  <c r="B13" i="91"/>
  <c r="A13" i="91"/>
  <c r="S12" i="91"/>
  <c r="R12" i="91"/>
  <c r="N12" i="91"/>
  <c r="M12" i="91"/>
  <c r="F12" i="91"/>
  <c r="C12" i="91"/>
  <c r="B12" i="91"/>
  <c r="A12" i="91"/>
  <c r="S11" i="91"/>
  <c r="R11" i="91"/>
  <c r="N11" i="91"/>
  <c r="N36" i="91" s="1"/>
  <c r="M11" i="91"/>
  <c r="F11" i="91"/>
  <c r="C11" i="91"/>
  <c r="B11" i="91"/>
  <c r="A11" i="91"/>
  <c r="O36" i="90"/>
  <c r="K36" i="90"/>
  <c r="J36" i="90"/>
  <c r="H36" i="90"/>
  <c r="G36" i="90"/>
  <c r="S35" i="90"/>
  <c r="R35" i="90"/>
  <c r="N35" i="90"/>
  <c r="M35" i="90"/>
  <c r="F35" i="90"/>
  <c r="C35" i="90"/>
  <c r="B35" i="90"/>
  <c r="A35" i="90"/>
  <c r="P35" i="90" s="1"/>
  <c r="S34" i="90"/>
  <c r="R34" i="90"/>
  <c r="P34" i="90"/>
  <c r="N34" i="90"/>
  <c r="M34" i="90"/>
  <c r="F34" i="90"/>
  <c r="C34" i="90"/>
  <c r="B34" i="90"/>
  <c r="A34" i="90"/>
  <c r="S33" i="90"/>
  <c r="R33" i="90"/>
  <c r="P33" i="90"/>
  <c r="N33" i="90"/>
  <c r="M33" i="90"/>
  <c r="F33" i="90"/>
  <c r="C33" i="90"/>
  <c r="B33" i="90"/>
  <c r="A33" i="90"/>
  <c r="S32" i="90"/>
  <c r="R32" i="90"/>
  <c r="N32" i="90"/>
  <c r="M32" i="90"/>
  <c r="I30" i="82" s="1"/>
  <c r="F32" i="90"/>
  <c r="C32" i="90"/>
  <c r="B32" i="90"/>
  <c r="A32" i="90"/>
  <c r="P32" i="90" s="1"/>
  <c r="S31" i="90"/>
  <c r="R31" i="90"/>
  <c r="N31" i="90"/>
  <c r="M31" i="90"/>
  <c r="F31" i="90"/>
  <c r="C31" i="90"/>
  <c r="B31" i="90"/>
  <c r="A31" i="90"/>
  <c r="P31" i="90" s="1"/>
  <c r="S30" i="90"/>
  <c r="R30" i="90"/>
  <c r="N30" i="90"/>
  <c r="M30" i="90"/>
  <c r="F30" i="90"/>
  <c r="C30" i="90"/>
  <c r="B30" i="90"/>
  <c r="A30" i="90"/>
  <c r="P30" i="90" s="1"/>
  <c r="S29" i="90"/>
  <c r="R29" i="90"/>
  <c r="N29" i="90"/>
  <c r="M29" i="90"/>
  <c r="F29" i="90"/>
  <c r="C29" i="90"/>
  <c r="B29" i="90"/>
  <c r="A29" i="90"/>
  <c r="P29" i="90" s="1"/>
  <c r="S28" i="90"/>
  <c r="R28" i="90"/>
  <c r="N28" i="90"/>
  <c r="M28" i="90"/>
  <c r="F28" i="90"/>
  <c r="C28" i="90"/>
  <c r="B28" i="90"/>
  <c r="A28" i="90"/>
  <c r="P28" i="90" s="1"/>
  <c r="S27" i="90"/>
  <c r="R27" i="90"/>
  <c r="N27" i="90"/>
  <c r="M27" i="90"/>
  <c r="F27" i="90"/>
  <c r="C27" i="90"/>
  <c r="B27" i="90"/>
  <c r="A27" i="90"/>
  <c r="P27" i="90" s="1"/>
  <c r="S26" i="90"/>
  <c r="R26" i="90"/>
  <c r="P26" i="90"/>
  <c r="N26" i="90"/>
  <c r="M26" i="90"/>
  <c r="F26" i="90"/>
  <c r="C26" i="90"/>
  <c r="B26" i="90"/>
  <c r="A26" i="90"/>
  <c r="S25" i="90"/>
  <c r="R25" i="90"/>
  <c r="P25" i="90"/>
  <c r="N25" i="90"/>
  <c r="M25" i="90"/>
  <c r="F25" i="90"/>
  <c r="C25" i="90"/>
  <c r="B25" i="90"/>
  <c r="A25" i="90"/>
  <c r="S24" i="90"/>
  <c r="R24" i="90"/>
  <c r="N24" i="90"/>
  <c r="M24" i="90"/>
  <c r="F24" i="90"/>
  <c r="C24" i="90"/>
  <c r="B24" i="90"/>
  <c r="A24" i="90"/>
  <c r="P24" i="90" s="1"/>
  <c r="S23" i="90"/>
  <c r="R23" i="90"/>
  <c r="N23" i="90"/>
  <c r="M23" i="90"/>
  <c r="F23" i="90"/>
  <c r="C23" i="90"/>
  <c r="B23" i="90"/>
  <c r="A23" i="90"/>
  <c r="P23" i="90" s="1"/>
  <c r="S22" i="90"/>
  <c r="R22" i="90"/>
  <c r="N22" i="90"/>
  <c r="M22" i="90"/>
  <c r="F22" i="90"/>
  <c r="C22" i="90"/>
  <c r="B22" i="90"/>
  <c r="A22" i="90"/>
  <c r="P22" i="90" s="1"/>
  <c r="S21" i="90"/>
  <c r="R21" i="90"/>
  <c r="N21" i="90"/>
  <c r="N36" i="90" s="1"/>
  <c r="M21" i="90"/>
  <c r="F21" i="90"/>
  <c r="C21" i="90"/>
  <c r="B21" i="90"/>
  <c r="A21" i="90"/>
  <c r="P21" i="90" s="1"/>
  <c r="S20" i="90"/>
  <c r="R20" i="90"/>
  <c r="N20" i="90"/>
  <c r="M20" i="90"/>
  <c r="I18" i="82" s="1"/>
  <c r="F20" i="90"/>
  <c r="C20" i="90"/>
  <c r="B20" i="90"/>
  <c r="A20" i="90"/>
  <c r="S19" i="90"/>
  <c r="R19" i="90"/>
  <c r="N19" i="90"/>
  <c r="M19" i="90"/>
  <c r="F19" i="90"/>
  <c r="C19" i="90"/>
  <c r="B19" i="90"/>
  <c r="A19" i="90"/>
  <c r="S18" i="90"/>
  <c r="R18" i="90"/>
  <c r="N18" i="90"/>
  <c r="M18" i="90"/>
  <c r="F18" i="90"/>
  <c r="C18" i="90"/>
  <c r="B18" i="90"/>
  <c r="A18" i="90"/>
  <c r="S17" i="90"/>
  <c r="R17" i="90"/>
  <c r="N17" i="90"/>
  <c r="M17" i="90"/>
  <c r="F17" i="90"/>
  <c r="C17" i="90"/>
  <c r="B17" i="90"/>
  <c r="A17" i="90"/>
  <c r="S16" i="90"/>
  <c r="R16" i="90"/>
  <c r="N16" i="90"/>
  <c r="M16" i="90"/>
  <c r="F16" i="90"/>
  <c r="C16" i="90"/>
  <c r="B16" i="90"/>
  <c r="A16" i="90"/>
  <c r="S15" i="90"/>
  <c r="R15" i="90"/>
  <c r="N15" i="90"/>
  <c r="M15" i="90"/>
  <c r="F15" i="90"/>
  <c r="C15" i="90"/>
  <c r="B15" i="90"/>
  <c r="A15" i="90"/>
  <c r="S14" i="90"/>
  <c r="R14" i="90"/>
  <c r="N14" i="90"/>
  <c r="M14" i="90"/>
  <c r="F14" i="90"/>
  <c r="C14" i="90"/>
  <c r="B14" i="90"/>
  <c r="A14" i="90"/>
  <c r="S13" i="90"/>
  <c r="R13" i="90"/>
  <c r="N13" i="90"/>
  <c r="M13" i="90"/>
  <c r="I11" i="82" s="1"/>
  <c r="F13" i="90"/>
  <c r="C13" i="90"/>
  <c r="B13" i="90"/>
  <c r="A13" i="90"/>
  <c r="S12" i="90"/>
  <c r="R12" i="90"/>
  <c r="N12" i="90"/>
  <c r="M12" i="90"/>
  <c r="F12" i="90"/>
  <c r="C12" i="90"/>
  <c r="B12" i="90"/>
  <c r="A12" i="90"/>
  <c r="S11" i="90"/>
  <c r="R11" i="90"/>
  <c r="N11" i="90"/>
  <c r="M11" i="90"/>
  <c r="F11" i="90"/>
  <c r="C11" i="90"/>
  <c r="B11" i="90"/>
  <c r="A11" i="90"/>
  <c r="O36" i="89"/>
  <c r="K36" i="89"/>
  <c r="J36" i="89"/>
  <c r="H36" i="89"/>
  <c r="G36" i="89"/>
  <c r="S35" i="89"/>
  <c r="R35" i="89"/>
  <c r="P35" i="89"/>
  <c r="N35" i="89"/>
  <c r="M35" i="89"/>
  <c r="F35" i="89"/>
  <c r="C35" i="89"/>
  <c r="B35" i="89"/>
  <c r="A35" i="89"/>
  <c r="S34" i="89"/>
  <c r="R34" i="89"/>
  <c r="N34" i="89"/>
  <c r="M34" i="89"/>
  <c r="F34" i="89"/>
  <c r="C34" i="89"/>
  <c r="B34" i="89"/>
  <c r="A34" i="89"/>
  <c r="P34" i="89" s="1"/>
  <c r="S33" i="89"/>
  <c r="R33" i="89"/>
  <c r="N33" i="89"/>
  <c r="M33" i="89"/>
  <c r="F33" i="89"/>
  <c r="C33" i="89"/>
  <c r="B33" i="89"/>
  <c r="A33" i="89"/>
  <c r="P33" i="89" s="1"/>
  <c r="S32" i="89"/>
  <c r="R32" i="89"/>
  <c r="P32" i="89"/>
  <c r="N32" i="89"/>
  <c r="M32" i="89"/>
  <c r="F32" i="89"/>
  <c r="C32" i="89"/>
  <c r="B32" i="89"/>
  <c r="A32" i="89"/>
  <c r="S31" i="89"/>
  <c r="R31" i="89"/>
  <c r="N31" i="89"/>
  <c r="M31" i="89"/>
  <c r="F31" i="89"/>
  <c r="C31" i="89"/>
  <c r="B31" i="89"/>
  <c r="A31" i="89"/>
  <c r="P31" i="89" s="1"/>
  <c r="S30" i="89"/>
  <c r="R30" i="89"/>
  <c r="N30" i="89"/>
  <c r="M30" i="89"/>
  <c r="F30" i="89"/>
  <c r="C30" i="89"/>
  <c r="B30" i="89"/>
  <c r="A30" i="89"/>
  <c r="P30" i="89" s="1"/>
  <c r="S29" i="89"/>
  <c r="R29" i="89"/>
  <c r="P29" i="89"/>
  <c r="N29" i="89"/>
  <c r="M29" i="89"/>
  <c r="F29" i="89"/>
  <c r="C29" i="89"/>
  <c r="B29" i="89"/>
  <c r="A29" i="89"/>
  <c r="S28" i="89"/>
  <c r="R28" i="89"/>
  <c r="P28" i="89"/>
  <c r="N28" i="89"/>
  <c r="M28" i="89"/>
  <c r="F28" i="89"/>
  <c r="C28" i="89"/>
  <c r="B28" i="89"/>
  <c r="A28" i="89"/>
  <c r="S27" i="89"/>
  <c r="R27" i="89"/>
  <c r="P27" i="89"/>
  <c r="N27" i="89"/>
  <c r="M27" i="89"/>
  <c r="F27" i="89"/>
  <c r="C27" i="89"/>
  <c r="B27" i="89"/>
  <c r="A27" i="89"/>
  <c r="S26" i="89"/>
  <c r="R26" i="89"/>
  <c r="N26" i="89"/>
  <c r="M26" i="89"/>
  <c r="F26" i="89"/>
  <c r="C26" i="89"/>
  <c r="B26" i="89"/>
  <c r="A26" i="89"/>
  <c r="P26" i="89" s="1"/>
  <c r="S25" i="89"/>
  <c r="R25" i="89"/>
  <c r="N25" i="89"/>
  <c r="M25" i="89"/>
  <c r="F25" i="89"/>
  <c r="C25" i="89"/>
  <c r="B25" i="89"/>
  <c r="A25" i="89"/>
  <c r="P25" i="89" s="1"/>
  <c r="S24" i="89"/>
  <c r="R24" i="89"/>
  <c r="P24" i="89"/>
  <c r="N24" i="89"/>
  <c r="M24" i="89"/>
  <c r="F24" i="89"/>
  <c r="C24" i="89"/>
  <c r="B24" i="89"/>
  <c r="A24" i="89"/>
  <c r="S23" i="89"/>
  <c r="R23" i="89"/>
  <c r="P23" i="89"/>
  <c r="N23" i="89"/>
  <c r="M23" i="89"/>
  <c r="F23" i="89"/>
  <c r="C23" i="89"/>
  <c r="B23" i="89"/>
  <c r="A23" i="89"/>
  <c r="S22" i="89"/>
  <c r="R22" i="89"/>
  <c r="N22" i="89"/>
  <c r="M22" i="89"/>
  <c r="F22" i="89"/>
  <c r="C22" i="89"/>
  <c r="B22" i="89"/>
  <c r="A22" i="89"/>
  <c r="P22" i="89" s="1"/>
  <c r="S21" i="89"/>
  <c r="R21" i="89"/>
  <c r="N21" i="89"/>
  <c r="M21" i="89"/>
  <c r="F21" i="89"/>
  <c r="C21" i="89"/>
  <c r="B21" i="89"/>
  <c r="A21" i="89"/>
  <c r="P21" i="89" s="1"/>
  <c r="S20" i="89"/>
  <c r="R20" i="89"/>
  <c r="N20" i="89"/>
  <c r="M20" i="89"/>
  <c r="F20" i="89"/>
  <c r="C20" i="89"/>
  <c r="B20" i="89"/>
  <c r="A20" i="89"/>
  <c r="S19" i="89"/>
  <c r="R19" i="89"/>
  <c r="N19" i="89"/>
  <c r="M19" i="89"/>
  <c r="F19" i="89"/>
  <c r="C19" i="89"/>
  <c r="B19" i="89"/>
  <c r="A19" i="89"/>
  <c r="S18" i="89"/>
  <c r="R18" i="89"/>
  <c r="N18" i="89"/>
  <c r="M18" i="89"/>
  <c r="F18" i="89"/>
  <c r="C18" i="89"/>
  <c r="B18" i="89"/>
  <c r="A18" i="89"/>
  <c r="S17" i="89"/>
  <c r="R17" i="89"/>
  <c r="N17" i="89"/>
  <c r="M17" i="89"/>
  <c r="F17" i="89"/>
  <c r="C17" i="89"/>
  <c r="B17" i="89"/>
  <c r="A17" i="89"/>
  <c r="S16" i="89"/>
  <c r="R16" i="89"/>
  <c r="N16" i="89"/>
  <c r="M16" i="89"/>
  <c r="F16" i="89"/>
  <c r="C16" i="89"/>
  <c r="B16" i="89"/>
  <c r="A16" i="89"/>
  <c r="S15" i="89"/>
  <c r="R15" i="89"/>
  <c r="N15" i="89"/>
  <c r="M15" i="89"/>
  <c r="F15" i="89"/>
  <c r="C15" i="89"/>
  <c r="B15" i="89"/>
  <c r="A15" i="89"/>
  <c r="S14" i="89"/>
  <c r="R14" i="89"/>
  <c r="N14" i="89"/>
  <c r="M14" i="89"/>
  <c r="F14" i="89"/>
  <c r="C14" i="89"/>
  <c r="B14" i="89"/>
  <c r="A14" i="89"/>
  <c r="S13" i="89"/>
  <c r="R13" i="89"/>
  <c r="N13" i="89"/>
  <c r="M13" i="89"/>
  <c r="F13" i="89"/>
  <c r="C13" i="89"/>
  <c r="B13" i="89"/>
  <c r="A13" i="89"/>
  <c r="S12" i="89"/>
  <c r="R12" i="89"/>
  <c r="N12" i="89"/>
  <c r="M12" i="89"/>
  <c r="M36" i="89" s="1"/>
  <c r="F12" i="89"/>
  <c r="C12" i="89"/>
  <c r="B12" i="89"/>
  <c r="A12" i="89"/>
  <c r="S11" i="89"/>
  <c r="R11" i="89"/>
  <c r="N11" i="89"/>
  <c r="M11" i="89"/>
  <c r="F11" i="89"/>
  <c r="C11" i="89"/>
  <c r="B11" i="89"/>
  <c r="A11" i="89"/>
  <c r="O36" i="88"/>
  <c r="K36" i="88"/>
  <c r="J36" i="88"/>
  <c r="H36" i="88"/>
  <c r="G36" i="88"/>
  <c r="S35" i="88"/>
  <c r="R35" i="88"/>
  <c r="P35" i="88"/>
  <c r="N35" i="88"/>
  <c r="M35" i="88"/>
  <c r="I33" i="82" s="1"/>
  <c r="F35" i="88"/>
  <c r="C35" i="88"/>
  <c r="B35" i="88"/>
  <c r="A35" i="88"/>
  <c r="S34" i="88"/>
  <c r="R34" i="88"/>
  <c r="P34" i="88"/>
  <c r="N34" i="88"/>
  <c r="M34" i="88"/>
  <c r="F34" i="88"/>
  <c r="C34" i="88"/>
  <c r="B34" i="88"/>
  <c r="A34" i="88"/>
  <c r="S33" i="88"/>
  <c r="R33" i="88"/>
  <c r="N33" i="88"/>
  <c r="M33" i="88"/>
  <c r="F33" i="88"/>
  <c r="C33" i="88"/>
  <c r="B33" i="88"/>
  <c r="A33" i="88"/>
  <c r="P33" i="88" s="1"/>
  <c r="M31" i="82" s="1"/>
  <c r="S32" i="88"/>
  <c r="R32" i="88"/>
  <c r="N32" i="88"/>
  <c r="M32" i="88"/>
  <c r="F32" i="88"/>
  <c r="C32" i="88"/>
  <c r="B32" i="88"/>
  <c r="A32" i="88"/>
  <c r="P32" i="88" s="1"/>
  <c r="S31" i="88"/>
  <c r="R31" i="88"/>
  <c r="N31" i="88"/>
  <c r="M31" i="88"/>
  <c r="F31" i="88"/>
  <c r="C31" i="88"/>
  <c r="B31" i="88"/>
  <c r="A31" i="88"/>
  <c r="P31" i="88" s="1"/>
  <c r="S30" i="88"/>
  <c r="R30" i="88"/>
  <c r="N30" i="88"/>
  <c r="M30" i="88"/>
  <c r="F30" i="88"/>
  <c r="C30" i="88"/>
  <c r="B30" i="88"/>
  <c r="A30" i="88"/>
  <c r="P30" i="88" s="1"/>
  <c r="S29" i="88"/>
  <c r="R29" i="88"/>
  <c r="P29" i="88"/>
  <c r="N29" i="88"/>
  <c r="M29" i="88"/>
  <c r="F29" i="88"/>
  <c r="C29" i="88"/>
  <c r="B29" i="88"/>
  <c r="A29" i="88"/>
  <c r="S28" i="88"/>
  <c r="R28" i="88"/>
  <c r="P28" i="88"/>
  <c r="N28" i="88"/>
  <c r="M28" i="88"/>
  <c r="F28" i="88"/>
  <c r="C28" i="88"/>
  <c r="B28" i="88"/>
  <c r="A28" i="88"/>
  <c r="S27" i="88"/>
  <c r="R27" i="88"/>
  <c r="P27" i="88"/>
  <c r="N27" i="88"/>
  <c r="M27" i="88"/>
  <c r="F27" i="88"/>
  <c r="C27" i="88"/>
  <c r="B27" i="88"/>
  <c r="A27" i="88"/>
  <c r="S26" i="88"/>
  <c r="R26" i="88"/>
  <c r="N26" i="88"/>
  <c r="M26" i="88"/>
  <c r="I24" i="82" s="1"/>
  <c r="F26" i="88"/>
  <c r="C26" i="88"/>
  <c r="B26" i="88"/>
  <c r="A26" i="88"/>
  <c r="P26" i="88" s="1"/>
  <c r="S25" i="88"/>
  <c r="R25" i="88"/>
  <c r="N25" i="88"/>
  <c r="M25" i="88"/>
  <c r="F25" i="88"/>
  <c r="C25" i="88"/>
  <c r="B25" i="88"/>
  <c r="A25" i="88"/>
  <c r="P25" i="88" s="1"/>
  <c r="S24" i="88"/>
  <c r="R24" i="88"/>
  <c r="P24" i="88"/>
  <c r="N24" i="88"/>
  <c r="M24" i="88"/>
  <c r="F24" i="88"/>
  <c r="C24" i="88"/>
  <c r="B24" i="88"/>
  <c r="A24" i="88"/>
  <c r="S23" i="88"/>
  <c r="R23" i="88"/>
  <c r="N23" i="88"/>
  <c r="M23" i="88"/>
  <c r="F23" i="88"/>
  <c r="C23" i="88"/>
  <c r="B23" i="88"/>
  <c r="A23" i="88"/>
  <c r="P23" i="88" s="1"/>
  <c r="S22" i="88"/>
  <c r="R22" i="88"/>
  <c r="N22" i="88"/>
  <c r="M22" i="88"/>
  <c r="F22" i="88"/>
  <c r="C22" i="88"/>
  <c r="B22" i="88"/>
  <c r="A22" i="88"/>
  <c r="P22" i="88" s="1"/>
  <c r="S21" i="88"/>
  <c r="R21" i="88"/>
  <c r="N21" i="88"/>
  <c r="M21" i="88"/>
  <c r="F21" i="88"/>
  <c r="C21" i="88"/>
  <c r="B21" i="88"/>
  <c r="A21" i="88"/>
  <c r="P21" i="88" s="1"/>
  <c r="S20" i="88"/>
  <c r="R20" i="88"/>
  <c r="N20" i="88"/>
  <c r="M20" i="88"/>
  <c r="F20" i="88"/>
  <c r="C20" i="88"/>
  <c r="B20" i="88"/>
  <c r="A20" i="88"/>
  <c r="S19" i="88"/>
  <c r="R19" i="88"/>
  <c r="N19" i="88"/>
  <c r="M19" i="88"/>
  <c r="F19" i="88"/>
  <c r="C19" i="88"/>
  <c r="B19" i="88"/>
  <c r="A19" i="88"/>
  <c r="S18" i="88"/>
  <c r="R18" i="88"/>
  <c r="N18" i="88"/>
  <c r="M18" i="88"/>
  <c r="F18" i="88"/>
  <c r="C18" i="88"/>
  <c r="B18" i="88"/>
  <c r="A18" i="88"/>
  <c r="S17" i="88"/>
  <c r="R17" i="88"/>
  <c r="N17" i="88"/>
  <c r="M17" i="88"/>
  <c r="F17" i="88"/>
  <c r="C17" i="88"/>
  <c r="B17" i="88"/>
  <c r="A17" i="88"/>
  <c r="S16" i="88"/>
  <c r="R16" i="88"/>
  <c r="N16" i="88"/>
  <c r="M16" i="88"/>
  <c r="F16" i="88"/>
  <c r="C16" i="88"/>
  <c r="B16" i="88"/>
  <c r="A16" i="88"/>
  <c r="S15" i="88"/>
  <c r="R15" i="88"/>
  <c r="N15" i="88"/>
  <c r="M15" i="88"/>
  <c r="F15" i="88"/>
  <c r="C15" i="88"/>
  <c r="B15" i="88"/>
  <c r="A15" i="88"/>
  <c r="S14" i="88"/>
  <c r="R14" i="88"/>
  <c r="N14" i="88"/>
  <c r="M14" i="88"/>
  <c r="I12" i="82" s="1"/>
  <c r="F14" i="88"/>
  <c r="C14" i="88"/>
  <c r="B14" i="88"/>
  <c r="A14" i="88"/>
  <c r="S13" i="88"/>
  <c r="R13" i="88"/>
  <c r="N13" i="88"/>
  <c r="M13" i="88"/>
  <c r="F13" i="88"/>
  <c r="C13" i="88"/>
  <c r="B13" i="88"/>
  <c r="A13" i="88"/>
  <c r="S12" i="88"/>
  <c r="R12" i="88"/>
  <c r="N12" i="88"/>
  <c r="M12" i="88"/>
  <c r="I10" i="82" s="1"/>
  <c r="F12" i="88"/>
  <c r="C12" i="88"/>
  <c r="B12" i="88"/>
  <c r="A12" i="88"/>
  <c r="S11" i="88"/>
  <c r="R11" i="88"/>
  <c r="N11" i="88"/>
  <c r="M11" i="88"/>
  <c r="F11" i="88"/>
  <c r="C11" i="88"/>
  <c r="B11" i="88"/>
  <c r="A11" i="88"/>
  <c r="O36" i="87"/>
  <c r="K36" i="87"/>
  <c r="J36" i="87"/>
  <c r="H36" i="87"/>
  <c r="G36" i="87"/>
  <c r="S35" i="87"/>
  <c r="R35" i="87"/>
  <c r="N35" i="87"/>
  <c r="M35" i="87"/>
  <c r="F35" i="87"/>
  <c r="C35" i="87"/>
  <c r="B35" i="87"/>
  <c r="A35" i="87"/>
  <c r="P35" i="87" s="1"/>
  <c r="S34" i="87"/>
  <c r="R34" i="87"/>
  <c r="P34" i="87"/>
  <c r="N34" i="87"/>
  <c r="M34" i="87"/>
  <c r="F34" i="87"/>
  <c r="C34" i="87"/>
  <c r="B34" i="87"/>
  <c r="A34" i="87"/>
  <c r="S33" i="87"/>
  <c r="R33" i="87"/>
  <c r="N33" i="87"/>
  <c r="M33" i="87"/>
  <c r="F33" i="87"/>
  <c r="C33" i="87"/>
  <c r="B33" i="87"/>
  <c r="A33" i="87"/>
  <c r="P33" i="87" s="1"/>
  <c r="S32" i="87"/>
  <c r="R32" i="87"/>
  <c r="N32" i="87"/>
  <c r="M32" i="87"/>
  <c r="F32" i="87"/>
  <c r="C32" i="87"/>
  <c r="B32" i="87"/>
  <c r="A32" i="87"/>
  <c r="P32" i="87" s="1"/>
  <c r="S31" i="87"/>
  <c r="R31" i="87"/>
  <c r="P31" i="87"/>
  <c r="N31" i="87"/>
  <c r="M31" i="87"/>
  <c r="F31" i="87"/>
  <c r="C31" i="87"/>
  <c r="B31" i="87"/>
  <c r="A31" i="87"/>
  <c r="S30" i="87"/>
  <c r="R30" i="87"/>
  <c r="P30" i="87"/>
  <c r="N30" i="87"/>
  <c r="M30" i="87"/>
  <c r="F30" i="87"/>
  <c r="C30" i="87"/>
  <c r="B30" i="87"/>
  <c r="A30" i="87"/>
  <c r="S29" i="87"/>
  <c r="R29" i="87"/>
  <c r="P29" i="87"/>
  <c r="N29" i="87"/>
  <c r="M29" i="87"/>
  <c r="F29" i="87"/>
  <c r="C29" i="87"/>
  <c r="B29" i="87"/>
  <c r="A29" i="87"/>
  <c r="S28" i="87"/>
  <c r="R28" i="87"/>
  <c r="N28" i="87"/>
  <c r="M28" i="87"/>
  <c r="F28" i="87"/>
  <c r="C28" i="87"/>
  <c r="B28" i="87"/>
  <c r="A28" i="87"/>
  <c r="P28" i="87" s="1"/>
  <c r="S27" i="87"/>
  <c r="R27" i="87"/>
  <c r="N27" i="87"/>
  <c r="M27" i="87"/>
  <c r="F27" i="87"/>
  <c r="C27" i="87"/>
  <c r="B27" i="87"/>
  <c r="A27" i="87"/>
  <c r="P27" i="87" s="1"/>
  <c r="S26" i="87"/>
  <c r="R26" i="87"/>
  <c r="N26" i="87"/>
  <c r="M26" i="87"/>
  <c r="F26" i="87"/>
  <c r="C26" i="87"/>
  <c r="B26" i="87"/>
  <c r="A26" i="87"/>
  <c r="P26" i="87" s="1"/>
  <c r="S25" i="87"/>
  <c r="R25" i="87"/>
  <c r="N25" i="87"/>
  <c r="M25" i="87"/>
  <c r="F25" i="87"/>
  <c r="C25" i="87"/>
  <c r="B25" i="87"/>
  <c r="A25" i="87"/>
  <c r="P25" i="87" s="1"/>
  <c r="S24" i="87"/>
  <c r="R24" i="87"/>
  <c r="N24" i="87"/>
  <c r="M24" i="87"/>
  <c r="F24" i="87"/>
  <c r="C24" i="87"/>
  <c r="B24" i="87"/>
  <c r="A24" i="87"/>
  <c r="P24" i="87" s="1"/>
  <c r="S23" i="87"/>
  <c r="R23" i="87"/>
  <c r="N23" i="87"/>
  <c r="M23" i="87"/>
  <c r="F23" i="87"/>
  <c r="C23" i="87"/>
  <c r="B23" i="87"/>
  <c r="A23" i="87"/>
  <c r="P23" i="87" s="1"/>
  <c r="S22" i="87"/>
  <c r="R22" i="87"/>
  <c r="P22" i="87"/>
  <c r="N22" i="87"/>
  <c r="M22" i="87"/>
  <c r="M36" i="87" s="1"/>
  <c r="F22" i="87"/>
  <c r="C22" i="87"/>
  <c r="B22" i="87"/>
  <c r="A22" i="87"/>
  <c r="S21" i="87"/>
  <c r="R21" i="87"/>
  <c r="P21" i="87"/>
  <c r="N21" i="87"/>
  <c r="M21" i="87"/>
  <c r="F21" i="87"/>
  <c r="C21" i="87"/>
  <c r="B21" i="87"/>
  <c r="A21" i="87"/>
  <c r="S20" i="87"/>
  <c r="R20" i="87"/>
  <c r="N20" i="87"/>
  <c r="M20" i="87"/>
  <c r="I18" i="81" s="1"/>
  <c r="F20" i="87"/>
  <c r="C20" i="87"/>
  <c r="B20" i="87"/>
  <c r="A20" i="87"/>
  <c r="S19" i="87"/>
  <c r="R19" i="87"/>
  <c r="N19" i="87"/>
  <c r="M19" i="87"/>
  <c r="F19" i="87"/>
  <c r="C19" i="87"/>
  <c r="B19" i="87"/>
  <c r="A19" i="87"/>
  <c r="S18" i="87"/>
  <c r="R18" i="87"/>
  <c r="N18" i="87"/>
  <c r="M18" i="87"/>
  <c r="F18" i="87"/>
  <c r="C18" i="87"/>
  <c r="B18" i="87"/>
  <c r="A18" i="87"/>
  <c r="S17" i="87"/>
  <c r="R17" i="87"/>
  <c r="N17" i="87"/>
  <c r="M17" i="87"/>
  <c r="F17" i="87"/>
  <c r="C17" i="87"/>
  <c r="B17" i="87"/>
  <c r="A17" i="87"/>
  <c r="S16" i="87"/>
  <c r="R16" i="87"/>
  <c r="N16" i="87"/>
  <c r="M16" i="87"/>
  <c r="F16" i="87"/>
  <c r="C16" i="87"/>
  <c r="B16" i="87"/>
  <c r="A16" i="87"/>
  <c r="S15" i="87"/>
  <c r="R15" i="87"/>
  <c r="N15" i="87"/>
  <c r="M15" i="87"/>
  <c r="F15" i="87"/>
  <c r="C15" i="87"/>
  <c r="B15" i="87"/>
  <c r="A15" i="87"/>
  <c r="S14" i="87"/>
  <c r="R14" i="87"/>
  <c r="N14" i="87"/>
  <c r="M14" i="87"/>
  <c r="F14" i="87"/>
  <c r="C14" i="87"/>
  <c r="B14" i="87"/>
  <c r="A14" i="87"/>
  <c r="S13" i="87"/>
  <c r="R13" i="87"/>
  <c r="N13" i="87"/>
  <c r="M13" i="87"/>
  <c r="F13" i="87"/>
  <c r="C13" i="87"/>
  <c r="B13" i="87"/>
  <c r="A13" i="87"/>
  <c r="S12" i="87"/>
  <c r="R12" i="87"/>
  <c r="N12" i="87"/>
  <c r="M12" i="87"/>
  <c r="I10" i="81" s="1"/>
  <c r="F12" i="87"/>
  <c r="C12" i="87"/>
  <c r="B12" i="87"/>
  <c r="A12" i="87"/>
  <c r="S11" i="87"/>
  <c r="R11" i="87"/>
  <c r="N11" i="87"/>
  <c r="M11" i="87"/>
  <c r="F11" i="87"/>
  <c r="C11" i="87"/>
  <c r="B11" i="87"/>
  <c r="A11" i="87"/>
  <c r="O36" i="86"/>
  <c r="K36" i="86"/>
  <c r="J36" i="86"/>
  <c r="H36" i="86"/>
  <c r="G36" i="86"/>
  <c r="S35" i="86"/>
  <c r="R35" i="86"/>
  <c r="N35" i="86"/>
  <c r="M35" i="86"/>
  <c r="F35" i="86"/>
  <c r="C35" i="86"/>
  <c r="B35" i="86"/>
  <c r="A35" i="86"/>
  <c r="P35" i="86" s="1"/>
  <c r="S34" i="86"/>
  <c r="R34" i="86"/>
  <c r="N34" i="86"/>
  <c r="M34" i="86"/>
  <c r="F34" i="86"/>
  <c r="C34" i="86"/>
  <c r="B34" i="86"/>
  <c r="A34" i="86"/>
  <c r="P34" i="86" s="1"/>
  <c r="S33" i="86"/>
  <c r="R33" i="86"/>
  <c r="N33" i="86"/>
  <c r="M33" i="86"/>
  <c r="I31" i="81" s="1"/>
  <c r="F33" i="86"/>
  <c r="C33" i="86"/>
  <c r="B33" i="86"/>
  <c r="A33" i="86"/>
  <c r="P33" i="86" s="1"/>
  <c r="S32" i="86"/>
  <c r="R32" i="86"/>
  <c r="P32" i="86"/>
  <c r="N32" i="86"/>
  <c r="M32" i="86"/>
  <c r="F32" i="86"/>
  <c r="C32" i="86"/>
  <c r="B32" i="86"/>
  <c r="A32" i="86"/>
  <c r="S31" i="86"/>
  <c r="R31" i="86"/>
  <c r="P31" i="86"/>
  <c r="N31" i="86"/>
  <c r="M31" i="86"/>
  <c r="F31" i="86"/>
  <c r="C31" i="86"/>
  <c r="B31" i="86"/>
  <c r="A31" i="86"/>
  <c r="S30" i="86"/>
  <c r="R30" i="86"/>
  <c r="N30" i="86"/>
  <c r="M30" i="86"/>
  <c r="F30" i="86"/>
  <c r="C30" i="86"/>
  <c r="B30" i="86"/>
  <c r="A30" i="86"/>
  <c r="P30" i="86" s="1"/>
  <c r="S29" i="86"/>
  <c r="R29" i="86"/>
  <c r="N29" i="86"/>
  <c r="M29" i="86"/>
  <c r="F29" i="86"/>
  <c r="C29" i="86"/>
  <c r="B29" i="86"/>
  <c r="A29" i="86"/>
  <c r="P29" i="86" s="1"/>
  <c r="S28" i="86"/>
  <c r="R28" i="86"/>
  <c r="N28" i="86"/>
  <c r="M28" i="86"/>
  <c r="F28" i="86"/>
  <c r="C28" i="86"/>
  <c r="B28" i="86"/>
  <c r="A28" i="86"/>
  <c r="P28" i="86" s="1"/>
  <c r="S27" i="86"/>
  <c r="R27" i="86"/>
  <c r="N27" i="86"/>
  <c r="M27" i="86"/>
  <c r="F27" i="86"/>
  <c r="C27" i="86"/>
  <c r="B27" i="86"/>
  <c r="A27" i="86"/>
  <c r="P27" i="86" s="1"/>
  <c r="S26" i="86"/>
  <c r="R26" i="86"/>
  <c r="N26" i="86"/>
  <c r="M26" i="86"/>
  <c r="F26" i="86"/>
  <c r="C26" i="86"/>
  <c r="B26" i="86"/>
  <c r="A26" i="86"/>
  <c r="P26" i="86" s="1"/>
  <c r="S25" i="86"/>
  <c r="R25" i="86"/>
  <c r="N25" i="86"/>
  <c r="M25" i="86"/>
  <c r="I23" i="81" s="1"/>
  <c r="F25" i="86"/>
  <c r="C25" i="86"/>
  <c r="B25" i="86"/>
  <c r="A25" i="86"/>
  <c r="P25" i="86" s="1"/>
  <c r="S24" i="86"/>
  <c r="R24" i="86"/>
  <c r="N24" i="86"/>
  <c r="M24" i="86"/>
  <c r="F24" i="86"/>
  <c r="C24" i="86"/>
  <c r="B24" i="86"/>
  <c r="A24" i="86"/>
  <c r="P24" i="86" s="1"/>
  <c r="S23" i="86"/>
  <c r="R23" i="86"/>
  <c r="P23" i="86"/>
  <c r="N23" i="86"/>
  <c r="M23" i="86"/>
  <c r="F23" i="86"/>
  <c r="C23" i="86"/>
  <c r="B23" i="86"/>
  <c r="A23" i="86"/>
  <c r="S22" i="86"/>
  <c r="R22" i="86"/>
  <c r="N22" i="86"/>
  <c r="M22" i="86"/>
  <c r="F22" i="86"/>
  <c r="C22" i="86"/>
  <c r="B22" i="86"/>
  <c r="A22" i="86"/>
  <c r="P22" i="86" s="1"/>
  <c r="S21" i="86"/>
  <c r="R21" i="86"/>
  <c r="N21" i="86"/>
  <c r="M21" i="86"/>
  <c r="F21" i="86"/>
  <c r="C21" i="86"/>
  <c r="B21" i="86"/>
  <c r="A21" i="86"/>
  <c r="P21" i="86" s="1"/>
  <c r="S20" i="86"/>
  <c r="R20" i="86"/>
  <c r="N20" i="86"/>
  <c r="M20" i="86"/>
  <c r="F20" i="86"/>
  <c r="C20" i="86"/>
  <c r="B20" i="86"/>
  <c r="A20" i="86"/>
  <c r="S19" i="86"/>
  <c r="R19" i="86"/>
  <c r="N19" i="86"/>
  <c r="M19" i="86"/>
  <c r="I17" i="81" s="1"/>
  <c r="F19" i="86"/>
  <c r="C19" i="86"/>
  <c r="B19" i="86"/>
  <c r="A19" i="86"/>
  <c r="S18" i="86"/>
  <c r="R18" i="86"/>
  <c r="N18" i="86"/>
  <c r="M18" i="86"/>
  <c r="F18" i="86"/>
  <c r="C18" i="86"/>
  <c r="B18" i="86"/>
  <c r="A18" i="86"/>
  <c r="S17" i="86"/>
  <c r="R17" i="86"/>
  <c r="N17" i="86"/>
  <c r="M17" i="86"/>
  <c r="I15" i="81" s="1"/>
  <c r="F17" i="86"/>
  <c r="C17" i="86"/>
  <c r="B17" i="86"/>
  <c r="A17" i="86"/>
  <c r="S16" i="86"/>
  <c r="R16" i="86"/>
  <c r="N16" i="86"/>
  <c r="M16" i="86"/>
  <c r="F16" i="86"/>
  <c r="C16" i="86"/>
  <c r="B16" i="86"/>
  <c r="A16" i="86"/>
  <c r="S15" i="86"/>
  <c r="R15" i="86"/>
  <c r="N15" i="86"/>
  <c r="M15" i="86"/>
  <c r="F15" i="86"/>
  <c r="C15" i="86"/>
  <c r="B15" i="86"/>
  <c r="A15" i="86"/>
  <c r="S14" i="86"/>
  <c r="R14" i="86"/>
  <c r="N14" i="86"/>
  <c r="M14" i="86"/>
  <c r="F14" i="86"/>
  <c r="C14" i="86"/>
  <c r="B14" i="86"/>
  <c r="A14" i="86"/>
  <c r="S13" i="86"/>
  <c r="R13" i="86"/>
  <c r="N13" i="86"/>
  <c r="M13" i="86"/>
  <c r="F13" i="86"/>
  <c r="C13" i="86"/>
  <c r="B13" i="86"/>
  <c r="A13" i="86"/>
  <c r="S12" i="86"/>
  <c r="R12" i="86"/>
  <c r="N12" i="86"/>
  <c r="M12" i="86"/>
  <c r="F12" i="86"/>
  <c r="C12" i="86"/>
  <c r="B12" i="86"/>
  <c r="A12" i="86"/>
  <c r="S11" i="86"/>
  <c r="R11" i="86"/>
  <c r="N11" i="86"/>
  <c r="M11" i="86"/>
  <c r="F11" i="86"/>
  <c r="C11" i="86"/>
  <c r="B11" i="86"/>
  <c r="A11" i="86"/>
  <c r="O36" i="85"/>
  <c r="K36" i="85"/>
  <c r="J36" i="85"/>
  <c r="H36" i="85"/>
  <c r="G36" i="85"/>
  <c r="S35" i="85"/>
  <c r="R35" i="85"/>
  <c r="N35" i="85"/>
  <c r="M35" i="85"/>
  <c r="F35" i="85"/>
  <c r="C35" i="85"/>
  <c r="B35" i="85"/>
  <c r="A35" i="85"/>
  <c r="P35" i="85" s="1"/>
  <c r="S34" i="85"/>
  <c r="R34" i="85"/>
  <c r="N34" i="85"/>
  <c r="M34" i="85"/>
  <c r="F34" i="85"/>
  <c r="C34" i="85"/>
  <c r="B34" i="85"/>
  <c r="A34" i="85"/>
  <c r="P34" i="85" s="1"/>
  <c r="M32" i="81" s="1"/>
  <c r="S33" i="85"/>
  <c r="R33" i="85"/>
  <c r="P33" i="85"/>
  <c r="N33" i="85"/>
  <c r="M33" i="85"/>
  <c r="F33" i="85"/>
  <c r="C33" i="85"/>
  <c r="B33" i="85"/>
  <c r="A33" i="85"/>
  <c r="S32" i="85"/>
  <c r="R32" i="85"/>
  <c r="P32" i="85"/>
  <c r="N32" i="85"/>
  <c r="M32" i="85"/>
  <c r="F32" i="85"/>
  <c r="C32" i="85"/>
  <c r="B32" i="85"/>
  <c r="A32" i="85"/>
  <c r="S31" i="85"/>
  <c r="R31" i="85"/>
  <c r="N31" i="85"/>
  <c r="M31" i="85"/>
  <c r="F31" i="85"/>
  <c r="C31" i="85"/>
  <c r="B31" i="85"/>
  <c r="A31" i="85"/>
  <c r="P31" i="85" s="1"/>
  <c r="S30" i="85"/>
  <c r="R30" i="85"/>
  <c r="P30" i="85"/>
  <c r="N30" i="85"/>
  <c r="M30" i="85"/>
  <c r="F30" i="85"/>
  <c r="C30" i="85"/>
  <c r="B30" i="85"/>
  <c r="A30" i="85"/>
  <c r="S29" i="85"/>
  <c r="R29" i="85"/>
  <c r="N29" i="85"/>
  <c r="M29" i="85"/>
  <c r="F29" i="85"/>
  <c r="C29" i="85"/>
  <c r="B29" i="85"/>
  <c r="A29" i="85"/>
  <c r="P29" i="85" s="1"/>
  <c r="S28" i="85"/>
  <c r="R28" i="85"/>
  <c r="N28" i="85"/>
  <c r="M28" i="85"/>
  <c r="I26" i="81" s="1"/>
  <c r="F28" i="85"/>
  <c r="C28" i="85"/>
  <c r="B28" i="85"/>
  <c r="A28" i="85"/>
  <c r="P28" i="85" s="1"/>
  <c r="S27" i="85"/>
  <c r="R27" i="85"/>
  <c r="N27" i="85"/>
  <c r="M27" i="85"/>
  <c r="I25" i="81" s="1"/>
  <c r="F27" i="85"/>
  <c r="C27" i="85"/>
  <c r="B27" i="85"/>
  <c r="A27" i="85"/>
  <c r="P27" i="85" s="1"/>
  <c r="S26" i="85"/>
  <c r="R26" i="85"/>
  <c r="N26" i="85"/>
  <c r="M26" i="85"/>
  <c r="F26" i="85"/>
  <c r="C26" i="85"/>
  <c r="B26" i="85"/>
  <c r="A26" i="85"/>
  <c r="P26" i="85" s="1"/>
  <c r="S25" i="85"/>
  <c r="R25" i="85"/>
  <c r="P25" i="85"/>
  <c r="N25" i="85"/>
  <c r="M25" i="85"/>
  <c r="F25" i="85"/>
  <c r="C25" i="85"/>
  <c r="B25" i="85"/>
  <c r="A25" i="85"/>
  <c r="S24" i="85"/>
  <c r="R24" i="85"/>
  <c r="N24" i="85"/>
  <c r="M24" i="85"/>
  <c r="F24" i="85"/>
  <c r="C24" i="85"/>
  <c r="B24" i="85"/>
  <c r="A24" i="85"/>
  <c r="P24" i="85" s="1"/>
  <c r="S23" i="85"/>
  <c r="R23" i="85"/>
  <c r="N23" i="85"/>
  <c r="M23" i="85"/>
  <c r="F23" i="85"/>
  <c r="C23" i="85"/>
  <c r="B23" i="85"/>
  <c r="A23" i="85"/>
  <c r="P23" i="85" s="1"/>
  <c r="M21" i="81" s="1"/>
  <c r="S22" i="85"/>
  <c r="R22" i="85"/>
  <c r="P22" i="85"/>
  <c r="N22" i="85"/>
  <c r="M22" i="85"/>
  <c r="F22" i="85"/>
  <c r="C22" i="85"/>
  <c r="B22" i="85"/>
  <c r="A22" i="85"/>
  <c r="S21" i="85"/>
  <c r="R21" i="85"/>
  <c r="P21" i="85"/>
  <c r="N21" i="85"/>
  <c r="M21" i="85"/>
  <c r="F21" i="85"/>
  <c r="C21" i="85"/>
  <c r="B21" i="85"/>
  <c r="A21" i="85"/>
  <c r="S20" i="85"/>
  <c r="R20" i="85"/>
  <c r="N20" i="85"/>
  <c r="M20" i="85"/>
  <c r="F20" i="85"/>
  <c r="C20" i="85"/>
  <c r="B20" i="85"/>
  <c r="A20" i="85"/>
  <c r="S19" i="85"/>
  <c r="R19" i="85"/>
  <c r="N19" i="85"/>
  <c r="M19" i="85"/>
  <c r="F19" i="85"/>
  <c r="C19" i="85"/>
  <c r="B19" i="85"/>
  <c r="A19" i="85"/>
  <c r="S18" i="85"/>
  <c r="R18" i="85"/>
  <c r="N18" i="85"/>
  <c r="M18" i="85"/>
  <c r="F18" i="85"/>
  <c r="C18" i="85"/>
  <c r="B18" i="85"/>
  <c r="A18" i="85"/>
  <c r="S17" i="85"/>
  <c r="R17" i="85"/>
  <c r="N17" i="85"/>
  <c r="M17" i="85"/>
  <c r="F17" i="85"/>
  <c r="C17" i="85"/>
  <c r="B17" i="85"/>
  <c r="A17" i="85"/>
  <c r="S16" i="85"/>
  <c r="R16" i="85"/>
  <c r="N16" i="85"/>
  <c r="M16" i="85"/>
  <c r="F16" i="85"/>
  <c r="C16" i="85"/>
  <c r="B16" i="85"/>
  <c r="A16" i="85"/>
  <c r="S15" i="85"/>
  <c r="R15" i="85"/>
  <c r="N15" i="85"/>
  <c r="M15" i="85"/>
  <c r="F15" i="85"/>
  <c r="C15" i="85"/>
  <c r="B15" i="85"/>
  <c r="A15" i="85"/>
  <c r="S14" i="85"/>
  <c r="R14" i="85"/>
  <c r="N14" i="85"/>
  <c r="M14" i="85"/>
  <c r="F14" i="85"/>
  <c r="C14" i="85"/>
  <c r="B14" i="85"/>
  <c r="A14" i="85"/>
  <c r="S13" i="85"/>
  <c r="R13" i="85"/>
  <c r="N13" i="85"/>
  <c r="M13" i="85"/>
  <c r="F13" i="85"/>
  <c r="C13" i="85"/>
  <c r="B13" i="85"/>
  <c r="A13" i="85"/>
  <c r="S12" i="85"/>
  <c r="R12" i="85"/>
  <c r="N12" i="85"/>
  <c r="M12" i="85"/>
  <c r="F12" i="85"/>
  <c r="C12" i="85"/>
  <c r="B12" i="85"/>
  <c r="A12" i="85"/>
  <c r="S11" i="85"/>
  <c r="R11" i="85"/>
  <c r="N11" i="85"/>
  <c r="M11" i="85"/>
  <c r="F11" i="85"/>
  <c r="C11" i="85"/>
  <c r="B11" i="85"/>
  <c r="A11" i="85"/>
  <c r="L33" i="84"/>
  <c r="H33" i="84"/>
  <c r="F33" i="84"/>
  <c r="B33" i="84"/>
  <c r="A33" i="84"/>
  <c r="L32" i="84"/>
  <c r="I32" i="84"/>
  <c r="H32" i="84"/>
  <c r="F32" i="84"/>
  <c r="B32" i="84"/>
  <c r="A32" i="84"/>
  <c r="L31" i="84"/>
  <c r="I31" i="84"/>
  <c r="H31" i="84"/>
  <c r="F31" i="84"/>
  <c r="B31" i="84"/>
  <c r="A31" i="84"/>
  <c r="L30" i="84"/>
  <c r="I30" i="84"/>
  <c r="H30" i="84"/>
  <c r="F30" i="84"/>
  <c r="B30" i="84"/>
  <c r="A30" i="84"/>
  <c r="L29" i="84"/>
  <c r="I29" i="84"/>
  <c r="H29" i="84"/>
  <c r="F29" i="84"/>
  <c r="B29" i="84"/>
  <c r="A29" i="84"/>
  <c r="L28" i="84"/>
  <c r="I28" i="84"/>
  <c r="H28" i="84"/>
  <c r="F28" i="84"/>
  <c r="B28" i="84"/>
  <c r="A28" i="84"/>
  <c r="L27" i="84"/>
  <c r="H27" i="84"/>
  <c r="F27" i="84"/>
  <c r="B27" i="84"/>
  <c r="A27" i="84"/>
  <c r="L26" i="84"/>
  <c r="I26" i="84"/>
  <c r="H26" i="84"/>
  <c r="F26" i="84"/>
  <c r="B26" i="84"/>
  <c r="A26" i="84"/>
  <c r="L25" i="84"/>
  <c r="I25" i="84"/>
  <c r="H25" i="84"/>
  <c r="F25" i="84"/>
  <c r="B25" i="84"/>
  <c r="A25" i="84"/>
  <c r="L24" i="84"/>
  <c r="I24" i="84"/>
  <c r="H24" i="84"/>
  <c r="F24" i="84"/>
  <c r="B24" i="84"/>
  <c r="A24" i="84"/>
  <c r="L23" i="84"/>
  <c r="I23" i="84"/>
  <c r="H23" i="84"/>
  <c r="F23" i="84"/>
  <c r="B23" i="84"/>
  <c r="A23" i="84"/>
  <c r="L22" i="84"/>
  <c r="H22" i="84"/>
  <c r="F22" i="84"/>
  <c r="B22" i="84"/>
  <c r="A22" i="84"/>
  <c r="L21" i="84"/>
  <c r="I21" i="84"/>
  <c r="H21" i="84"/>
  <c r="F21" i="84"/>
  <c r="B21" i="84"/>
  <c r="A21" i="84"/>
  <c r="L20" i="84"/>
  <c r="H20" i="84"/>
  <c r="F20" i="84"/>
  <c r="B20" i="84"/>
  <c r="A20" i="84"/>
  <c r="L19" i="84"/>
  <c r="I19" i="84"/>
  <c r="H19" i="84"/>
  <c r="F19" i="84"/>
  <c r="B19" i="84"/>
  <c r="A19" i="84"/>
  <c r="L18" i="84"/>
  <c r="I18" i="84"/>
  <c r="H18" i="84"/>
  <c r="F18" i="84"/>
  <c r="B18" i="84"/>
  <c r="A18" i="84"/>
  <c r="L17" i="84"/>
  <c r="I17" i="84"/>
  <c r="H17" i="84"/>
  <c r="F17" i="84"/>
  <c r="B17" i="84"/>
  <c r="A17" i="84"/>
  <c r="L16" i="84"/>
  <c r="I16" i="84"/>
  <c r="H16" i="84"/>
  <c r="F16" i="84"/>
  <c r="B16" i="84"/>
  <c r="A16" i="84"/>
  <c r="L15" i="84"/>
  <c r="H15" i="84"/>
  <c r="F15" i="84"/>
  <c r="B15" i="84"/>
  <c r="A15" i="84"/>
  <c r="L14" i="84"/>
  <c r="I14" i="84"/>
  <c r="H14" i="84"/>
  <c r="F14" i="84"/>
  <c r="B14" i="84"/>
  <c r="A14" i="84"/>
  <c r="L13" i="84"/>
  <c r="I13" i="84"/>
  <c r="H13" i="84"/>
  <c r="F13" i="84"/>
  <c r="B13" i="84"/>
  <c r="A13" i="84"/>
  <c r="L12" i="84"/>
  <c r="I12" i="84"/>
  <c r="H12" i="84"/>
  <c r="F12" i="84"/>
  <c r="B12" i="84"/>
  <c r="A12" i="84"/>
  <c r="L11" i="84"/>
  <c r="I11" i="84"/>
  <c r="H11" i="84"/>
  <c r="F11" i="84"/>
  <c r="B11" i="84"/>
  <c r="A11" i="84"/>
  <c r="L10" i="84"/>
  <c r="H10" i="84"/>
  <c r="F10" i="84"/>
  <c r="B10" i="84"/>
  <c r="A10" i="84"/>
  <c r="L9" i="84"/>
  <c r="I9" i="84"/>
  <c r="H9" i="84"/>
  <c r="F9" i="84"/>
  <c r="B9" i="84"/>
  <c r="A9" i="84"/>
  <c r="L33" i="83"/>
  <c r="I33" i="83"/>
  <c r="H33" i="83"/>
  <c r="F33" i="83"/>
  <c r="B33" i="83"/>
  <c r="A33" i="83"/>
  <c r="L32" i="83"/>
  <c r="I32" i="83"/>
  <c r="H32" i="83"/>
  <c r="F32" i="83"/>
  <c r="B32" i="83"/>
  <c r="A32" i="83"/>
  <c r="L31" i="83"/>
  <c r="I31" i="83"/>
  <c r="H31" i="83"/>
  <c r="F31" i="83"/>
  <c r="B31" i="83"/>
  <c r="A31" i="83"/>
  <c r="L30" i="83"/>
  <c r="I30" i="83"/>
  <c r="H30" i="83"/>
  <c r="F30" i="83"/>
  <c r="B30" i="83"/>
  <c r="A30" i="83"/>
  <c r="L29" i="83"/>
  <c r="H29" i="83"/>
  <c r="F29" i="83"/>
  <c r="B29" i="83"/>
  <c r="A29" i="83"/>
  <c r="L28" i="83"/>
  <c r="I28" i="83"/>
  <c r="H28" i="83"/>
  <c r="F28" i="83"/>
  <c r="B28" i="83"/>
  <c r="A28" i="83"/>
  <c r="L27" i="83"/>
  <c r="H27" i="83"/>
  <c r="F27" i="83"/>
  <c r="B27" i="83"/>
  <c r="A27" i="83"/>
  <c r="L26" i="83"/>
  <c r="I26" i="83"/>
  <c r="H26" i="83"/>
  <c r="F26" i="83"/>
  <c r="B26" i="83"/>
  <c r="A26" i="83"/>
  <c r="L25" i="83"/>
  <c r="H25" i="83"/>
  <c r="F25" i="83"/>
  <c r="B25" i="83"/>
  <c r="A25" i="83"/>
  <c r="L24" i="83"/>
  <c r="I24" i="83"/>
  <c r="H24" i="83"/>
  <c r="F24" i="83"/>
  <c r="B24" i="83"/>
  <c r="A24" i="83"/>
  <c r="L23" i="83"/>
  <c r="I23" i="83"/>
  <c r="H23" i="83"/>
  <c r="F23" i="83"/>
  <c r="B23" i="83"/>
  <c r="A23" i="83"/>
  <c r="L22" i="83"/>
  <c r="I22" i="83"/>
  <c r="H22" i="83"/>
  <c r="F22" i="83"/>
  <c r="B22" i="83"/>
  <c r="A22" i="83"/>
  <c r="L21" i="83"/>
  <c r="I21" i="83"/>
  <c r="H21" i="83"/>
  <c r="F21" i="83"/>
  <c r="B21" i="83"/>
  <c r="A21" i="83"/>
  <c r="L20" i="83"/>
  <c r="I20" i="83"/>
  <c r="H20" i="83"/>
  <c r="F20" i="83"/>
  <c r="B20" i="83"/>
  <c r="A20" i="83"/>
  <c r="L19" i="83"/>
  <c r="I19" i="83"/>
  <c r="H19" i="83"/>
  <c r="F19" i="83"/>
  <c r="B19" i="83"/>
  <c r="A19" i="83"/>
  <c r="L18" i="83"/>
  <c r="H18" i="83"/>
  <c r="F18" i="83"/>
  <c r="B18" i="83"/>
  <c r="A18" i="83"/>
  <c r="L17" i="83"/>
  <c r="I17" i="83"/>
  <c r="H17" i="83"/>
  <c r="F17" i="83"/>
  <c r="B17" i="83"/>
  <c r="A17" i="83"/>
  <c r="L16" i="83"/>
  <c r="H16" i="83"/>
  <c r="F16" i="83"/>
  <c r="B16" i="83"/>
  <c r="A16" i="83"/>
  <c r="L15" i="83"/>
  <c r="I15" i="83"/>
  <c r="H15" i="83"/>
  <c r="F15" i="83"/>
  <c r="B15" i="83"/>
  <c r="A15" i="83"/>
  <c r="L14" i="83"/>
  <c r="I14" i="83"/>
  <c r="H14" i="83"/>
  <c r="F14" i="83"/>
  <c r="B14" i="83"/>
  <c r="A14" i="83"/>
  <c r="L13" i="83"/>
  <c r="I13" i="83"/>
  <c r="H13" i="83"/>
  <c r="F13" i="83"/>
  <c r="B13" i="83"/>
  <c r="A13" i="83"/>
  <c r="L12" i="83"/>
  <c r="I12" i="83"/>
  <c r="H12" i="83"/>
  <c r="F12" i="83"/>
  <c r="B12" i="83"/>
  <c r="A12" i="83"/>
  <c r="L11" i="83"/>
  <c r="I11" i="83"/>
  <c r="H11" i="83"/>
  <c r="F11" i="83"/>
  <c r="B11" i="83"/>
  <c r="A11" i="83"/>
  <c r="L10" i="83"/>
  <c r="I10" i="83"/>
  <c r="H10" i="83"/>
  <c r="F10" i="83"/>
  <c r="B10" i="83"/>
  <c r="A10" i="83"/>
  <c r="L9" i="83"/>
  <c r="I9" i="83"/>
  <c r="H9" i="83"/>
  <c r="F9" i="83"/>
  <c r="B9" i="83"/>
  <c r="A9" i="83"/>
  <c r="L33" i="82"/>
  <c r="H33" i="82"/>
  <c r="F33" i="82"/>
  <c r="B33" i="82"/>
  <c r="A33" i="82"/>
  <c r="L32" i="82"/>
  <c r="I32" i="82"/>
  <c r="H32" i="82"/>
  <c r="F32" i="82"/>
  <c r="B32" i="82"/>
  <c r="A32" i="82"/>
  <c r="L31" i="82"/>
  <c r="I31" i="82"/>
  <c r="H31" i="82"/>
  <c r="F31" i="82"/>
  <c r="B31" i="82"/>
  <c r="A31" i="82"/>
  <c r="L30" i="82"/>
  <c r="H30" i="82"/>
  <c r="F30" i="82"/>
  <c r="B30" i="82"/>
  <c r="A30" i="82"/>
  <c r="L29" i="82"/>
  <c r="I29" i="82"/>
  <c r="H29" i="82"/>
  <c r="F29" i="82"/>
  <c r="B29" i="82"/>
  <c r="A29" i="82"/>
  <c r="L28" i="82"/>
  <c r="I28" i="82"/>
  <c r="H28" i="82"/>
  <c r="F28" i="82"/>
  <c r="B28" i="82"/>
  <c r="A28" i="82"/>
  <c r="L27" i="82"/>
  <c r="H27" i="82"/>
  <c r="F27" i="82"/>
  <c r="B27" i="82"/>
  <c r="A27" i="82"/>
  <c r="M26" i="82"/>
  <c r="L26" i="82"/>
  <c r="H26" i="82"/>
  <c r="F26" i="82"/>
  <c r="B26" i="82"/>
  <c r="A26" i="82"/>
  <c r="L25" i="82"/>
  <c r="I25" i="82"/>
  <c r="H25" i="82"/>
  <c r="F25" i="82"/>
  <c r="B25" i="82"/>
  <c r="A25" i="82"/>
  <c r="L24" i="82"/>
  <c r="H24" i="82"/>
  <c r="F24" i="82"/>
  <c r="B24" i="82"/>
  <c r="A24" i="82"/>
  <c r="L23" i="82"/>
  <c r="I23" i="82"/>
  <c r="H23" i="82"/>
  <c r="F23" i="82"/>
  <c r="B23" i="82"/>
  <c r="A23" i="82"/>
  <c r="L22" i="82"/>
  <c r="I22" i="82"/>
  <c r="H22" i="82"/>
  <c r="F22" i="82"/>
  <c r="B22" i="82"/>
  <c r="A22" i="82"/>
  <c r="L21" i="82"/>
  <c r="I21" i="82"/>
  <c r="H21" i="82"/>
  <c r="F21" i="82"/>
  <c r="B21" i="82"/>
  <c r="A21" i="82"/>
  <c r="L20" i="82"/>
  <c r="H20" i="82"/>
  <c r="F20" i="82"/>
  <c r="B20" i="82"/>
  <c r="A20" i="82"/>
  <c r="L19" i="82"/>
  <c r="I19" i="82"/>
  <c r="H19" i="82"/>
  <c r="F19" i="82"/>
  <c r="B19" i="82"/>
  <c r="A19" i="82"/>
  <c r="L18" i="82"/>
  <c r="H18" i="82"/>
  <c r="F18" i="82"/>
  <c r="B18" i="82"/>
  <c r="A18" i="82"/>
  <c r="L17" i="82"/>
  <c r="I17" i="82"/>
  <c r="H17" i="82"/>
  <c r="F17" i="82"/>
  <c r="B17" i="82"/>
  <c r="A17" i="82"/>
  <c r="L16" i="82"/>
  <c r="I16" i="82"/>
  <c r="H16" i="82"/>
  <c r="F16" i="82"/>
  <c r="B16" i="82"/>
  <c r="A16" i="82"/>
  <c r="L15" i="82"/>
  <c r="I15" i="82"/>
  <c r="H15" i="82"/>
  <c r="F15" i="82"/>
  <c r="B15" i="82"/>
  <c r="A15" i="82"/>
  <c r="L14" i="82"/>
  <c r="I14" i="82"/>
  <c r="H14" i="82"/>
  <c r="F14" i="82"/>
  <c r="B14" i="82"/>
  <c r="A14" i="82"/>
  <c r="L13" i="82"/>
  <c r="I13" i="82"/>
  <c r="H13" i="82"/>
  <c r="F13" i="82"/>
  <c r="B13" i="82"/>
  <c r="A13" i="82"/>
  <c r="L12" i="82"/>
  <c r="H12" i="82"/>
  <c r="F12" i="82"/>
  <c r="B12" i="82"/>
  <c r="A12" i="82"/>
  <c r="L11" i="82"/>
  <c r="H11" i="82"/>
  <c r="F11" i="82"/>
  <c r="B11" i="82"/>
  <c r="A11" i="82"/>
  <c r="L10" i="82"/>
  <c r="H10" i="82"/>
  <c r="F10" i="82"/>
  <c r="B10" i="82"/>
  <c r="A10" i="82"/>
  <c r="L9" i="82"/>
  <c r="H9" i="82"/>
  <c r="F9" i="82"/>
  <c r="B9" i="82"/>
  <c r="A9" i="82"/>
  <c r="L33" i="81"/>
  <c r="H33" i="81"/>
  <c r="F33" i="81"/>
  <c r="B33" i="81"/>
  <c r="A33" i="81"/>
  <c r="L32" i="81"/>
  <c r="I32" i="81"/>
  <c r="H32" i="81"/>
  <c r="F32" i="81"/>
  <c r="B32" i="81"/>
  <c r="A32" i="81"/>
  <c r="L31" i="81"/>
  <c r="H31" i="81"/>
  <c r="F31" i="81"/>
  <c r="B31" i="81"/>
  <c r="A31" i="81"/>
  <c r="L30" i="81"/>
  <c r="I30" i="81"/>
  <c r="H30" i="81"/>
  <c r="F30" i="81"/>
  <c r="B30" i="81"/>
  <c r="A30" i="81"/>
  <c r="L29" i="81"/>
  <c r="I29" i="81"/>
  <c r="H29" i="81"/>
  <c r="F29" i="81"/>
  <c r="B29" i="81"/>
  <c r="A29" i="81"/>
  <c r="L28" i="81"/>
  <c r="I28" i="81"/>
  <c r="H28" i="81"/>
  <c r="F28" i="81"/>
  <c r="B28" i="81"/>
  <c r="A28" i="81"/>
  <c r="L27" i="81"/>
  <c r="I27" i="81"/>
  <c r="H27" i="81"/>
  <c r="F27" i="81"/>
  <c r="B27" i="81"/>
  <c r="A27" i="81"/>
  <c r="L26" i="81"/>
  <c r="H26" i="81"/>
  <c r="F26" i="81"/>
  <c r="B26" i="81"/>
  <c r="A26" i="81"/>
  <c r="L25" i="81"/>
  <c r="H25" i="81"/>
  <c r="F25" i="81"/>
  <c r="B25" i="81"/>
  <c r="A25" i="81"/>
  <c r="L24" i="81"/>
  <c r="I24" i="81"/>
  <c r="H24" i="81"/>
  <c r="F24" i="81"/>
  <c r="B24" i="81"/>
  <c r="A24" i="81"/>
  <c r="L23" i="81"/>
  <c r="H23" i="81"/>
  <c r="F23" i="81"/>
  <c r="B23" i="81"/>
  <c r="A23" i="81"/>
  <c r="L22" i="81"/>
  <c r="I22" i="81"/>
  <c r="H22" i="81"/>
  <c r="F22" i="81"/>
  <c r="B22" i="81"/>
  <c r="A22" i="81"/>
  <c r="L21" i="81"/>
  <c r="I21" i="81"/>
  <c r="H21" i="81"/>
  <c r="F21" i="81"/>
  <c r="B21" i="81"/>
  <c r="A21" i="81"/>
  <c r="L20" i="81"/>
  <c r="I20" i="81"/>
  <c r="H20" i="81"/>
  <c r="F20" i="81"/>
  <c r="B20" i="81"/>
  <c r="A20" i="81"/>
  <c r="L19" i="81"/>
  <c r="I19" i="81"/>
  <c r="H19" i="81"/>
  <c r="F19" i="81"/>
  <c r="B19" i="81"/>
  <c r="A19" i="81"/>
  <c r="L18" i="81"/>
  <c r="H18" i="81"/>
  <c r="F18" i="81"/>
  <c r="B18" i="81"/>
  <c r="A18" i="81"/>
  <c r="L17" i="81"/>
  <c r="H17" i="81"/>
  <c r="F17" i="81"/>
  <c r="B17" i="81"/>
  <c r="A17" i="81"/>
  <c r="L16" i="81"/>
  <c r="I16" i="81"/>
  <c r="H16" i="81"/>
  <c r="F16" i="81"/>
  <c r="B16" i="81"/>
  <c r="A16" i="81"/>
  <c r="L15" i="81"/>
  <c r="H15" i="81"/>
  <c r="F15" i="81"/>
  <c r="B15" i="81"/>
  <c r="A15" i="81"/>
  <c r="L14" i="81"/>
  <c r="I14" i="81"/>
  <c r="H14" i="81"/>
  <c r="F14" i="81"/>
  <c r="B14" i="81"/>
  <c r="A14" i="81"/>
  <c r="L13" i="81"/>
  <c r="I13" i="81"/>
  <c r="H13" i="81"/>
  <c r="F13" i="81"/>
  <c r="B13" i="81"/>
  <c r="A13" i="81"/>
  <c r="L12" i="81"/>
  <c r="I12" i="81"/>
  <c r="H12" i="81"/>
  <c r="F12" i="81"/>
  <c r="B12" i="81"/>
  <c r="A12" i="81"/>
  <c r="L11" i="81"/>
  <c r="I11" i="81"/>
  <c r="H11" i="81"/>
  <c r="F11" i="81"/>
  <c r="B11" i="81"/>
  <c r="A11" i="81"/>
  <c r="L10" i="81"/>
  <c r="H10" i="81"/>
  <c r="F10" i="81"/>
  <c r="B10" i="81"/>
  <c r="A10" i="81"/>
  <c r="L9" i="81"/>
  <c r="H9" i="81"/>
  <c r="F9" i="81"/>
  <c r="B9" i="81"/>
  <c r="A9" i="81"/>
  <c r="O36" i="80"/>
  <c r="K36" i="80"/>
  <c r="J36" i="80"/>
  <c r="H36" i="80"/>
  <c r="G36" i="80"/>
  <c r="S35" i="80"/>
  <c r="R35" i="80"/>
  <c r="P35" i="80"/>
  <c r="N35" i="80"/>
  <c r="M35" i="80"/>
  <c r="F35" i="80"/>
  <c r="C35" i="80"/>
  <c r="B35" i="80"/>
  <c r="A35" i="80"/>
  <c r="S34" i="80"/>
  <c r="R34" i="80"/>
  <c r="P34" i="80"/>
  <c r="N34" i="80"/>
  <c r="M34" i="80"/>
  <c r="F34" i="80"/>
  <c r="C34" i="80"/>
  <c r="B34" i="80"/>
  <c r="A34" i="80"/>
  <c r="S33" i="80"/>
  <c r="R33" i="80"/>
  <c r="N33" i="80"/>
  <c r="M33" i="80"/>
  <c r="F33" i="80"/>
  <c r="C33" i="80"/>
  <c r="B33" i="80"/>
  <c r="A33" i="80"/>
  <c r="P33" i="80" s="1"/>
  <c r="S32" i="80"/>
  <c r="R32" i="80"/>
  <c r="N32" i="80"/>
  <c r="M32" i="80"/>
  <c r="F32" i="80"/>
  <c r="C32" i="80"/>
  <c r="B32" i="80"/>
  <c r="A32" i="80"/>
  <c r="P32" i="80" s="1"/>
  <c r="S31" i="80"/>
  <c r="R31" i="80"/>
  <c r="P31" i="80"/>
  <c r="N31" i="80"/>
  <c r="M31" i="80"/>
  <c r="F31" i="80"/>
  <c r="C31" i="80"/>
  <c r="B31" i="80"/>
  <c r="A31" i="80"/>
  <c r="S30" i="80"/>
  <c r="R30" i="80"/>
  <c r="N30" i="80"/>
  <c r="M30" i="80"/>
  <c r="F30" i="80"/>
  <c r="C30" i="80"/>
  <c r="B30" i="80"/>
  <c r="A30" i="80"/>
  <c r="P30" i="80" s="1"/>
  <c r="S29" i="80"/>
  <c r="R29" i="80"/>
  <c r="P29" i="80"/>
  <c r="N29" i="80"/>
  <c r="M29" i="80"/>
  <c r="F29" i="80"/>
  <c r="C29" i="80"/>
  <c r="B29" i="80"/>
  <c r="A29" i="80"/>
  <c r="S28" i="80"/>
  <c r="R28" i="80"/>
  <c r="N28" i="80"/>
  <c r="M28" i="80"/>
  <c r="F28" i="80"/>
  <c r="C28" i="80"/>
  <c r="B28" i="80"/>
  <c r="A28" i="80"/>
  <c r="P28" i="80" s="1"/>
  <c r="S27" i="80"/>
  <c r="R27" i="80"/>
  <c r="P27" i="80"/>
  <c r="N27" i="80"/>
  <c r="M27" i="80"/>
  <c r="F27" i="80"/>
  <c r="C27" i="80"/>
  <c r="B27" i="80"/>
  <c r="A27" i="80"/>
  <c r="S26" i="80"/>
  <c r="R26" i="80"/>
  <c r="P26" i="80"/>
  <c r="N26" i="80"/>
  <c r="M26" i="80"/>
  <c r="F26" i="80"/>
  <c r="C26" i="80"/>
  <c r="B26" i="80"/>
  <c r="A26" i="80"/>
  <c r="S25" i="80"/>
  <c r="R25" i="80"/>
  <c r="N25" i="80"/>
  <c r="M25" i="80"/>
  <c r="F25" i="80"/>
  <c r="C25" i="80"/>
  <c r="B25" i="80"/>
  <c r="A25" i="80"/>
  <c r="P25" i="80" s="1"/>
  <c r="S24" i="80"/>
  <c r="R24" i="80"/>
  <c r="N24" i="80"/>
  <c r="M24" i="80"/>
  <c r="F24" i="80"/>
  <c r="C24" i="80"/>
  <c r="B24" i="80"/>
  <c r="A24" i="80"/>
  <c r="P24" i="80" s="1"/>
  <c r="S23" i="80"/>
  <c r="R23" i="80"/>
  <c r="P23" i="80"/>
  <c r="N23" i="80"/>
  <c r="M23" i="80"/>
  <c r="F23" i="80"/>
  <c r="C23" i="80"/>
  <c r="B23" i="80"/>
  <c r="A23" i="80"/>
  <c r="S22" i="80"/>
  <c r="R22" i="80"/>
  <c r="N22" i="80"/>
  <c r="M22" i="80"/>
  <c r="F22" i="80"/>
  <c r="C22" i="80"/>
  <c r="B22" i="80"/>
  <c r="A22" i="80"/>
  <c r="P22" i="80" s="1"/>
  <c r="S21" i="80"/>
  <c r="R21" i="80"/>
  <c r="P21" i="80"/>
  <c r="N21" i="80"/>
  <c r="M21" i="80"/>
  <c r="F21" i="80"/>
  <c r="C21" i="80"/>
  <c r="B21" i="80"/>
  <c r="A21" i="80"/>
  <c r="S20" i="80"/>
  <c r="R20" i="80"/>
  <c r="N20" i="80"/>
  <c r="M20" i="80"/>
  <c r="F20" i="80"/>
  <c r="C20" i="80"/>
  <c r="B20" i="80"/>
  <c r="A20" i="80"/>
  <c r="S19" i="80"/>
  <c r="R19" i="80"/>
  <c r="N19" i="80"/>
  <c r="M19" i="80"/>
  <c r="F19" i="80"/>
  <c r="C19" i="80"/>
  <c r="B19" i="80"/>
  <c r="A19" i="80"/>
  <c r="S18" i="80"/>
  <c r="R18" i="80"/>
  <c r="N18" i="80"/>
  <c r="M18" i="80"/>
  <c r="F18" i="80"/>
  <c r="C18" i="80"/>
  <c r="B18" i="80"/>
  <c r="A18" i="80"/>
  <c r="S17" i="80"/>
  <c r="R17" i="80"/>
  <c r="N17" i="80"/>
  <c r="M17" i="80"/>
  <c r="F17" i="80"/>
  <c r="C17" i="80"/>
  <c r="B17" i="80"/>
  <c r="A17" i="80"/>
  <c r="S16" i="80"/>
  <c r="R16" i="80"/>
  <c r="N16" i="80"/>
  <c r="M16" i="80"/>
  <c r="F16" i="80"/>
  <c r="C16" i="80"/>
  <c r="B16" i="80"/>
  <c r="A16" i="80"/>
  <c r="S15" i="80"/>
  <c r="R15" i="80"/>
  <c r="N15" i="80"/>
  <c r="M15" i="80"/>
  <c r="F15" i="80"/>
  <c r="C15" i="80"/>
  <c r="B15" i="80"/>
  <c r="A15" i="80"/>
  <c r="S14" i="80"/>
  <c r="R14" i="80"/>
  <c r="N14" i="80"/>
  <c r="M14" i="80"/>
  <c r="F14" i="80"/>
  <c r="C14" i="80"/>
  <c r="B14" i="80"/>
  <c r="A14" i="80"/>
  <c r="S13" i="80"/>
  <c r="R13" i="80"/>
  <c r="N13" i="80"/>
  <c r="M13" i="80"/>
  <c r="F13" i="80"/>
  <c r="C13" i="80"/>
  <c r="B13" i="80"/>
  <c r="A13" i="80"/>
  <c r="S12" i="80"/>
  <c r="R12" i="80"/>
  <c r="N12" i="80"/>
  <c r="M12" i="80"/>
  <c r="F12" i="80"/>
  <c r="C12" i="80"/>
  <c r="B12" i="80"/>
  <c r="A12" i="80"/>
  <c r="S11" i="80"/>
  <c r="R11" i="80"/>
  <c r="N11" i="80"/>
  <c r="M11" i="80"/>
  <c r="F11" i="80"/>
  <c r="C11" i="80"/>
  <c r="B11" i="80"/>
  <c r="A11" i="80"/>
  <c r="O36" i="79"/>
  <c r="K36" i="79"/>
  <c r="J36" i="79"/>
  <c r="H36" i="79"/>
  <c r="G36" i="79"/>
  <c r="S35" i="79"/>
  <c r="R35" i="79"/>
  <c r="N35" i="79"/>
  <c r="M35" i="79"/>
  <c r="F35" i="79"/>
  <c r="C35" i="79"/>
  <c r="B35" i="79"/>
  <c r="A35" i="79"/>
  <c r="P35" i="79" s="1"/>
  <c r="S34" i="79"/>
  <c r="R34" i="79"/>
  <c r="N34" i="79"/>
  <c r="M34" i="79"/>
  <c r="F34" i="79"/>
  <c r="C34" i="79"/>
  <c r="B34" i="79"/>
  <c r="A34" i="79"/>
  <c r="P34" i="79" s="1"/>
  <c r="S33" i="79"/>
  <c r="R33" i="79"/>
  <c r="P33" i="79"/>
  <c r="N33" i="79"/>
  <c r="M33" i="79"/>
  <c r="F33" i="79"/>
  <c r="C33" i="79"/>
  <c r="B33" i="79"/>
  <c r="A33" i="79"/>
  <c r="S32" i="79"/>
  <c r="R32" i="79"/>
  <c r="N32" i="79"/>
  <c r="M32" i="79"/>
  <c r="F32" i="79"/>
  <c r="C32" i="79"/>
  <c r="B32" i="79"/>
  <c r="A32" i="79"/>
  <c r="P32" i="79" s="1"/>
  <c r="S31" i="79"/>
  <c r="R31" i="79"/>
  <c r="P31" i="79"/>
  <c r="N31" i="79"/>
  <c r="M31" i="79"/>
  <c r="F31" i="79"/>
  <c r="C31" i="79"/>
  <c r="B31" i="79"/>
  <c r="A31" i="79"/>
  <c r="S30" i="79"/>
  <c r="R30" i="79"/>
  <c r="N30" i="79"/>
  <c r="M30" i="79"/>
  <c r="F30" i="79"/>
  <c r="C30" i="79"/>
  <c r="B30" i="79"/>
  <c r="A30" i="79"/>
  <c r="P30" i="79" s="1"/>
  <c r="S29" i="79"/>
  <c r="R29" i="79"/>
  <c r="P29" i="79"/>
  <c r="N29" i="79"/>
  <c r="M29" i="79"/>
  <c r="F29" i="79"/>
  <c r="C29" i="79"/>
  <c r="B29" i="79"/>
  <c r="A29" i="79"/>
  <c r="S28" i="79"/>
  <c r="R28" i="79"/>
  <c r="P28" i="79"/>
  <c r="N28" i="79"/>
  <c r="M28" i="79"/>
  <c r="F28" i="79"/>
  <c r="C28" i="79"/>
  <c r="B28" i="79"/>
  <c r="A28" i="79"/>
  <c r="S27" i="79"/>
  <c r="R27" i="79"/>
  <c r="N27" i="79"/>
  <c r="M27" i="79"/>
  <c r="F27" i="79"/>
  <c r="C27" i="79"/>
  <c r="B27" i="79"/>
  <c r="A27" i="79"/>
  <c r="P27" i="79" s="1"/>
  <c r="S26" i="79"/>
  <c r="R26" i="79"/>
  <c r="N26" i="79"/>
  <c r="M26" i="79"/>
  <c r="F26" i="79"/>
  <c r="C26" i="79"/>
  <c r="B26" i="79"/>
  <c r="A26" i="79"/>
  <c r="P26" i="79" s="1"/>
  <c r="S25" i="79"/>
  <c r="R25" i="79"/>
  <c r="N25" i="79"/>
  <c r="M25" i="79"/>
  <c r="F25" i="79"/>
  <c r="C25" i="79"/>
  <c r="B25" i="79"/>
  <c r="A25" i="79"/>
  <c r="P25" i="79" s="1"/>
  <c r="S24" i="79"/>
  <c r="R24" i="79"/>
  <c r="N24" i="79"/>
  <c r="M24" i="79"/>
  <c r="F24" i="79"/>
  <c r="C24" i="79"/>
  <c r="B24" i="79"/>
  <c r="A24" i="79"/>
  <c r="P24" i="79" s="1"/>
  <c r="S23" i="79"/>
  <c r="R23" i="79"/>
  <c r="P23" i="79"/>
  <c r="N23" i="79"/>
  <c r="M23" i="79"/>
  <c r="F23" i="79"/>
  <c r="C23" i="79"/>
  <c r="B23" i="79"/>
  <c r="A23" i="79"/>
  <c r="S22" i="79"/>
  <c r="R22" i="79"/>
  <c r="N22" i="79"/>
  <c r="M22" i="79"/>
  <c r="F22" i="79"/>
  <c r="C22" i="79"/>
  <c r="B22" i="79"/>
  <c r="A22" i="79"/>
  <c r="P22" i="79" s="1"/>
  <c r="S21" i="79"/>
  <c r="R21" i="79"/>
  <c r="P21" i="79"/>
  <c r="N21" i="79"/>
  <c r="M21" i="79"/>
  <c r="F21" i="79"/>
  <c r="C21" i="79"/>
  <c r="B21" i="79"/>
  <c r="A21" i="79"/>
  <c r="S20" i="79"/>
  <c r="R20" i="79"/>
  <c r="N20" i="79"/>
  <c r="M20" i="79"/>
  <c r="F20" i="79"/>
  <c r="C20" i="79"/>
  <c r="B20" i="79"/>
  <c r="A20" i="79"/>
  <c r="S19" i="79"/>
  <c r="R19" i="79"/>
  <c r="N19" i="79"/>
  <c r="M19" i="79"/>
  <c r="F19" i="79"/>
  <c r="C19" i="79"/>
  <c r="B19" i="79"/>
  <c r="A19" i="79"/>
  <c r="S18" i="79"/>
  <c r="R18" i="79"/>
  <c r="N18" i="79"/>
  <c r="M18" i="79"/>
  <c r="F18" i="79"/>
  <c r="C18" i="79"/>
  <c r="B18" i="79"/>
  <c r="A18" i="79"/>
  <c r="S17" i="79"/>
  <c r="R17" i="79"/>
  <c r="N17" i="79"/>
  <c r="M17" i="79"/>
  <c r="F17" i="79"/>
  <c r="C17" i="79"/>
  <c r="B17" i="79"/>
  <c r="A17" i="79"/>
  <c r="S16" i="79"/>
  <c r="R16" i="79"/>
  <c r="N16" i="79"/>
  <c r="M16" i="79"/>
  <c r="F16" i="79"/>
  <c r="C16" i="79"/>
  <c r="B16" i="79"/>
  <c r="A16" i="79"/>
  <c r="S15" i="79"/>
  <c r="R15" i="79"/>
  <c r="N15" i="79"/>
  <c r="M15" i="79"/>
  <c r="F15" i="79"/>
  <c r="C15" i="79"/>
  <c r="B15" i="79"/>
  <c r="A15" i="79"/>
  <c r="S14" i="79"/>
  <c r="R14" i="79"/>
  <c r="N14" i="79"/>
  <c r="M14" i="79"/>
  <c r="I12" i="68" s="1"/>
  <c r="F14" i="79"/>
  <c r="C14" i="79"/>
  <c r="B14" i="79"/>
  <c r="A14" i="79"/>
  <c r="S13" i="79"/>
  <c r="R13" i="79"/>
  <c r="N13" i="79"/>
  <c r="M13" i="79"/>
  <c r="F13" i="79"/>
  <c r="C13" i="79"/>
  <c r="B13" i="79"/>
  <c r="A13" i="79"/>
  <c r="S12" i="79"/>
  <c r="R12" i="79"/>
  <c r="N12" i="79"/>
  <c r="M12" i="79"/>
  <c r="F12" i="79"/>
  <c r="C12" i="79"/>
  <c r="B12" i="79"/>
  <c r="A12" i="79"/>
  <c r="S11" i="79"/>
  <c r="R11" i="79"/>
  <c r="N11" i="79"/>
  <c r="M11" i="79"/>
  <c r="F11" i="79"/>
  <c r="C11" i="79"/>
  <c r="B11" i="79"/>
  <c r="A11" i="79"/>
  <c r="O36" i="78"/>
  <c r="K36" i="78"/>
  <c r="J36" i="78"/>
  <c r="H36" i="78"/>
  <c r="G36" i="78"/>
  <c r="S35" i="78"/>
  <c r="R35" i="78"/>
  <c r="P35" i="78"/>
  <c r="N35" i="78"/>
  <c r="M35" i="78"/>
  <c r="F35" i="78"/>
  <c r="C35" i="78"/>
  <c r="B35" i="78"/>
  <c r="A35" i="78"/>
  <c r="S34" i="78"/>
  <c r="R34" i="78"/>
  <c r="N34" i="78"/>
  <c r="M34" i="78"/>
  <c r="F34" i="78"/>
  <c r="C34" i="78"/>
  <c r="B34" i="78"/>
  <c r="A34" i="78"/>
  <c r="P34" i="78" s="1"/>
  <c r="S33" i="78"/>
  <c r="R33" i="78"/>
  <c r="P33" i="78"/>
  <c r="N33" i="78"/>
  <c r="M33" i="78"/>
  <c r="F33" i="78"/>
  <c r="C33" i="78"/>
  <c r="B33" i="78"/>
  <c r="A33" i="78"/>
  <c r="S32" i="78"/>
  <c r="R32" i="78"/>
  <c r="N32" i="78"/>
  <c r="M32" i="78"/>
  <c r="F32" i="78"/>
  <c r="C32" i="78"/>
  <c r="B32" i="78"/>
  <c r="A32" i="78"/>
  <c r="P32" i="78" s="1"/>
  <c r="S31" i="78"/>
  <c r="R31" i="78"/>
  <c r="P31" i="78"/>
  <c r="N31" i="78"/>
  <c r="M31" i="78"/>
  <c r="F31" i="78"/>
  <c r="C31" i="78"/>
  <c r="B31" i="78"/>
  <c r="A31" i="78"/>
  <c r="S30" i="78"/>
  <c r="R30" i="78"/>
  <c r="P30" i="78"/>
  <c r="N30" i="78"/>
  <c r="M30" i="78"/>
  <c r="F30" i="78"/>
  <c r="C30" i="78"/>
  <c r="B30" i="78"/>
  <c r="A30" i="78"/>
  <c r="S29" i="78"/>
  <c r="R29" i="78"/>
  <c r="N29" i="78"/>
  <c r="M29" i="78"/>
  <c r="F29" i="78"/>
  <c r="C29" i="78"/>
  <c r="B29" i="78"/>
  <c r="A29" i="78"/>
  <c r="P29" i="78" s="1"/>
  <c r="S28" i="78"/>
  <c r="R28" i="78"/>
  <c r="N28" i="78"/>
  <c r="M28" i="78"/>
  <c r="F28" i="78"/>
  <c r="C28" i="78"/>
  <c r="B28" i="78"/>
  <c r="A28" i="78"/>
  <c r="P28" i="78" s="1"/>
  <c r="S27" i="78"/>
  <c r="R27" i="78"/>
  <c r="N27" i="78"/>
  <c r="M27" i="78"/>
  <c r="F27" i="78"/>
  <c r="C27" i="78"/>
  <c r="B27" i="78"/>
  <c r="A27" i="78"/>
  <c r="P27" i="78" s="1"/>
  <c r="S26" i="78"/>
  <c r="R26" i="78"/>
  <c r="N26" i="78"/>
  <c r="M26" i="78"/>
  <c r="F26" i="78"/>
  <c r="C26" i="78"/>
  <c r="B26" i="78"/>
  <c r="A26" i="78"/>
  <c r="P26" i="78" s="1"/>
  <c r="S25" i="78"/>
  <c r="R25" i="78"/>
  <c r="P25" i="78"/>
  <c r="M23" i="68" s="1"/>
  <c r="N25" i="78"/>
  <c r="M25" i="78"/>
  <c r="F25" i="78"/>
  <c r="C25" i="78"/>
  <c r="B25" i="78"/>
  <c r="A25" i="78"/>
  <c r="S24" i="78"/>
  <c r="R24" i="78"/>
  <c r="N24" i="78"/>
  <c r="M24" i="78"/>
  <c r="F24" i="78"/>
  <c r="C24" i="78"/>
  <c r="B24" i="78"/>
  <c r="A24" i="78"/>
  <c r="P24" i="78" s="1"/>
  <c r="S23" i="78"/>
  <c r="R23" i="78"/>
  <c r="P23" i="78"/>
  <c r="N23" i="78"/>
  <c r="M23" i="78"/>
  <c r="F23" i="78"/>
  <c r="C23" i="78"/>
  <c r="B23" i="78"/>
  <c r="A23" i="78"/>
  <c r="S22" i="78"/>
  <c r="R22" i="78"/>
  <c r="P22" i="78"/>
  <c r="N22" i="78"/>
  <c r="M22" i="78"/>
  <c r="F22" i="78"/>
  <c r="C22" i="78"/>
  <c r="B22" i="78"/>
  <c r="A22" i="78"/>
  <c r="S21" i="78"/>
  <c r="R21" i="78"/>
  <c r="N21" i="78"/>
  <c r="M21" i="78"/>
  <c r="F21" i="78"/>
  <c r="C21" i="78"/>
  <c r="B21" i="78"/>
  <c r="A21" i="78"/>
  <c r="P21" i="78" s="1"/>
  <c r="S20" i="78"/>
  <c r="R20" i="78"/>
  <c r="N20" i="78"/>
  <c r="M20" i="78"/>
  <c r="F20" i="78"/>
  <c r="C20" i="78"/>
  <c r="B20" i="78"/>
  <c r="A20" i="78"/>
  <c r="S19" i="78"/>
  <c r="R19" i="78"/>
  <c r="N19" i="78"/>
  <c r="M19" i="78"/>
  <c r="F19" i="78"/>
  <c r="C19" i="78"/>
  <c r="B19" i="78"/>
  <c r="A19" i="78"/>
  <c r="S18" i="78"/>
  <c r="R18" i="78"/>
  <c r="N18" i="78"/>
  <c r="M18" i="78"/>
  <c r="F18" i="78"/>
  <c r="C18" i="78"/>
  <c r="B18" i="78"/>
  <c r="A18" i="78"/>
  <c r="S17" i="78"/>
  <c r="R17" i="78"/>
  <c r="N17" i="78"/>
  <c r="M17" i="78"/>
  <c r="F17" i="78"/>
  <c r="C17" i="78"/>
  <c r="B17" i="78"/>
  <c r="A17" i="78"/>
  <c r="S16" i="78"/>
  <c r="R16" i="78"/>
  <c r="N16" i="78"/>
  <c r="M16" i="78"/>
  <c r="F16" i="78"/>
  <c r="C16" i="78"/>
  <c r="B16" i="78"/>
  <c r="A16" i="78"/>
  <c r="S15" i="78"/>
  <c r="R15" i="78"/>
  <c r="N15" i="78"/>
  <c r="M15" i="78"/>
  <c r="F15" i="78"/>
  <c r="C15" i="78"/>
  <c r="B15" i="78"/>
  <c r="A15" i="78"/>
  <c r="S14" i="78"/>
  <c r="R14" i="78"/>
  <c r="N14" i="78"/>
  <c r="M14" i="78"/>
  <c r="F14" i="78"/>
  <c r="C14" i="78"/>
  <c r="B14" i="78"/>
  <c r="A14" i="78"/>
  <c r="S13" i="78"/>
  <c r="R13" i="78"/>
  <c r="N13" i="78"/>
  <c r="M13" i="78"/>
  <c r="F13" i="78"/>
  <c r="C13" i="78"/>
  <c r="B13" i="78"/>
  <c r="A13" i="78"/>
  <c r="S12" i="78"/>
  <c r="R12" i="78"/>
  <c r="N12" i="78"/>
  <c r="M12" i="78"/>
  <c r="F12" i="78"/>
  <c r="C12" i="78"/>
  <c r="B12" i="78"/>
  <c r="A12" i="78"/>
  <c r="S11" i="78"/>
  <c r="R11" i="78"/>
  <c r="N11" i="78"/>
  <c r="M11" i="78"/>
  <c r="F11" i="78"/>
  <c r="C11" i="78"/>
  <c r="B11" i="78"/>
  <c r="A11" i="78"/>
  <c r="O36" i="77"/>
  <c r="N36" i="77"/>
  <c r="K36" i="77"/>
  <c r="J36" i="77"/>
  <c r="H36" i="77"/>
  <c r="G36" i="77"/>
  <c r="S35" i="77"/>
  <c r="R35" i="77"/>
  <c r="P35" i="77"/>
  <c r="N35" i="77"/>
  <c r="M35" i="77"/>
  <c r="F35" i="77"/>
  <c r="C35" i="77"/>
  <c r="B35" i="77"/>
  <c r="A35" i="77"/>
  <c r="S34" i="77"/>
  <c r="R34" i="77"/>
  <c r="P34" i="77"/>
  <c r="N34" i="77"/>
  <c r="M34" i="77"/>
  <c r="F34" i="77"/>
  <c r="C34" i="77"/>
  <c r="B34" i="77"/>
  <c r="A34" i="77"/>
  <c r="S33" i="77"/>
  <c r="R33" i="77"/>
  <c r="P33" i="77"/>
  <c r="N33" i="77"/>
  <c r="M33" i="77"/>
  <c r="F33" i="77"/>
  <c r="C33" i="77"/>
  <c r="B33" i="77"/>
  <c r="A33" i="77"/>
  <c r="S32" i="77"/>
  <c r="R32" i="77"/>
  <c r="N32" i="77"/>
  <c r="M32" i="77"/>
  <c r="F32" i="77"/>
  <c r="C32" i="77"/>
  <c r="B32" i="77"/>
  <c r="A32" i="77"/>
  <c r="P32" i="77" s="1"/>
  <c r="S31" i="77"/>
  <c r="R31" i="77"/>
  <c r="N31" i="77"/>
  <c r="M31" i="77"/>
  <c r="F31" i="77"/>
  <c r="C31" i="77"/>
  <c r="B31" i="77"/>
  <c r="A31" i="77"/>
  <c r="P31" i="77" s="1"/>
  <c r="S30" i="77"/>
  <c r="R30" i="77"/>
  <c r="N30" i="77"/>
  <c r="M30" i="77"/>
  <c r="F30" i="77"/>
  <c r="C30" i="77"/>
  <c r="B30" i="77"/>
  <c r="A30" i="77"/>
  <c r="P30" i="77" s="1"/>
  <c r="S29" i="77"/>
  <c r="R29" i="77"/>
  <c r="N29" i="77"/>
  <c r="M29" i="77"/>
  <c r="F29" i="77"/>
  <c r="C29" i="77"/>
  <c r="B29" i="77"/>
  <c r="A29" i="77"/>
  <c r="P29" i="77" s="1"/>
  <c r="S28" i="77"/>
  <c r="R28" i="77"/>
  <c r="N28" i="77"/>
  <c r="M28" i="77"/>
  <c r="F28" i="77"/>
  <c r="C28" i="77"/>
  <c r="B28" i="77"/>
  <c r="A28" i="77"/>
  <c r="P28" i="77" s="1"/>
  <c r="S27" i="77"/>
  <c r="R27" i="77"/>
  <c r="P27" i="77"/>
  <c r="N27" i="77"/>
  <c r="M27" i="77"/>
  <c r="F27" i="77"/>
  <c r="C27" i="77"/>
  <c r="B27" i="77"/>
  <c r="A27" i="77"/>
  <c r="S26" i="77"/>
  <c r="R26" i="77"/>
  <c r="N26" i="77"/>
  <c r="M26" i="77"/>
  <c r="F26" i="77"/>
  <c r="C26" i="77"/>
  <c r="B26" i="77"/>
  <c r="A26" i="77"/>
  <c r="P26" i="77" s="1"/>
  <c r="S25" i="77"/>
  <c r="R25" i="77"/>
  <c r="P25" i="77"/>
  <c r="N25" i="77"/>
  <c r="M25" i="77"/>
  <c r="F25" i="77"/>
  <c r="C25" i="77"/>
  <c r="B25" i="77"/>
  <c r="A25" i="77"/>
  <c r="S24" i="77"/>
  <c r="R24" i="77"/>
  <c r="N24" i="77"/>
  <c r="M24" i="77"/>
  <c r="F24" i="77"/>
  <c r="C24" i="77"/>
  <c r="B24" i="77"/>
  <c r="A24" i="77"/>
  <c r="P24" i="77" s="1"/>
  <c r="S23" i="77"/>
  <c r="R23" i="77"/>
  <c r="N23" i="77"/>
  <c r="M23" i="77"/>
  <c r="F23" i="77"/>
  <c r="C23" i="77"/>
  <c r="B23" i="77"/>
  <c r="A23" i="77"/>
  <c r="P23" i="77" s="1"/>
  <c r="S22" i="77"/>
  <c r="R22" i="77"/>
  <c r="N22" i="77"/>
  <c r="M22" i="77"/>
  <c r="F22" i="77"/>
  <c r="C22" i="77"/>
  <c r="B22" i="77"/>
  <c r="A22" i="77"/>
  <c r="P22" i="77" s="1"/>
  <c r="S21" i="77"/>
  <c r="R21" i="77"/>
  <c r="P21" i="77"/>
  <c r="N21" i="77"/>
  <c r="M21" i="77"/>
  <c r="F21" i="77"/>
  <c r="C21" i="77"/>
  <c r="B21" i="77"/>
  <c r="A21" i="77"/>
  <c r="S20" i="77"/>
  <c r="R20" i="77"/>
  <c r="N20" i="77"/>
  <c r="M20" i="77"/>
  <c r="F20" i="77"/>
  <c r="C20" i="77"/>
  <c r="B20" i="77"/>
  <c r="A20" i="77"/>
  <c r="S19" i="77"/>
  <c r="R19" i="77"/>
  <c r="N19" i="77"/>
  <c r="M19" i="77"/>
  <c r="F19" i="77"/>
  <c r="C19" i="77"/>
  <c r="B19" i="77"/>
  <c r="A19" i="77"/>
  <c r="S18" i="77"/>
  <c r="R18" i="77"/>
  <c r="N18" i="77"/>
  <c r="M18" i="77"/>
  <c r="F18" i="77"/>
  <c r="C18" i="77"/>
  <c r="B18" i="77"/>
  <c r="A18" i="77"/>
  <c r="S17" i="77"/>
  <c r="R17" i="77"/>
  <c r="N17" i="77"/>
  <c r="M17" i="77"/>
  <c r="F17" i="77"/>
  <c r="C17" i="77"/>
  <c r="B17" i="77"/>
  <c r="A17" i="77"/>
  <c r="S16" i="77"/>
  <c r="R16" i="77"/>
  <c r="N16" i="77"/>
  <c r="M16" i="77"/>
  <c r="F16" i="77"/>
  <c r="C16" i="77"/>
  <c r="B16" i="77"/>
  <c r="A16" i="77"/>
  <c r="S15" i="77"/>
  <c r="R15" i="77"/>
  <c r="N15" i="77"/>
  <c r="M15" i="77"/>
  <c r="F15" i="77"/>
  <c r="C15" i="77"/>
  <c r="B15" i="77"/>
  <c r="A15" i="77"/>
  <c r="S14" i="77"/>
  <c r="R14" i="77"/>
  <c r="N14" i="77"/>
  <c r="M14" i="77"/>
  <c r="F14" i="77"/>
  <c r="C14" i="77"/>
  <c r="B14" i="77"/>
  <c r="A14" i="77"/>
  <c r="S13" i="77"/>
  <c r="R13" i="77"/>
  <c r="N13" i="77"/>
  <c r="M13" i="77"/>
  <c r="F13" i="77"/>
  <c r="C13" i="77"/>
  <c r="B13" i="77"/>
  <c r="A13" i="77"/>
  <c r="S12" i="77"/>
  <c r="R12" i="77"/>
  <c r="N12" i="77"/>
  <c r="M12" i="77"/>
  <c r="F12" i="77"/>
  <c r="C12" i="77"/>
  <c r="B12" i="77"/>
  <c r="A12" i="77"/>
  <c r="S11" i="77"/>
  <c r="R11" i="77"/>
  <c r="N11" i="77"/>
  <c r="M11" i="77"/>
  <c r="M36" i="77" s="1"/>
  <c r="F11" i="77"/>
  <c r="C11" i="77"/>
  <c r="B11" i="77"/>
  <c r="A11" i="77"/>
  <c r="O36" i="76"/>
  <c r="K36" i="76"/>
  <c r="J36" i="76"/>
  <c r="H36" i="76"/>
  <c r="G36" i="76"/>
  <c r="S35" i="76"/>
  <c r="R35" i="76"/>
  <c r="N35" i="76"/>
  <c r="M35" i="76"/>
  <c r="F35" i="76"/>
  <c r="C35" i="76"/>
  <c r="B35" i="76"/>
  <c r="A35" i="76"/>
  <c r="P35" i="76" s="1"/>
  <c r="S34" i="76"/>
  <c r="R34" i="76"/>
  <c r="P34" i="76"/>
  <c r="N34" i="76"/>
  <c r="M34" i="76"/>
  <c r="F34" i="76"/>
  <c r="C34" i="76"/>
  <c r="B34" i="76"/>
  <c r="A34" i="76"/>
  <c r="S33" i="76"/>
  <c r="R33" i="76"/>
  <c r="N33" i="76"/>
  <c r="M33" i="76"/>
  <c r="F33" i="76"/>
  <c r="C33" i="76"/>
  <c r="B33" i="76"/>
  <c r="A33" i="76"/>
  <c r="P33" i="76" s="1"/>
  <c r="S32" i="76"/>
  <c r="R32" i="76"/>
  <c r="P32" i="76"/>
  <c r="N32" i="76"/>
  <c r="M32" i="76"/>
  <c r="F32" i="76"/>
  <c r="C32" i="76"/>
  <c r="B32" i="76"/>
  <c r="A32" i="76"/>
  <c r="S31" i="76"/>
  <c r="R31" i="76"/>
  <c r="P31" i="76"/>
  <c r="N31" i="76"/>
  <c r="M31" i="76"/>
  <c r="F31" i="76"/>
  <c r="C31" i="76"/>
  <c r="B31" i="76"/>
  <c r="A31" i="76"/>
  <c r="S30" i="76"/>
  <c r="R30" i="76"/>
  <c r="N30" i="76"/>
  <c r="M30" i="76"/>
  <c r="F30" i="76"/>
  <c r="C30" i="76"/>
  <c r="B30" i="76"/>
  <c r="A30" i="76"/>
  <c r="P30" i="76" s="1"/>
  <c r="S29" i="76"/>
  <c r="R29" i="76"/>
  <c r="N29" i="76"/>
  <c r="M29" i="76"/>
  <c r="F29" i="76"/>
  <c r="C29" i="76"/>
  <c r="B29" i="76"/>
  <c r="A29" i="76"/>
  <c r="P29" i="76" s="1"/>
  <c r="S28" i="76"/>
  <c r="R28" i="76"/>
  <c r="P28" i="76"/>
  <c r="N28" i="76"/>
  <c r="M28" i="76"/>
  <c r="F28" i="76"/>
  <c r="C28" i="76"/>
  <c r="B28" i="76"/>
  <c r="A28" i="76"/>
  <c r="S27" i="76"/>
  <c r="R27" i="76"/>
  <c r="N27" i="76"/>
  <c r="M27" i="76"/>
  <c r="F27" i="76"/>
  <c r="C27" i="76"/>
  <c r="B27" i="76"/>
  <c r="A27" i="76"/>
  <c r="P27" i="76" s="1"/>
  <c r="S26" i="76"/>
  <c r="R26" i="76"/>
  <c r="P26" i="76"/>
  <c r="N26" i="76"/>
  <c r="M26" i="76"/>
  <c r="F26" i="76"/>
  <c r="C26" i="76"/>
  <c r="B26" i="76"/>
  <c r="A26" i="76"/>
  <c r="S25" i="76"/>
  <c r="R25" i="76"/>
  <c r="N25" i="76"/>
  <c r="M25" i="76"/>
  <c r="F25" i="76"/>
  <c r="C25" i="76"/>
  <c r="B25" i="76"/>
  <c r="A25" i="76"/>
  <c r="P25" i="76" s="1"/>
  <c r="S24" i="76"/>
  <c r="R24" i="76"/>
  <c r="P24" i="76"/>
  <c r="N24" i="76"/>
  <c r="M24" i="76"/>
  <c r="F24" i="76"/>
  <c r="C24" i="76"/>
  <c r="B24" i="76"/>
  <c r="A24" i="76"/>
  <c r="S23" i="76"/>
  <c r="R23" i="76"/>
  <c r="P23" i="76"/>
  <c r="N23" i="76"/>
  <c r="M23" i="76"/>
  <c r="F23" i="76"/>
  <c r="C23" i="76"/>
  <c r="B23" i="76"/>
  <c r="A23" i="76"/>
  <c r="S22" i="76"/>
  <c r="R22" i="76"/>
  <c r="N22" i="76"/>
  <c r="M22" i="76"/>
  <c r="F22" i="76"/>
  <c r="C22" i="76"/>
  <c r="B22" i="76"/>
  <c r="A22" i="76"/>
  <c r="P22" i="76" s="1"/>
  <c r="S21" i="76"/>
  <c r="R21" i="76"/>
  <c r="N21" i="76"/>
  <c r="M21" i="76"/>
  <c r="F21" i="76"/>
  <c r="C21" i="76"/>
  <c r="B21" i="76"/>
  <c r="A21" i="76"/>
  <c r="P21" i="76" s="1"/>
  <c r="S20" i="76"/>
  <c r="R20" i="76"/>
  <c r="N20" i="76"/>
  <c r="M20" i="76"/>
  <c r="F20" i="76"/>
  <c r="C20" i="76"/>
  <c r="B20" i="76"/>
  <c r="A20" i="76"/>
  <c r="S19" i="76"/>
  <c r="R19" i="76"/>
  <c r="N19" i="76"/>
  <c r="M19" i="76"/>
  <c r="F19" i="76"/>
  <c r="C19" i="76"/>
  <c r="B19" i="76"/>
  <c r="A19" i="76"/>
  <c r="S18" i="76"/>
  <c r="R18" i="76"/>
  <c r="N18" i="76"/>
  <c r="M18" i="76"/>
  <c r="F18" i="76"/>
  <c r="C18" i="76"/>
  <c r="B18" i="76"/>
  <c r="A18" i="76"/>
  <c r="S17" i="76"/>
  <c r="R17" i="76"/>
  <c r="N17" i="76"/>
  <c r="M17" i="76"/>
  <c r="F17" i="76"/>
  <c r="C17" i="76"/>
  <c r="B17" i="76"/>
  <c r="A17" i="76"/>
  <c r="S16" i="76"/>
  <c r="R16" i="76"/>
  <c r="N16" i="76"/>
  <c r="M16" i="76"/>
  <c r="F16" i="76"/>
  <c r="C16" i="76"/>
  <c r="B16" i="76"/>
  <c r="A16" i="76"/>
  <c r="S15" i="76"/>
  <c r="R15" i="76"/>
  <c r="N15" i="76"/>
  <c r="M15" i="76"/>
  <c r="F15" i="76"/>
  <c r="C15" i="76"/>
  <c r="B15" i="76"/>
  <c r="A15" i="76"/>
  <c r="S14" i="76"/>
  <c r="R14" i="76"/>
  <c r="N14" i="76"/>
  <c r="M14" i="76"/>
  <c r="F14" i="76"/>
  <c r="C14" i="76"/>
  <c r="B14" i="76"/>
  <c r="A14" i="76"/>
  <c r="S13" i="76"/>
  <c r="R13" i="76"/>
  <c r="N13" i="76"/>
  <c r="M13" i="76"/>
  <c r="F13" i="76"/>
  <c r="C13" i="76"/>
  <c r="B13" i="76"/>
  <c r="A13" i="76"/>
  <c r="S12" i="76"/>
  <c r="R12" i="76"/>
  <c r="N12" i="76"/>
  <c r="M12" i="76"/>
  <c r="F12" i="76"/>
  <c r="C12" i="76"/>
  <c r="B12" i="76"/>
  <c r="A12" i="76"/>
  <c r="S11" i="76"/>
  <c r="R11" i="76"/>
  <c r="N11" i="76"/>
  <c r="M11" i="76"/>
  <c r="M36" i="76" s="1"/>
  <c r="F11" i="76"/>
  <c r="C11" i="76"/>
  <c r="B11" i="76"/>
  <c r="A11" i="76"/>
  <c r="O36" i="75"/>
  <c r="K36" i="75"/>
  <c r="J36" i="75"/>
  <c r="H36" i="75"/>
  <c r="G36" i="75"/>
  <c r="S35" i="75"/>
  <c r="R35" i="75"/>
  <c r="N35" i="75"/>
  <c r="M35" i="75"/>
  <c r="F35" i="75"/>
  <c r="C35" i="75"/>
  <c r="B35" i="75"/>
  <c r="A35" i="75"/>
  <c r="P35" i="75" s="1"/>
  <c r="S34" i="75"/>
  <c r="R34" i="75"/>
  <c r="N34" i="75"/>
  <c r="M34" i="75"/>
  <c r="F34" i="75"/>
  <c r="C34" i="75"/>
  <c r="B34" i="75"/>
  <c r="A34" i="75"/>
  <c r="P34" i="75" s="1"/>
  <c r="S33" i="75"/>
  <c r="R33" i="75"/>
  <c r="P33" i="75"/>
  <c r="N33" i="75"/>
  <c r="M33" i="75"/>
  <c r="F33" i="75"/>
  <c r="C33" i="75"/>
  <c r="B33" i="75"/>
  <c r="A33" i="75"/>
  <c r="S32" i="75"/>
  <c r="R32" i="75"/>
  <c r="N32" i="75"/>
  <c r="M32" i="75"/>
  <c r="I30" i="67" s="1"/>
  <c r="F32" i="75"/>
  <c r="C32" i="75"/>
  <c r="B32" i="75"/>
  <c r="A32" i="75"/>
  <c r="P32" i="75" s="1"/>
  <c r="S31" i="75"/>
  <c r="R31" i="75"/>
  <c r="P31" i="75"/>
  <c r="N31" i="75"/>
  <c r="M31" i="75"/>
  <c r="F31" i="75"/>
  <c r="C31" i="75"/>
  <c r="B31" i="75"/>
  <c r="A31" i="75"/>
  <c r="S30" i="75"/>
  <c r="R30" i="75"/>
  <c r="P30" i="75"/>
  <c r="N30" i="75"/>
  <c r="M30" i="75"/>
  <c r="F30" i="75"/>
  <c r="C30" i="75"/>
  <c r="B30" i="75"/>
  <c r="A30" i="75"/>
  <c r="S29" i="75"/>
  <c r="R29" i="75"/>
  <c r="N29" i="75"/>
  <c r="M29" i="75"/>
  <c r="F29" i="75"/>
  <c r="C29" i="75"/>
  <c r="B29" i="75"/>
  <c r="A29" i="75"/>
  <c r="P29" i="75" s="1"/>
  <c r="S28" i="75"/>
  <c r="R28" i="75"/>
  <c r="N28" i="75"/>
  <c r="M28" i="75"/>
  <c r="F28" i="75"/>
  <c r="C28" i="75"/>
  <c r="B28" i="75"/>
  <c r="A28" i="75"/>
  <c r="P28" i="75" s="1"/>
  <c r="S27" i="75"/>
  <c r="R27" i="75"/>
  <c r="N27" i="75"/>
  <c r="M27" i="75"/>
  <c r="F27" i="75"/>
  <c r="C27" i="75"/>
  <c r="B27" i="75"/>
  <c r="A27" i="75"/>
  <c r="P27" i="75" s="1"/>
  <c r="S26" i="75"/>
  <c r="R26" i="75"/>
  <c r="N26" i="75"/>
  <c r="M26" i="75"/>
  <c r="F26" i="75"/>
  <c r="C26" i="75"/>
  <c r="B26" i="75"/>
  <c r="A26" i="75"/>
  <c r="P26" i="75" s="1"/>
  <c r="S25" i="75"/>
  <c r="R25" i="75"/>
  <c r="P25" i="75"/>
  <c r="N25" i="75"/>
  <c r="M25" i="75"/>
  <c r="F25" i="75"/>
  <c r="C25" i="75"/>
  <c r="B25" i="75"/>
  <c r="A25" i="75"/>
  <c r="S24" i="75"/>
  <c r="R24" i="75"/>
  <c r="N24" i="75"/>
  <c r="M24" i="75"/>
  <c r="F24" i="75"/>
  <c r="C24" i="75"/>
  <c r="B24" i="75"/>
  <c r="A24" i="75"/>
  <c r="P24" i="75" s="1"/>
  <c r="S23" i="75"/>
  <c r="R23" i="75"/>
  <c r="P23" i="75"/>
  <c r="N23" i="75"/>
  <c r="M23" i="75"/>
  <c r="F23" i="75"/>
  <c r="C23" i="75"/>
  <c r="B23" i="75"/>
  <c r="A23" i="75"/>
  <c r="S22" i="75"/>
  <c r="R22" i="75"/>
  <c r="P22" i="75"/>
  <c r="N22" i="75"/>
  <c r="M22" i="75"/>
  <c r="F22" i="75"/>
  <c r="C22" i="75"/>
  <c r="B22" i="75"/>
  <c r="A22" i="75"/>
  <c r="S21" i="75"/>
  <c r="R21" i="75"/>
  <c r="N21" i="75"/>
  <c r="M21" i="75"/>
  <c r="F21" i="75"/>
  <c r="C21" i="75"/>
  <c r="B21" i="75"/>
  <c r="A21" i="75"/>
  <c r="P21" i="75" s="1"/>
  <c r="S20" i="75"/>
  <c r="R20" i="75"/>
  <c r="N20" i="75"/>
  <c r="M20" i="75"/>
  <c r="F20" i="75"/>
  <c r="C20" i="75"/>
  <c r="B20" i="75"/>
  <c r="A20" i="75"/>
  <c r="S19" i="75"/>
  <c r="R19" i="75"/>
  <c r="N19" i="75"/>
  <c r="M19" i="75"/>
  <c r="F19" i="75"/>
  <c r="C19" i="75"/>
  <c r="B19" i="75"/>
  <c r="A19" i="75"/>
  <c r="S18" i="75"/>
  <c r="R18" i="75"/>
  <c r="N18" i="75"/>
  <c r="M18" i="75"/>
  <c r="F18" i="75"/>
  <c r="C18" i="75"/>
  <c r="B18" i="75"/>
  <c r="A18" i="75"/>
  <c r="S17" i="75"/>
  <c r="R17" i="75"/>
  <c r="N17" i="75"/>
  <c r="M17" i="75"/>
  <c r="F17" i="75"/>
  <c r="C17" i="75"/>
  <c r="B17" i="75"/>
  <c r="A17" i="75"/>
  <c r="S16" i="75"/>
  <c r="R16" i="75"/>
  <c r="N16" i="75"/>
  <c r="M16" i="75"/>
  <c r="F16" i="75"/>
  <c r="C16" i="75"/>
  <c r="B16" i="75"/>
  <c r="A16" i="75"/>
  <c r="S15" i="75"/>
  <c r="R15" i="75"/>
  <c r="N15" i="75"/>
  <c r="M15" i="75"/>
  <c r="F15" i="75"/>
  <c r="C15" i="75"/>
  <c r="B15" i="75"/>
  <c r="A15" i="75"/>
  <c r="S14" i="75"/>
  <c r="R14" i="75"/>
  <c r="N14" i="75"/>
  <c r="M14" i="75"/>
  <c r="F14" i="75"/>
  <c r="C14" i="75"/>
  <c r="B14" i="75"/>
  <c r="A14" i="75"/>
  <c r="S13" i="75"/>
  <c r="R13" i="75"/>
  <c r="N13" i="75"/>
  <c r="M13" i="75"/>
  <c r="F13" i="75"/>
  <c r="C13" i="75"/>
  <c r="B13" i="75"/>
  <c r="A13" i="75"/>
  <c r="S12" i="75"/>
  <c r="R12" i="75"/>
  <c r="N12" i="75"/>
  <c r="M12" i="75"/>
  <c r="F12" i="75"/>
  <c r="C12" i="75"/>
  <c r="B12" i="75"/>
  <c r="A12" i="75"/>
  <c r="S11" i="75"/>
  <c r="R11" i="75"/>
  <c r="N11" i="75"/>
  <c r="M11" i="75"/>
  <c r="F11" i="75"/>
  <c r="F36" i="75" s="1"/>
  <c r="C11" i="75"/>
  <c r="B11" i="75"/>
  <c r="A11" i="75"/>
  <c r="O36" i="74"/>
  <c r="M36" i="74"/>
  <c r="K36" i="74"/>
  <c r="J36" i="74"/>
  <c r="H36" i="74"/>
  <c r="G36" i="74"/>
  <c r="S35" i="74"/>
  <c r="R35" i="74"/>
  <c r="P35" i="74"/>
  <c r="N35" i="74"/>
  <c r="M35" i="74"/>
  <c r="F35" i="74"/>
  <c r="C35" i="74"/>
  <c r="B35" i="74"/>
  <c r="A35" i="74"/>
  <c r="S34" i="74"/>
  <c r="R34" i="74"/>
  <c r="P34" i="74"/>
  <c r="N34" i="74"/>
  <c r="M34" i="74"/>
  <c r="F34" i="74"/>
  <c r="C34" i="74"/>
  <c r="B34" i="74"/>
  <c r="A34" i="74"/>
  <c r="S33" i="74"/>
  <c r="R33" i="74"/>
  <c r="P33" i="74"/>
  <c r="N33" i="74"/>
  <c r="M33" i="74"/>
  <c r="F33" i="74"/>
  <c r="C33" i="74"/>
  <c r="B33" i="74"/>
  <c r="A33" i="74"/>
  <c r="S32" i="74"/>
  <c r="R32" i="74"/>
  <c r="P32" i="74"/>
  <c r="N32" i="74"/>
  <c r="M32" i="74"/>
  <c r="F32" i="74"/>
  <c r="C32" i="74"/>
  <c r="B32" i="74"/>
  <c r="A32" i="74"/>
  <c r="S31" i="74"/>
  <c r="R31" i="74"/>
  <c r="N31" i="74"/>
  <c r="M31" i="74"/>
  <c r="F31" i="74"/>
  <c r="C31" i="74"/>
  <c r="B31" i="74"/>
  <c r="A31" i="74"/>
  <c r="P31" i="74" s="1"/>
  <c r="S30" i="74"/>
  <c r="R30" i="74"/>
  <c r="N30" i="74"/>
  <c r="M30" i="74"/>
  <c r="F30" i="74"/>
  <c r="C30" i="74"/>
  <c r="B30" i="74"/>
  <c r="A30" i="74"/>
  <c r="P30" i="74" s="1"/>
  <c r="S29" i="74"/>
  <c r="R29" i="74"/>
  <c r="N29" i="74"/>
  <c r="M29" i="74"/>
  <c r="F29" i="74"/>
  <c r="C29" i="74"/>
  <c r="B29" i="74"/>
  <c r="A29" i="74"/>
  <c r="P29" i="74" s="1"/>
  <c r="S28" i="74"/>
  <c r="R28" i="74"/>
  <c r="P28" i="74"/>
  <c r="N28" i="74"/>
  <c r="M28" i="74"/>
  <c r="F28" i="74"/>
  <c r="C28" i="74"/>
  <c r="B28" i="74"/>
  <c r="A28" i="74"/>
  <c r="S27" i="74"/>
  <c r="R27" i="74"/>
  <c r="P27" i="74"/>
  <c r="N27" i="74"/>
  <c r="M27" i="74"/>
  <c r="F27" i="74"/>
  <c r="C27" i="74"/>
  <c r="B27" i="74"/>
  <c r="A27" i="74"/>
  <c r="S26" i="74"/>
  <c r="R26" i="74"/>
  <c r="N26" i="74"/>
  <c r="M26" i="74"/>
  <c r="F26" i="74"/>
  <c r="C26" i="74"/>
  <c r="B26" i="74"/>
  <c r="A26" i="74"/>
  <c r="P26" i="74" s="1"/>
  <c r="S25" i="74"/>
  <c r="R25" i="74"/>
  <c r="N25" i="74"/>
  <c r="M25" i="74"/>
  <c r="F25" i="74"/>
  <c r="C25" i="74"/>
  <c r="B25" i="74"/>
  <c r="A25" i="74"/>
  <c r="P25" i="74" s="1"/>
  <c r="S24" i="74"/>
  <c r="R24" i="74"/>
  <c r="P24" i="74"/>
  <c r="N24" i="74"/>
  <c r="M24" i="74"/>
  <c r="F24" i="74"/>
  <c r="C24" i="74"/>
  <c r="B24" i="74"/>
  <c r="A24" i="74"/>
  <c r="S23" i="74"/>
  <c r="R23" i="74"/>
  <c r="N23" i="74"/>
  <c r="M23" i="74"/>
  <c r="F23" i="74"/>
  <c r="C23" i="74"/>
  <c r="B23" i="74"/>
  <c r="A23" i="74"/>
  <c r="P23" i="74" s="1"/>
  <c r="S22" i="74"/>
  <c r="R22" i="74"/>
  <c r="N22" i="74"/>
  <c r="M22" i="74"/>
  <c r="F22" i="74"/>
  <c r="C22" i="74"/>
  <c r="B22" i="74"/>
  <c r="A22" i="74"/>
  <c r="P22" i="74" s="1"/>
  <c r="S21" i="74"/>
  <c r="R21" i="74"/>
  <c r="N21" i="74"/>
  <c r="M21" i="74"/>
  <c r="F21" i="74"/>
  <c r="C21" i="74"/>
  <c r="B21" i="74"/>
  <c r="A21" i="74"/>
  <c r="P21" i="74" s="1"/>
  <c r="S20" i="74"/>
  <c r="R20" i="74"/>
  <c r="N20" i="74"/>
  <c r="M20" i="74"/>
  <c r="F20" i="74"/>
  <c r="C20" i="74"/>
  <c r="B20" i="74"/>
  <c r="A20" i="74"/>
  <c r="S19" i="74"/>
  <c r="R19" i="74"/>
  <c r="N19" i="74"/>
  <c r="M19" i="74"/>
  <c r="F19" i="74"/>
  <c r="C19" i="74"/>
  <c r="B19" i="74"/>
  <c r="A19" i="74"/>
  <c r="S18" i="74"/>
  <c r="R18" i="74"/>
  <c r="N18" i="74"/>
  <c r="M18" i="74"/>
  <c r="F18" i="74"/>
  <c r="C18" i="74"/>
  <c r="B18" i="74"/>
  <c r="A18" i="74"/>
  <c r="S17" i="74"/>
  <c r="R17" i="74"/>
  <c r="N17" i="74"/>
  <c r="M17" i="74"/>
  <c r="F17" i="74"/>
  <c r="C17" i="74"/>
  <c r="B17" i="74"/>
  <c r="A17" i="74"/>
  <c r="S16" i="74"/>
  <c r="R16" i="74"/>
  <c r="N16" i="74"/>
  <c r="M16" i="74"/>
  <c r="F16" i="74"/>
  <c r="C16" i="74"/>
  <c r="B16" i="74"/>
  <c r="A16" i="74"/>
  <c r="S15" i="74"/>
  <c r="R15" i="74"/>
  <c r="N15" i="74"/>
  <c r="M15" i="74"/>
  <c r="F15" i="74"/>
  <c r="C15" i="74"/>
  <c r="B15" i="74"/>
  <c r="A15" i="74"/>
  <c r="S14" i="74"/>
  <c r="R14" i="74"/>
  <c r="N14" i="74"/>
  <c r="M14" i="74"/>
  <c r="F14" i="74"/>
  <c r="C14" i="74"/>
  <c r="B14" i="74"/>
  <c r="A14" i="74"/>
  <c r="S13" i="74"/>
  <c r="R13" i="74"/>
  <c r="N13" i="74"/>
  <c r="M13" i="74"/>
  <c r="F13" i="74"/>
  <c r="C13" i="74"/>
  <c r="B13" i="74"/>
  <c r="A13" i="74"/>
  <c r="S12" i="74"/>
  <c r="R12" i="74"/>
  <c r="N12" i="74"/>
  <c r="M12" i="74"/>
  <c r="F12" i="74"/>
  <c r="C12" i="74"/>
  <c r="B12" i="74"/>
  <c r="A12" i="74"/>
  <c r="S11" i="74"/>
  <c r="R11" i="74"/>
  <c r="N11" i="74"/>
  <c r="N36" i="74" s="1"/>
  <c r="M11" i="74"/>
  <c r="F11" i="74"/>
  <c r="C11" i="74"/>
  <c r="B11" i="74"/>
  <c r="A11" i="74"/>
  <c r="O36" i="73"/>
  <c r="N36" i="73"/>
  <c r="K36" i="73"/>
  <c r="J36" i="73"/>
  <c r="H36" i="73"/>
  <c r="G36" i="73"/>
  <c r="S35" i="73"/>
  <c r="R35" i="73"/>
  <c r="N35" i="73"/>
  <c r="M35" i="73"/>
  <c r="F35" i="73"/>
  <c r="C35" i="73"/>
  <c r="B35" i="73"/>
  <c r="A35" i="73"/>
  <c r="P35" i="73" s="1"/>
  <c r="S34" i="73"/>
  <c r="R34" i="73"/>
  <c r="P34" i="73"/>
  <c r="N34" i="73"/>
  <c r="M34" i="73"/>
  <c r="F34" i="73"/>
  <c r="C34" i="73"/>
  <c r="B34" i="73"/>
  <c r="A34" i="73"/>
  <c r="S33" i="73"/>
  <c r="R33" i="73"/>
  <c r="N33" i="73"/>
  <c r="M33" i="73"/>
  <c r="F33" i="73"/>
  <c r="C33" i="73"/>
  <c r="B33" i="73"/>
  <c r="A33" i="73"/>
  <c r="P33" i="73" s="1"/>
  <c r="S32" i="73"/>
  <c r="R32" i="73"/>
  <c r="N32" i="73"/>
  <c r="M32" i="73"/>
  <c r="F32" i="73"/>
  <c r="C32" i="73"/>
  <c r="B32" i="73"/>
  <c r="A32" i="73"/>
  <c r="P32" i="73" s="1"/>
  <c r="S31" i="73"/>
  <c r="R31" i="73"/>
  <c r="N31" i="73"/>
  <c r="M31" i="73"/>
  <c r="F31" i="73"/>
  <c r="C31" i="73"/>
  <c r="B31" i="73"/>
  <c r="A31" i="73"/>
  <c r="P31" i="73" s="1"/>
  <c r="S30" i="73"/>
  <c r="R30" i="73"/>
  <c r="P30" i="73"/>
  <c r="N30" i="73"/>
  <c r="M30" i="73"/>
  <c r="F30" i="73"/>
  <c r="C30" i="73"/>
  <c r="B30" i="73"/>
  <c r="A30" i="73"/>
  <c r="S29" i="73"/>
  <c r="R29" i="73"/>
  <c r="P29" i="73"/>
  <c r="N29" i="73"/>
  <c r="M29" i="73"/>
  <c r="F29" i="73"/>
  <c r="C29" i="73"/>
  <c r="B29" i="73"/>
  <c r="A29" i="73"/>
  <c r="S28" i="73"/>
  <c r="R28" i="73"/>
  <c r="N28" i="73"/>
  <c r="M28" i="73"/>
  <c r="I26" i="66" s="1"/>
  <c r="F28" i="73"/>
  <c r="C28" i="73"/>
  <c r="B28" i="73"/>
  <c r="A28" i="73"/>
  <c r="P28" i="73" s="1"/>
  <c r="S27" i="73"/>
  <c r="R27" i="73"/>
  <c r="N27" i="73"/>
  <c r="M27" i="73"/>
  <c r="F27" i="73"/>
  <c r="C27" i="73"/>
  <c r="B27" i="73"/>
  <c r="A27" i="73"/>
  <c r="P27" i="73" s="1"/>
  <c r="S26" i="73"/>
  <c r="R26" i="73"/>
  <c r="P26" i="73"/>
  <c r="N26" i="73"/>
  <c r="M26" i="73"/>
  <c r="F26" i="73"/>
  <c r="C26" i="73"/>
  <c r="B26" i="73"/>
  <c r="A26" i="73"/>
  <c r="S25" i="73"/>
  <c r="R25" i="73"/>
  <c r="N25" i="73"/>
  <c r="M25" i="73"/>
  <c r="F25" i="73"/>
  <c r="C25" i="73"/>
  <c r="B25" i="73"/>
  <c r="A25" i="73"/>
  <c r="P25" i="73" s="1"/>
  <c r="S24" i="73"/>
  <c r="R24" i="73"/>
  <c r="N24" i="73"/>
  <c r="M24" i="73"/>
  <c r="F24" i="73"/>
  <c r="C24" i="73"/>
  <c r="B24" i="73"/>
  <c r="A24" i="73"/>
  <c r="P24" i="73" s="1"/>
  <c r="S23" i="73"/>
  <c r="R23" i="73"/>
  <c r="N23" i="73"/>
  <c r="M23" i="73"/>
  <c r="F23" i="73"/>
  <c r="C23" i="73"/>
  <c r="B23" i="73"/>
  <c r="A23" i="73"/>
  <c r="P23" i="73" s="1"/>
  <c r="S22" i="73"/>
  <c r="R22" i="73"/>
  <c r="P22" i="73"/>
  <c r="N22" i="73"/>
  <c r="M22" i="73"/>
  <c r="F22" i="73"/>
  <c r="C22" i="73"/>
  <c r="B22" i="73"/>
  <c r="A22" i="73"/>
  <c r="S21" i="73"/>
  <c r="R21" i="73"/>
  <c r="P21" i="73"/>
  <c r="N21" i="73"/>
  <c r="M21" i="73"/>
  <c r="F21" i="73"/>
  <c r="C21" i="73"/>
  <c r="B21" i="73"/>
  <c r="A21" i="73"/>
  <c r="S20" i="73"/>
  <c r="R20" i="73"/>
  <c r="N20" i="73"/>
  <c r="M20" i="73"/>
  <c r="F20" i="73"/>
  <c r="C20" i="73"/>
  <c r="B20" i="73"/>
  <c r="A20" i="73"/>
  <c r="S19" i="73"/>
  <c r="R19" i="73"/>
  <c r="N19" i="73"/>
  <c r="M19" i="73"/>
  <c r="F19" i="73"/>
  <c r="C19" i="73"/>
  <c r="B19" i="73"/>
  <c r="A19" i="73"/>
  <c r="S18" i="73"/>
  <c r="R18" i="73"/>
  <c r="N18" i="73"/>
  <c r="M18" i="73"/>
  <c r="F18" i="73"/>
  <c r="C18" i="73"/>
  <c r="B18" i="73"/>
  <c r="A18" i="73"/>
  <c r="S17" i="73"/>
  <c r="R17" i="73"/>
  <c r="N17" i="73"/>
  <c r="M17" i="73"/>
  <c r="F17" i="73"/>
  <c r="C17" i="73"/>
  <c r="B17" i="73"/>
  <c r="A17" i="73"/>
  <c r="S16" i="73"/>
  <c r="R16" i="73"/>
  <c r="N16" i="73"/>
  <c r="M16" i="73"/>
  <c r="F16" i="73"/>
  <c r="C16" i="73"/>
  <c r="B16" i="73"/>
  <c r="A16" i="73"/>
  <c r="S15" i="73"/>
  <c r="R15" i="73"/>
  <c r="N15" i="73"/>
  <c r="M15" i="73"/>
  <c r="F15" i="73"/>
  <c r="C15" i="73"/>
  <c r="B15" i="73"/>
  <c r="A15" i="73"/>
  <c r="S14" i="73"/>
  <c r="R14" i="73"/>
  <c r="N14" i="73"/>
  <c r="M14" i="73"/>
  <c r="F14" i="73"/>
  <c r="C14" i="73"/>
  <c r="B14" i="73"/>
  <c r="A14" i="73"/>
  <c r="S13" i="73"/>
  <c r="R13" i="73"/>
  <c r="N13" i="73"/>
  <c r="M13" i="73"/>
  <c r="F13" i="73"/>
  <c r="C13" i="73"/>
  <c r="B13" i="73"/>
  <c r="A13" i="73"/>
  <c r="S12" i="73"/>
  <c r="R12" i="73"/>
  <c r="N12" i="73"/>
  <c r="M12" i="73"/>
  <c r="F12" i="73"/>
  <c r="C12" i="73"/>
  <c r="B12" i="73"/>
  <c r="A12" i="73"/>
  <c r="S11" i="73"/>
  <c r="R11" i="73"/>
  <c r="N11" i="73"/>
  <c r="M11" i="73"/>
  <c r="F11" i="73"/>
  <c r="C11" i="73"/>
  <c r="B11" i="73"/>
  <c r="A11" i="73"/>
  <c r="O36" i="72"/>
  <c r="K36" i="72"/>
  <c r="J36" i="72"/>
  <c r="H36" i="72"/>
  <c r="G36" i="72"/>
  <c r="S35" i="72"/>
  <c r="R35" i="72"/>
  <c r="P35" i="72"/>
  <c r="N35" i="72"/>
  <c r="M35" i="72"/>
  <c r="F35" i="72"/>
  <c r="C35" i="72"/>
  <c r="B35" i="72"/>
  <c r="A35" i="72"/>
  <c r="S34" i="72"/>
  <c r="R34" i="72"/>
  <c r="N34" i="72"/>
  <c r="M34" i="72"/>
  <c r="F34" i="72"/>
  <c r="C34" i="72"/>
  <c r="B34" i="72"/>
  <c r="A34" i="72"/>
  <c r="P34" i="72" s="1"/>
  <c r="S33" i="72"/>
  <c r="R33" i="72"/>
  <c r="N33" i="72"/>
  <c r="M33" i="72"/>
  <c r="F33" i="72"/>
  <c r="C33" i="72"/>
  <c r="B33" i="72"/>
  <c r="A33" i="72"/>
  <c r="P33" i="72" s="1"/>
  <c r="S32" i="72"/>
  <c r="R32" i="72"/>
  <c r="P32" i="72"/>
  <c r="N32" i="72"/>
  <c r="M32" i="72"/>
  <c r="F32" i="72"/>
  <c r="C32" i="72"/>
  <c r="B32" i="72"/>
  <c r="A32" i="72"/>
  <c r="S31" i="72"/>
  <c r="R31" i="72"/>
  <c r="P31" i="72"/>
  <c r="N31" i="72"/>
  <c r="M31" i="72"/>
  <c r="F31" i="72"/>
  <c r="C31" i="72"/>
  <c r="B31" i="72"/>
  <c r="A31" i="72"/>
  <c r="S30" i="72"/>
  <c r="R30" i="72"/>
  <c r="N30" i="72"/>
  <c r="M30" i="72"/>
  <c r="F30" i="72"/>
  <c r="C30" i="72"/>
  <c r="B30" i="72"/>
  <c r="A30" i="72"/>
  <c r="P30" i="72" s="1"/>
  <c r="S29" i="72"/>
  <c r="R29" i="72"/>
  <c r="N29" i="72"/>
  <c r="M29" i="72"/>
  <c r="F29" i="72"/>
  <c r="C29" i="72"/>
  <c r="B29" i="72"/>
  <c r="A29" i="72"/>
  <c r="P29" i="72" s="1"/>
  <c r="M27" i="66" s="1"/>
  <c r="S28" i="72"/>
  <c r="R28" i="72"/>
  <c r="P28" i="72"/>
  <c r="N28" i="72"/>
  <c r="M28" i="72"/>
  <c r="F28" i="72"/>
  <c r="C28" i="72"/>
  <c r="B28" i="72"/>
  <c r="A28" i="72"/>
  <c r="S27" i="72"/>
  <c r="R27" i="72"/>
  <c r="P27" i="72"/>
  <c r="N27" i="72"/>
  <c r="M27" i="72"/>
  <c r="F27" i="72"/>
  <c r="C27" i="72"/>
  <c r="B27" i="72"/>
  <c r="A27" i="72"/>
  <c r="S26" i="72"/>
  <c r="R26" i="72"/>
  <c r="N26" i="72"/>
  <c r="M26" i="72"/>
  <c r="F26" i="72"/>
  <c r="C26" i="72"/>
  <c r="B26" i="72"/>
  <c r="A26" i="72"/>
  <c r="P26" i="72" s="1"/>
  <c r="S25" i="72"/>
  <c r="R25" i="72"/>
  <c r="P25" i="72"/>
  <c r="N25" i="72"/>
  <c r="M25" i="72"/>
  <c r="F25" i="72"/>
  <c r="C25" i="72"/>
  <c r="B25" i="72"/>
  <c r="A25" i="72"/>
  <c r="S24" i="72"/>
  <c r="R24" i="72"/>
  <c r="N24" i="72"/>
  <c r="M24" i="72"/>
  <c r="F24" i="72"/>
  <c r="C24" i="72"/>
  <c r="B24" i="72"/>
  <c r="A24" i="72"/>
  <c r="P24" i="72" s="1"/>
  <c r="S23" i="72"/>
  <c r="R23" i="72"/>
  <c r="P23" i="72"/>
  <c r="N23" i="72"/>
  <c r="M23" i="72"/>
  <c r="F23" i="72"/>
  <c r="C23" i="72"/>
  <c r="B23" i="72"/>
  <c r="A23" i="72"/>
  <c r="S22" i="72"/>
  <c r="R22" i="72"/>
  <c r="N22" i="72"/>
  <c r="M22" i="72"/>
  <c r="F22" i="72"/>
  <c r="C22" i="72"/>
  <c r="B22" i="72"/>
  <c r="A22" i="72"/>
  <c r="P22" i="72" s="1"/>
  <c r="S21" i="72"/>
  <c r="R21" i="72"/>
  <c r="P21" i="72"/>
  <c r="N21" i="72"/>
  <c r="M21" i="72"/>
  <c r="I19" i="66" s="1"/>
  <c r="F21" i="72"/>
  <c r="C21" i="72"/>
  <c r="B21" i="72"/>
  <c r="A21" i="72"/>
  <c r="S20" i="72"/>
  <c r="R20" i="72"/>
  <c r="N20" i="72"/>
  <c r="M20" i="72"/>
  <c r="F20" i="72"/>
  <c r="C20" i="72"/>
  <c r="B20" i="72"/>
  <c r="A20" i="72"/>
  <c r="S19" i="72"/>
  <c r="R19" i="72"/>
  <c r="N19" i="72"/>
  <c r="M19" i="72"/>
  <c r="F19" i="72"/>
  <c r="C19" i="72"/>
  <c r="B19" i="72"/>
  <c r="A19" i="72"/>
  <c r="S18" i="72"/>
  <c r="R18" i="72"/>
  <c r="N18" i="72"/>
  <c r="M18" i="72"/>
  <c r="F18" i="72"/>
  <c r="C18" i="72"/>
  <c r="B18" i="72"/>
  <c r="A18" i="72"/>
  <c r="S17" i="72"/>
  <c r="R17" i="72"/>
  <c r="N17" i="72"/>
  <c r="M17" i="72"/>
  <c r="F17" i="72"/>
  <c r="C17" i="72"/>
  <c r="B17" i="72"/>
  <c r="A17" i="72"/>
  <c r="S16" i="72"/>
  <c r="R16" i="72"/>
  <c r="N16" i="72"/>
  <c r="M16" i="72"/>
  <c r="F16" i="72"/>
  <c r="C16" i="72"/>
  <c r="B16" i="72"/>
  <c r="A16" i="72"/>
  <c r="S15" i="72"/>
  <c r="R15" i="72"/>
  <c r="N15" i="72"/>
  <c r="M15" i="72"/>
  <c r="F15" i="72"/>
  <c r="C15" i="72"/>
  <c r="B15" i="72"/>
  <c r="A15" i="72"/>
  <c r="S14" i="72"/>
  <c r="R14" i="72"/>
  <c r="N14" i="72"/>
  <c r="M14" i="72"/>
  <c r="F14" i="72"/>
  <c r="C14" i="72"/>
  <c r="B14" i="72"/>
  <c r="A14" i="72"/>
  <c r="S13" i="72"/>
  <c r="R13" i="72"/>
  <c r="N13" i="72"/>
  <c r="M13" i="72"/>
  <c r="F13" i="72"/>
  <c r="C13" i="72"/>
  <c r="B13" i="72"/>
  <c r="A13" i="72"/>
  <c r="S12" i="72"/>
  <c r="R12" i="72"/>
  <c r="N12" i="72"/>
  <c r="M12" i="72"/>
  <c r="F12" i="72"/>
  <c r="C12" i="72"/>
  <c r="B12" i="72"/>
  <c r="A12" i="72"/>
  <c r="S11" i="72"/>
  <c r="R11" i="72"/>
  <c r="N11" i="72"/>
  <c r="M11" i="72"/>
  <c r="F11" i="72"/>
  <c r="C11" i="72"/>
  <c r="B11" i="72"/>
  <c r="A11" i="72"/>
  <c r="O36" i="71"/>
  <c r="K36" i="71"/>
  <c r="J36" i="71"/>
  <c r="H36" i="71"/>
  <c r="G36" i="71"/>
  <c r="S35" i="71"/>
  <c r="R35" i="71"/>
  <c r="N35" i="71"/>
  <c r="M35" i="71"/>
  <c r="F35" i="71"/>
  <c r="C35" i="71"/>
  <c r="B35" i="71"/>
  <c r="A35" i="71"/>
  <c r="P35" i="71" s="1"/>
  <c r="S34" i="71"/>
  <c r="R34" i="71"/>
  <c r="P34" i="71"/>
  <c r="N34" i="71"/>
  <c r="M34" i="71"/>
  <c r="F34" i="71"/>
  <c r="C34" i="71"/>
  <c r="B34" i="71"/>
  <c r="A34" i="71"/>
  <c r="S33" i="71"/>
  <c r="R33" i="71"/>
  <c r="N33" i="71"/>
  <c r="M33" i="71"/>
  <c r="F33" i="71"/>
  <c r="C33" i="71"/>
  <c r="B33" i="71"/>
  <c r="A33" i="71"/>
  <c r="P33" i="71" s="1"/>
  <c r="S32" i="71"/>
  <c r="R32" i="71"/>
  <c r="N32" i="71"/>
  <c r="M32" i="71"/>
  <c r="F32" i="71"/>
  <c r="C32" i="71"/>
  <c r="B32" i="71"/>
  <c r="A32" i="71"/>
  <c r="P32" i="71" s="1"/>
  <c r="S31" i="71"/>
  <c r="R31" i="71"/>
  <c r="P31" i="71"/>
  <c r="N31" i="71"/>
  <c r="M31" i="71"/>
  <c r="F31" i="71"/>
  <c r="C31" i="71"/>
  <c r="B31" i="71"/>
  <c r="A31" i="71"/>
  <c r="S30" i="71"/>
  <c r="R30" i="71"/>
  <c r="P30" i="71"/>
  <c r="N30" i="71"/>
  <c r="M30" i="71"/>
  <c r="F30" i="71"/>
  <c r="C30" i="71"/>
  <c r="B30" i="71"/>
  <c r="A30" i="71"/>
  <c r="S29" i="71"/>
  <c r="R29" i="71"/>
  <c r="P29" i="71"/>
  <c r="N29" i="71"/>
  <c r="M29" i="71"/>
  <c r="F29" i="71"/>
  <c r="C29" i="71"/>
  <c r="B29" i="71"/>
  <c r="A29" i="71"/>
  <c r="S28" i="71"/>
  <c r="R28" i="71"/>
  <c r="N28" i="71"/>
  <c r="M28" i="71"/>
  <c r="F28" i="71"/>
  <c r="C28" i="71"/>
  <c r="B28" i="71"/>
  <c r="A28" i="71"/>
  <c r="P28" i="71" s="1"/>
  <c r="S27" i="71"/>
  <c r="R27" i="71"/>
  <c r="N27" i="71"/>
  <c r="M27" i="71"/>
  <c r="F27" i="71"/>
  <c r="C27" i="71"/>
  <c r="B27" i="71"/>
  <c r="A27" i="71"/>
  <c r="P27" i="71" s="1"/>
  <c r="S26" i="71"/>
  <c r="R26" i="71"/>
  <c r="P26" i="71"/>
  <c r="N26" i="71"/>
  <c r="M26" i="71"/>
  <c r="F26" i="71"/>
  <c r="C26" i="71"/>
  <c r="B26" i="71"/>
  <c r="A26" i="71"/>
  <c r="S25" i="71"/>
  <c r="R25" i="71"/>
  <c r="N25" i="71"/>
  <c r="M25" i="71"/>
  <c r="F25" i="71"/>
  <c r="C25" i="71"/>
  <c r="B25" i="71"/>
  <c r="A25" i="71"/>
  <c r="P25" i="71" s="1"/>
  <c r="S24" i="71"/>
  <c r="R24" i="71"/>
  <c r="N24" i="71"/>
  <c r="M24" i="71"/>
  <c r="F24" i="71"/>
  <c r="C24" i="71"/>
  <c r="B24" i="71"/>
  <c r="A24" i="71"/>
  <c r="P24" i="71" s="1"/>
  <c r="S23" i="71"/>
  <c r="R23" i="71"/>
  <c r="N23" i="71"/>
  <c r="M23" i="71"/>
  <c r="F23" i="71"/>
  <c r="C23" i="71"/>
  <c r="B23" i="71"/>
  <c r="A23" i="71"/>
  <c r="P23" i="71" s="1"/>
  <c r="S22" i="71"/>
  <c r="R22" i="71"/>
  <c r="P22" i="71"/>
  <c r="N22" i="71"/>
  <c r="M22" i="71"/>
  <c r="F22" i="71"/>
  <c r="C22" i="71"/>
  <c r="B22" i="71"/>
  <c r="A22" i="71"/>
  <c r="S21" i="71"/>
  <c r="R21" i="71"/>
  <c r="P21" i="71"/>
  <c r="N21" i="71"/>
  <c r="M21" i="71"/>
  <c r="F21" i="71"/>
  <c r="C21" i="71"/>
  <c r="B21" i="71"/>
  <c r="A21" i="71"/>
  <c r="S20" i="71"/>
  <c r="R20" i="71"/>
  <c r="N20" i="71"/>
  <c r="M20" i="71"/>
  <c r="F20" i="71"/>
  <c r="C20" i="71"/>
  <c r="B20" i="71"/>
  <c r="A20" i="71"/>
  <c r="S19" i="71"/>
  <c r="R19" i="71"/>
  <c r="N19" i="71"/>
  <c r="M19" i="71"/>
  <c r="F19" i="71"/>
  <c r="C19" i="71"/>
  <c r="B19" i="71"/>
  <c r="A19" i="71"/>
  <c r="S18" i="71"/>
  <c r="R18" i="71"/>
  <c r="N18" i="71"/>
  <c r="M18" i="71"/>
  <c r="F18" i="71"/>
  <c r="C18" i="71"/>
  <c r="B18" i="71"/>
  <c r="A18" i="71"/>
  <c r="S17" i="71"/>
  <c r="R17" i="71"/>
  <c r="N17" i="71"/>
  <c r="M17" i="71"/>
  <c r="F17" i="71"/>
  <c r="C17" i="71"/>
  <c r="B17" i="71"/>
  <c r="A17" i="71"/>
  <c r="S16" i="71"/>
  <c r="R16" i="71"/>
  <c r="N16" i="71"/>
  <c r="M16" i="71"/>
  <c r="F16" i="71"/>
  <c r="C16" i="71"/>
  <c r="B16" i="71"/>
  <c r="A16" i="71"/>
  <c r="S15" i="71"/>
  <c r="R15" i="71"/>
  <c r="N15" i="71"/>
  <c r="M15" i="71"/>
  <c r="F15" i="71"/>
  <c r="C15" i="71"/>
  <c r="B15" i="71"/>
  <c r="A15" i="71"/>
  <c r="S14" i="71"/>
  <c r="R14" i="71"/>
  <c r="N14" i="71"/>
  <c r="M14" i="71"/>
  <c r="F14" i="71"/>
  <c r="C14" i="71"/>
  <c r="B14" i="71"/>
  <c r="A14" i="71"/>
  <c r="S13" i="71"/>
  <c r="R13" i="71"/>
  <c r="N13" i="71"/>
  <c r="M13" i="71"/>
  <c r="F13" i="71"/>
  <c r="C13" i="71"/>
  <c r="B13" i="71"/>
  <c r="A13" i="71"/>
  <c r="S12" i="71"/>
  <c r="R12" i="71"/>
  <c r="N12" i="71"/>
  <c r="M12" i="71"/>
  <c r="F12" i="71"/>
  <c r="C12" i="71"/>
  <c r="B12" i="71"/>
  <c r="A12" i="71"/>
  <c r="S11" i="71"/>
  <c r="R11" i="71"/>
  <c r="N11" i="71"/>
  <c r="M11" i="71"/>
  <c r="F11" i="71"/>
  <c r="C11" i="71"/>
  <c r="B11" i="71"/>
  <c r="A11" i="71"/>
  <c r="O36" i="70"/>
  <c r="K36" i="70"/>
  <c r="J36" i="70"/>
  <c r="H36" i="70"/>
  <c r="G36" i="70"/>
  <c r="S35" i="70"/>
  <c r="R35" i="70"/>
  <c r="N35" i="70"/>
  <c r="M35" i="70"/>
  <c r="F35" i="70"/>
  <c r="C35" i="70"/>
  <c r="B35" i="70"/>
  <c r="A35" i="70"/>
  <c r="P35" i="70" s="1"/>
  <c r="S34" i="70"/>
  <c r="R34" i="70"/>
  <c r="N34" i="70"/>
  <c r="M34" i="70"/>
  <c r="F34" i="70"/>
  <c r="C34" i="70"/>
  <c r="B34" i="70"/>
  <c r="A34" i="70"/>
  <c r="P34" i="70" s="1"/>
  <c r="S33" i="70"/>
  <c r="R33" i="70"/>
  <c r="N33" i="70"/>
  <c r="M33" i="70"/>
  <c r="F33" i="70"/>
  <c r="C33" i="70"/>
  <c r="B33" i="70"/>
  <c r="A33" i="70"/>
  <c r="P33" i="70" s="1"/>
  <c r="S32" i="70"/>
  <c r="R32" i="70"/>
  <c r="P32" i="70"/>
  <c r="N32" i="70"/>
  <c r="M32" i="70"/>
  <c r="F32" i="70"/>
  <c r="C32" i="70"/>
  <c r="B32" i="70"/>
  <c r="A32" i="70"/>
  <c r="S31" i="70"/>
  <c r="R31" i="70"/>
  <c r="P31" i="70"/>
  <c r="N31" i="70"/>
  <c r="M31" i="70"/>
  <c r="F31" i="70"/>
  <c r="C31" i="70"/>
  <c r="B31" i="70"/>
  <c r="A31" i="70"/>
  <c r="S30" i="70"/>
  <c r="R30" i="70"/>
  <c r="N30" i="70"/>
  <c r="M30" i="70"/>
  <c r="F30" i="70"/>
  <c r="C30" i="70"/>
  <c r="B30" i="70"/>
  <c r="A30" i="70"/>
  <c r="P30" i="70" s="1"/>
  <c r="S29" i="70"/>
  <c r="R29" i="70"/>
  <c r="N29" i="70"/>
  <c r="M29" i="70"/>
  <c r="F29" i="70"/>
  <c r="C29" i="70"/>
  <c r="B29" i="70"/>
  <c r="A29" i="70"/>
  <c r="P29" i="70" s="1"/>
  <c r="S28" i="70"/>
  <c r="R28" i="70"/>
  <c r="P28" i="70"/>
  <c r="N28" i="70"/>
  <c r="M28" i="70"/>
  <c r="F28" i="70"/>
  <c r="C28" i="70"/>
  <c r="B28" i="70"/>
  <c r="A28" i="70"/>
  <c r="S27" i="70"/>
  <c r="R27" i="70"/>
  <c r="N27" i="70"/>
  <c r="M27" i="70"/>
  <c r="F27" i="70"/>
  <c r="C27" i="70"/>
  <c r="B27" i="70"/>
  <c r="A27" i="70"/>
  <c r="P27" i="70" s="1"/>
  <c r="S26" i="70"/>
  <c r="R26" i="70"/>
  <c r="N26" i="70"/>
  <c r="M26" i="70"/>
  <c r="F26" i="70"/>
  <c r="C26" i="70"/>
  <c r="B26" i="70"/>
  <c r="A26" i="70"/>
  <c r="P26" i="70" s="1"/>
  <c r="S25" i="70"/>
  <c r="R25" i="70"/>
  <c r="P25" i="70"/>
  <c r="N25" i="70"/>
  <c r="M25" i="70"/>
  <c r="F25" i="70"/>
  <c r="C25" i="70"/>
  <c r="B25" i="70"/>
  <c r="A25" i="70"/>
  <c r="S24" i="70"/>
  <c r="R24" i="70"/>
  <c r="P24" i="70"/>
  <c r="N24" i="70"/>
  <c r="M24" i="70"/>
  <c r="F24" i="70"/>
  <c r="C24" i="70"/>
  <c r="B24" i="70"/>
  <c r="A24" i="70"/>
  <c r="S23" i="70"/>
  <c r="R23" i="70"/>
  <c r="P23" i="70"/>
  <c r="N23" i="70"/>
  <c r="M23" i="70"/>
  <c r="F23" i="70"/>
  <c r="C23" i="70"/>
  <c r="B23" i="70"/>
  <c r="A23" i="70"/>
  <c r="S22" i="70"/>
  <c r="R22" i="70"/>
  <c r="P22" i="70"/>
  <c r="N22" i="70"/>
  <c r="M22" i="70"/>
  <c r="F22" i="70"/>
  <c r="C22" i="70"/>
  <c r="B22" i="70"/>
  <c r="A22" i="70"/>
  <c r="S21" i="70"/>
  <c r="R21" i="70"/>
  <c r="N21" i="70"/>
  <c r="M21" i="70"/>
  <c r="F21" i="70"/>
  <c r="C21" i="70"/>
  <c r="B21" i="70"/>
  <c r="A21" i="70"/>
  <c r="P21" i="70" s="1"/>
  <c r="S20" i="70"/>
  <c r="R20" i="70"/>
  <c r="N20" i="70"/>
  <c r="M20" i="70"/>
  <c r="F20" i="70"/>
  <c r="C20" i="70"/>
  <c r="B20" i="70"/>
  <c r="A20" i="70"/>
  <c r="S19" i="70"/>
  <c r="R19" i="70"/>
  <c r="N19" i="70"/>
  <c r="M19" i="70"/>
  <c r="F19" i="70"/>
  <c r="C19" i="70"/>
  <c r="B19" i="70"/>
  <c r="A19" i="70"/>
  <c r="S18" i="70"/>
  <c r="R18" i="70"/>
  <c r="N18" i="70"/>
  <c r="M18" i="70"/>
  <c r="F18" i="70"/>
  <c r="C18" i="70"/>
  <c r="B18" i="70"/>
  <c r="A18" i="70"/>
  <c r="S17" i="70"/>
  <c r="R17" i="70"/>
  <c r="N17" i="70"/>
  <c r="M17" i="70"/>
  <c r="F17" i="70"/>
  <c r="C17" i="70"/>
  <c r="B17" i="70"/>
  <c r="A17" i="70"/>
  <c r="S16" i="70"/>
  <c r="R16" i="70"/>
  <c r="N16" i="70"/>
  <c r="M16" i="70"/>
  <c r="I14" i="65" s="1"/>
  <c r="F16" i="70"/>
  <c r="C16" i="70"/>
  <c r="B16" i="70"/>
  <c r="A16" i="70"/>
  <c r="S15" i="70"/>
  <c r="R15" i="70"/>
  <c r="N15" i="70"/>
  <c r="M15" i="70"/>
  <c r="F15" i="70"/>
  <c r="C15" i="70"/>
  <c r="B15" i="70"/>
  <c r="A15" i="70"/>
  <c r="S14" i="70"/>
  <c r="R14" i="70"/>
  <c r="N14" i="70"/>
  <c r="M14" i="70"/>
  <c r="F14" i="70"/>
  <c r="C14" i="70"/>
  <c r="B14" i="70"/>
  <c r="A14" i="70"/>
  <c r="S13" i="70"/>
  <c r="R13" i="70"/>
  <c r="N13" i="70"/>
  <c r="M13" i="70"/>
  <c r="F13" i="70"/>
  <c r="C13" i="70"/>
  <c r="B13" i="70"/>
  <c r="A13" i="70"/>
  <c r="S12" i="70"/>
  <c r="R12" i="70"/>
  <c r="N12" i="70"/>
  <c r="M12" i="70"/>
  <c r="F12" i="70"/>
  <c r="C12" i="70"/>
  <c r="B12" i="70"/>
  <c r="A12" i="70"/>
  <c r="S11" i="70"/>
  <c r="R11" i="70"/>
  <c r="N11" i="70"/>
  <c r="M11" i="70"/>
  <c r="F11" i="70"/>
  <c r="C11" i="70"/>
  <c r="B11" i="70"/>
  <c r="A11" i="70"/>
  <c r="O36" i="69"/>
  <c r="K36" i="69"/>
  <c r="J36" i="69"/>
  <c r="H36" i="69"/>
  <c r="G36" i="69"/>
  <c r="S35" i="69"/>
  <c r="R35" i="69"/>
  <c r="P35" i="69"/>
  <c r="N35" i="69"/>
  <c r="M35" i="69"/>
  <c r="F35" i="69"/>
  <c r="F36" i="69" s="1"/>
  <c r="C35" i="69"/>
  <c r="B35" i="69"/>
  <c r="A35" i="69"/>
  <c r="S34" i="69"/>
  <c r="R34" i="69"/>
  <c r="P34" i="69"/>
  <c r="N34" i="69"/>
  <c r="M34" i="69"/>
  <c r="F34" i="69"/>
  <c r="C34" i="69"/>
  <c r="B34" i="69"/>
  <c r="A34" i="69"/>
  <c r="S33" i="69"/>
  <c r="R33" i="69"/>
  <c r="N33" i="69"/>
  <c r="M33" i="69"/>
  <c r="I31" i="65" s="1"/>
  <c r="F33" i="69"/>
  <c r="C33" i="69"/>
  <c r="B33" i="69"/>
  <c r="A33" i="69"/>
  <c r="P33" i="69" s="1"/>
  <c r="S32" i="69"/>
  <c r="R32" i="69"/>
  <c r="N32" i="69"/>
  <c r="M32" i="69"/>
  <c r="F32" i="69"/>
  <c r="C32" i="69"/>
  <c r="B32" i="69"/>
  <c r="A32" i="69"/>
  <c r="P32" i="69" s="1"/>
  <c r="S31" i="69"/>
  <c r="R31" i="69"/>
  <c r="N31" i="69"/>
  <c r="M31" i="69"/>
  <c r="F31" i="69"/>
  <c r="C31" i="69"/>
  <c r="B31" i="69"/>
  <c r="A31" i="69"/>
  <c r="P31" i="69" s="1"/>
  <c r="S30" i="69"/>
  <c r="R30" i="69"/>
  <c r="N30" i="69"/>
  <c r="M30" i="69"/>
  <c r="I28" i="65" s="1"/>
  <c r="F30" i="69"/>
  <c r="C30" i="69"/>
  <c r="B30" i="69"/>
  <c r="A30" i="69"/>
  <c r="P30" i="69" s="1"/>
  <c r="S29" i="69"/>
  <c r="R29" i="69"/>
  <c r="P29" i="69"/>
  <c r="N29" i="69"/>
  <c r="M29" i="69"/>
  <c r="F29" i="69"/>
  <c r="C29" i="69"/>
  <c r="B29" i="69"/>
  <c r="A29" i="69"/>
  <c r="S28" i="69"/>
  <c r="R28" i="69"/>
  <c r="P28" i="69"/>
  <c r="N28" i="69"/>
  <c r="M28" i="69"/>
  <c r="F28" i="69"/>
  <c r="C28" i="69"/>
  <c r="B28" i="69"/>
  <c r="A28" i="69"/>
  <c r="S27" i="69"/>
  <c r="R27" i="69"/>
  <c r="P27" i="69"/>
  <c r="N27" i="69"/>
  <c r="M27" i="69"/>
  <c r="I25" i="65" s="1"/>
  <c r="F27" i="69"/>
  <c r="C27" i="69"/>
  <c r="B27" i="69"/>
  <c r="A27" i="69"/>
  <c r="S26" i="69"/>
  <c r="R26" i="69"/>
  <c r="P26" i="69"/>
  <c r="N26" i="69"/>
  <c r="M26" i="69"/>
  <c r="F26" i="69"/>
  <c r="C26" i="69"/>
  <c r="B26" i="69"/>
  <c r="A26" i="69"/>
  <c r="S25" i="69"/>
  <c r="R25" i="69"/>
  <c r="N25" i="69"/>
  <c r="M25" i="69"/>
  <c r="I23" i="65" s="1"/>
  <c r="F25" i="69"/>
  <c r="C25" i="69"/>
  <c r="B25" i="69"/>
  <c r="A25" i="69"/>
  <c r="P25" i="69" s="1"/>
  <c r="S24" i="69"/>
  <c r="R24" i="69"/>
  <c r="N24" i="69"/>
  <c r="M24" i="69"/>
  <c r="F24" i="69"/>
  <c r="C24" i="69"/>
  <c r="B24" i="69"/>
  <c r="A24" i="69"/>
  <c r="P24" i="69" s="1"/>
  <c r="S23" i="69"/>
  <c r="R23" i="69"/>
  <c r="P23" i="69"/>
  <c r="N23" i="69"/>
  <c r="M23" i="69"/>
  <c r="F23" i="69"/>
  <c r="C23" i="69"/>
  <c r="B23" i="69"/>
  <c r="A23" i="69"/>
  <c r="S22" i="69"/>
  <c r="R22" i="69"/>
  <c r="N22" i="69"/>
  <c r="M22" i="69"/>
  <c r="I20" i="65" s="1"/>
  <c r="F22" i="69"/>
  <c r="C22" i="69"/>
  <c r="B22" i="69"/>
  <c r="A22" i="69"/>
  <c r="P22" i="69" s="1"/>
  <c r="S21" i="69"/>
  <c r="R21" i="69"/>
  <c r="P21" i="69"/>
  <c r="N21" i="69"/>
  <c r="M21" i="69"/>
  <c r="F21" i="69"/>
  <c r="C21" i="69"/>
  <c r="B21" i="69"/>
  <c r="A21" i="69"/>
  <c r="S20" i="69"/>
  <c r="R20" i="69"/>
  <c r="N20" i="69"/>
  <c r="M20" i="69"/>
  <c r="I18" i="65" s="1"/>
  <c r="F20" i="69"/>
  <c r="C20" i="69"/>
  <c r="B20" i="69"/>
  <c r="A20" i="69"/>
  <c r="S19" i="69"/>
  <c r="R19" i="69"/>
  <c r="N19" i="69"/>
  <c r="M19" i="69"/>
  <c r="I17" i="65" s="1"/>
  <c r="F19" i="69"/>
  <c r="C19" i="69"/>
  <c r="B19" i="69"/>
  <c r="A19" i="69"/>
  <c r="S18" i="69"/>
  <c r="R18" i="69"/>
  <c r="N18" i="69"/>
  <c r="M18" i="69"/>
  <c r="F18" i="69"/>
  <c r="C18" i="69"/>
  <c r="B18" i="69"/>
  <c r="A18" i="69"/>
  <c r="S17" i="69"/>
  <c r="R17" i="69"/>
  <c r="N17" i="69"/>
  <c r="M17" i="69"/>
  <c r="I15" i="65" s="1"/>
  <c r="F17" i="69"/>
  <c r="C17" i="69"/>
  <c r="B17" i="69"/>
  <c r="A17" i="69"/>
  <c r="S16" i="69"/>
  <c r="R16" i="69"/>
  <c r="N16" i="69"/>
  <c r="M16" i="69"/>
  <c r="F16" i="69"/>
  <c r="C16" i="69"/>
  <c r="B16" i="69"/>
  <c r="A16" i="69"/>
  <c r="S15" i="69"/>
  <c r="R15" i="69"/>
  <c r="N15" i="69"/>
  <c r="M15" i="69"/>
  <c r="F15" i="69"/>
  <c r="C15" i="69"/>
  <c r="B15" i="69"/>
  <c r="A15" i="69"/>
  <c r="S14" i="69"/>
  <c r="R14" i="69"/>
  <c r="N14" i="69"/>
  <c r="M14" i="69"/>
  <c r="I12" i="65" s="1"/>
  <c r="F14" i="69"/>
  <c r="C14" i="69"/>
  <c r="B14" i="69"/>
  <c r="A14" i="69"/>
  <c r="S13" i="69"/>
  <c r="R13" i="69"/>
  <c r="N13" i="69"/>
  <c r="M13" i="69"/>
  <c r="F13" i="69"/>
  <c r="C13" i="69"/>
  <c r="B13" i="69"/>
  <c r="A13" i="69"/>
  <c r="S12" i="69"/>
  <c r="R12" i="69"/>
  <c r="N12" i="69"/>
  <c r="N36" i="69" s="1"/>
  <c r="M12" i="69"/>
  <c r="I10" i="65" s="1"/>
  <c r="F12" i="69"/>
  <c r="C12" i="69"/>
  <c r="B12" i="69"/>
  <c r="A12" i="69"/>
  <c r="S11" i="69"/>
  <c r="R11" i="69"/>
  <c r="N11" i="69"/>
  <c r="M11" i="69"/>
  <c r="F11" i="69"/>
  <c r="C11" i="69"/>
  <c r="B11" i="69"/>
  <c r="A11" i="69"/>
  <c r="L33" i="68"/>
  <c r="I33" i="68"/>
  <c r="H33" i="68"/>
  <c r="F33" i="68"/>
  <c r="B33" i="68"/>
  <c r="A33" i="68"/>
  <c r="L32" i="68"/>
  <c r="I32" i="68"/>
  <c r="H32" i="68"/>
  <c r="F32" i="68"/>
  <c r="B32" i="68"/>
  <c r="A32" i="68"/>
  <c r="L31" i="68"/>
  <c r="I31" i="68"/>
  <c r="H31" i="68"/>
  <c r="F31" i="68"/>
  <c r="B31" i="68"/>
  <c r="A31" i="68"/>
  <c r="L30" i="68"/>
  <c r="I30" i="68"/>
  <c r="H30" i="68"/>
  <c r="F30" i="68"/>
  <c r="B30" i="68"/>
  <c r="A30" i="68"/>
  <c r="L29" i="68"/>
  <c r="I29" i="68"/>
  <c r="H29" i="68"/>
  <c r="F29" i="68"/>
  <c r="B29" i="68"/>
  <c r="A29" i="68"/>
  <c r="L28" i="68"/>
  <c r="I28" i="68"/>
  <c r="H28" i="68"/>
  <c r="F28" i="68"/>
  <c r="B28" i="68"/>
  <c r="A28" i="68"/>
  <c r="L27" i="68"/>
  <c r="I27" i="68"/>
  <c r="H27" i="68"/>
  <c r="F27" i="68"/>
  <c r="B27" i="68"/>
  <c r="A27" i="68"/>
  <c r="L26" i="68"/>
  <c r="I26" i="68"/>
  <c r="H26" i="68"/>
  <c r="F26" i="68"/>
  <c r="B26" i="68"/>
  <c r="A26" i="68"/>
  <c r="L25" i="68"/>
  <c r="I25" i="68"/>
  <c r="H25" i="68"/>
  <c r="F25" i="68"/>
  <c r="B25" i="68"/>
  <c r="A25" i="68"/>
  <c r="L24" i="68"/>
  <c r="I24" i="68"/>
  <c r="H24" i="68"/>
  <c r="F24" i="68"/>
  <c r="B24" i="68"/>
  <c r="A24" i="68"/>
  <c r="L23" i="68"/>
  <c r="I23" i="68"/>
  <c r="H23" i="68"/>
  <c r="F23" i="68"/>
  <c r="B23" i="68"/>
  <c r="A23" i="68"/>
  <c r="L22" i="68"/>
  <c r="I22" i="68"/>
  <c r="H22" i="68"/>
  <c r="F22" i="68"/>
  <c r="B22" i="68"/>
  <c r="A22" i="68"/>
  <c r="L21" i="68"/>
  <c r="I21" i="68"/>
  <c r="H21" i="68"/>
  <c r="F21" i="68"/>
  <c r="B21" i="68"/>
  <c r="A21" i="68"/>
  <c r="L20" i="68"/>
  <c r="I20" i="68"/>
  <c r="H20" i="68"/>
  <c r="F20" i="68"/>
  <c r="B20" i="68"/>
  <c r="A20" i="68"/>
  <c r="L19" i="68"/>
  <c r="I19" i="68"/>
  <c r="H19" i="68"/>
  <c r="F19" i="68"/>
  <c r="B19" i="68"/>
  <c r="A19" i="68"/>
  <c r="L18" i="68"/>
  <c r="I18" i="68"/>
  <c r="H18" i="68"/>
  <c r="F18" i="68"/>
  <c r="B18" i="68"/>
  <c r="A18" i="68"/>
  <c r="L17" i="68"/>
  <c r="I17" i="68"/>
  <c r="H17" i="68"/>
  <c r="F17" i="68"/>
  <c r="B17" i="68"/>
  <c r="A17" i="68"/>
  <c r="L16" i="68"/>
  <c r="I16" i="68"/>
  <c r="H16" i="68"/>
  <c r="F16" i="68"/>
  <c r="B16" i="68"/>
  <c r="A16" i="68"/>
  <c r="L15" i="68"/>
  <c r="I15" i="68"/>
  <c r="H15" i="68"/>
  <c r="F15" i="68"/>
  <c r="B15" i="68"/>
  <c r="A15" i="68"/>
  <c r="L14" i="68"/>
  <c r="I14" i="68"/>
  <c r="H14" i="68"/>
  <c r="F14" i="68"/>
  <c r="B14" i="68"/>
  <c r="A14" i="68"/>
  <c r="L13" i="68"/>
  <c r="I13" i="68"/>
  <c r="H13" i="68"/>
  <c r="F13" i="68"/>
  <c r="B13" i="68"/>
  <c r="A13" i="68"/>
  <c r="L12" i="68"/>
  <c r="H12" i="68"/>
  <c r="F12" i="68"/>
  <c r="B12" i="68"/>
  <c r="A12" i="68"/>
  <c r="L11" i="68"/>
  <c r="I11" i="68"/>
  <c r="H11" i="68"/>
  <c r="F11" i="68"/>
  <c r="B11" i="68"/>
  <c r="A11" i="68"/>
  <c r="L10" i="68"/>
  <c r="I10" i="68"/>
  <c r="H10" i="68"/>
  <c r="F10" i="68"/>
  <c r="B10" i="68"/>
  <c r="A10" i="68"/>
  <c r="L9" i="68"/>
  <c r="I9" i="68"/>
  <c r="H9" i="68"/>
  <c r="F9" i="68"/>
  <c r="B9" i="68"/>
  <c r="A9" i="68"/>
  <c r="L33" i="67"/>
  <c r="I33" i="67"/>
  <c r="H33" i="67"/>
  <c r="F33" i="67"/>
  <c r="B33" i="67"/>
  <c r="A33" i="67"/>
  <c r="L32" i="67"/>
  <c r="I32" i="67"/>
  <c r="H32" i="67"/>
  <c r="F32" i="67"/>
  <c r="B32" i="67"/>
  <c r="A32" i="67"/>
  <c r="L31" i="67"/>
  <c r="I31" i="67"/>
  <c r="H31" i="67"/>
  <c r="F31" i="67"/>
  <c r="B31" i="67"/>
  <c r="A31" i="67"/>
  <c r="L30" i="67"/>
  <c r="H30" i="67"/>
  <c r="F30" i="67"/>
  <c r="B30" i="67"/>
  <c r="A30" i="67"/>
  <c r="L29" i="67"/>
  <c r="I29" i="67"/>
  <c r="H29" i="67"/>
  <c r="F29" i="67"/>
  <c r="B29" i="67"/>
  <c r="A29" i="67"/>
  <c r="L28" i="67"/>
  <c r="I28" i="67"/>
  <c r="H28" i="67"/>
  <c r="F28" i="67"/>
  <c r="B28" i="67"/>
  <c r="A28" i="67"/>
  <c r="L27" i="67"/>
  <c r="I27" i="67"/>
  <c r="H27" i="67"/>
  <c r="F27" i="67"/>
  <c r="B27" i="67"/>
  <c r="A27" i="67"/>
  <c r="L26" i="67"/>
  <c r="I26" i="67"/>
  <c r="H26" i="67"/>
  <c r="F26" i="67"/>
  <c r="B26" i="67"/>
  <c r="A26" i="67"/>
  <c r="L25" i="67"/>
  <c r="I25" i="67"/>
  <c r="H25" i="67"/>
  <c r="F25" i="67"/>
  <c r="B25" i="67"/>
  <c r="A25" i="67"/>
  <c r="L24" i="67"/>
  <c r="I24" i="67"/>
  <c r="H24" i="67"/>
  <c r="F24" i="67"/>
  <c r="B24" i="67"/>
  <c r="A24" i="67"/>
  <c r="L23" i="67"/>
  <c r="I23" i="67"/>
  <c r="H23" i="67"/>
  <c r="F23" i="67"/>
  <c r="B23" i="67"/>
  <c r="A23" i="67"/>
  <c r="L22" i="67"/>
  <c r="I22" i="67"/>
  <c r="H22" i="67"/>
  <c r="F22" i="67"/>
  <c r="B22" i="67"/>
  <c r="A22" i="67"/>
  <c r="L21" i="67"/>
  <c r="I21" i="67"/>
  <c r="H21" i="67"/>
  <c r="F21" i="67"/>
  <c r="B21" i="67"/>
  <c r="A21" i="67"/>
  <c r="L20" i="67"/>
  <c r="I20" i="67"/>
  <c r="H20" i="67"/>
  <c r="F20" i="67"/>
  <c r="B20" i="67"/>
  <c r="A20" i="67"/>
  <c r="L19" i="67"/>
  <c r="I19" i="67"/>
  <c r="H19" i="67"/>
  <c r="F19" i="67"/>
  <c r="B19" i="67"/>
  <c r="A19" i="67"/>
  <c r="L18" i="67"/>
  <c r="I18" i="67"/>
  <c r="H18" i="67"/>
  <c r="F18" i="67"/>
  <c r="B18" i="67"/>
  <c r="A18" i="67"/>
  <c r="L17" i="67"/>
  <c r="I17" i="67"/>
  <c r="H17" i="67"/>
  <c r="F17" i="67"/>
  <c r="B17" i="67"/>
  <c r="A17" i="67"/>
  <c r="L16" i="67"/>
  <c r="I16" i="67"/>
  <c r="H16" i="67"/>
  <c r="F16" i="67"/>
  <c r="B16" i="67"/>
  <c r="A16" i="67"/>
  <c r="L15" i="67"/>
  <c r="I15" i="67"/>
  <c r="H15" i="67"/>
  <c r="F15" i="67"/>
  <c r="B15" i="67"/>
  <c r="A15" i="67"/>
  <c r="L14" i="67"/>
  <c r="I14" i="67"/>
  <c r="H14" i="67"/>
  <c r="F14" i="67"/>
  <c r="B14" i="67"/>
  <c r="A14" i="67"/>
  <c r="L13" i="67"/>
  <c r="I13" i="67"/>
  <c r="H13" i="67"/>
  <c r="F13" i="67"/>
  <c r="B13" i="67"/>
  <c r="A13" i="67"/>
  <c r="L12" i="67"/>
  <c r="I12" i="67"/>
  <c r="H12" i="67"/>
  <c r="F12" i="67"/>
  <c r="B12" i="67"/>
  <c r="A12" i="67"/>
  <c r="L11" i="67"/>
  <c r="I11" i="67"/>
  <c r="H11" i="67"/>
  <c r="F11" i="67"/>
  <c r="B11" i="67"/>
  <c r="A11" i="67"/>
  <c r="L10" i="67"/>
  <c r="I10" i="67"/>
  <c r="H10" i="67"/>
  <c r="F10" i="67"/>
  <c r="B10" i="67"/>
  <c r="A10" i="67"/>
  <c r="L9" i="67"/>
  <c r="I9" i="67"/>
  <c r="H9" i="67"/>
  <c r="F9" i="67"/>
  <c r="B9" i="67"/>
  <c r="A9" i="67"/>
  <c r="L33" i="66"/>
  <c r="I33" i="66"/>
  <c r="H33" i="66"/>
  <c r="F33" i="66"/>
  <c r="B33" i="66"/>
  <c r="A33" i="66"/>
  <c r="L32" i="66"/>
  <c r="I32" i="66"/>
  <c r="H32" i="66"/>
  <c r="F32" i="66"/>
  <c r="B32" i="66"/>
  <c r="A32" i="66"/>
  <c r="L31" i="66"/>
  <c r="I31" i="66"/>
  <c r="H31" i="66"/>
  <c r="F31" i="66"/>
  <c r="B31" i="66"/>
  <c r="A31" i="66"/>
  <c r="L30" i="66"/>
  <c r="I30" i="66"/>
  <c r="H30" i="66"/>
  <c r="F30" i="66"/>
  <c r="B30" i="66"/>
  <c r="A30" i="66"/>
  <c r="L29" i="66"/>
  <c r="I29" i="66"/>
  <c r="H29" i="66"/>
  <c r="F29" i="66"/>
  <c r="B29" i="66"/>
  <c r="A29" i="66"/>
  <c r="L28" i="66"/>
  <c r="I28" i="66"/>
  <c r="H28" i="66"/>
  <c r="F28" i="66"/>
  <c r="B28" i="66"/>
  <c r="A28" i="66"/>
  <c r="L27" i="66"/>
  <c r="I27" i="66"/>
  <c r="H27" i="66"/>
  <c r="F27" i="66"/>
  <c r="B27" i="66"/>
  <c r="A27" i="66"/>
  <c r="L26" i="66"/>
  <c r="H26" i="66"/>
  <c r="F26" i="66"/>
  <c r="B26" i="66"/>
  <c r="A26" i="66"/>
  <c r="L25" i="66"/>
  <c r="I25" i="66"/>
  <c r="H25" i="66"/>
  <c r="F25" i="66"/>
  <c r="B25" i="66"/>
  <c r="A25" i="66"/>
  <c r="L24" i="66"/>
  <c r="I24" i="66"/>
  <c r="H24" i="66"/>
  <c r="F24" i="66"/>
  <c r="B24" i="66"/>
  <c r="A24" i="66"/>
  <c r="L23" i="66"/>
  <c r="I23" i="66"/>
  <c r="H23" i="66"/>
  <c r="F23" i="66"/>
  <c r="B23" i="66"/>
  <c r="A23" i="66"/>
  <c r="L22" i="66"/>
  <c r="I22" i="66"/>
  <c r="H22" i="66"/>
  <c r="F22" i="66"/>
  <c r="B22" i="66"/>
  <c r="A22" i="66"/>
  <c r="L21" i="66"/>
  <c r="I21" i="66"/>
  <c r="H21" i="66"/>
  <c r="F21" i="66"/>
  <c r="B21" i="66"/>
  <c r="A21" i="66"/>
  <c r="L20" i="66"/>
  <c r="I20" i="66"/>
  <c r="H20" i="66"/>
  <c r="F20" i="66"/>
  <c r="B20" i="66"/>
  <c r="A20" i="66"/>
  <c r="L19" i="66"/>
  <c r="H19" i="66"/>
  <c r="F19" i="66"/>
  <c r="B19" i="66"/>
  <c r="A19" i="66"/>
  <c r="L18" i="66"/>
  <c r="I18" i="66"/>
  <c r="H18" i="66"/>
  <c r="F18" i="66"/>
  <c r="B18" i="66"/>
  <c r="A18" i="66"/>
  <c r="L17" i="66"/>
  <c r="I17" i="66"/>
  <c r="H17" i="66"/>
  <c r="F17" i="66"/>
  <c r="B17" i="66"/>
  <c r="A17" i="66"/>
  <c r="L16" i="66"/>
  <c r="I16" i="66"/>
  <c r="H16" i="66"/>
  <c r="F16" i="66"/>
  <c r="B16" i="66"/>
  <c r="A16" i="66"/>
  <c r="L15" i="66"/>
  <c r="I15" i="66"/>
  <c r="H15" i="66"/>
  <c r="F15" i="66"/>
  <c r="B15" i="66"/>
  <c r="A15" i="66"/>
  <c r="L14" i="66"/>
  <c r="I14" i="66"/>
  <c r="H14" i="66"/>
  <c r="F14" i="66"/>
  <c r="B14" i="66"/>
  <c r="A14" i="66"/>
  <c r="L13" i="66"/>
  <c r="I13" i="66"/>
  <c r="H13" i="66"/>
  <c r="F13" i="66"/>
  <c r="B13" i="66"/>
  <c r="A13" i="66"/>
  <c r="L12" i="66"/>
  <c r="I12" i="66"/>
  <c r="H12" i="66"/>
  <c r="F12" i="66"/>
  <c r="B12" i="66"/>
  <c r="A12" i="66"/>
  <c r="L11" i="66"/>
  <c r="I11" i="66"/>
  <c r="H11" i="66"/>
  <c r="F11" i="66"/>
  <c r="B11" i="66"/>
  <c r="A11" i="66"/>
  <c r="L10" i="66"/>
  <c r="I10" i="66"/>
  <c r="H10" i="66"/>
  <c r="F10" i="66"/>
  <c r="B10" i="66"/>
  <c r="A10" i="66"/>
  <c r="L9" i="66"/>
  <c r="I9" i="66"/>
  <c r="H9" i="66"/>
  <c r="F9" i="66"/>
  <c r="B9" i="66"/>
  <c r="A9" i="66"/>
  <c r="L33" i="65"/>
  <c r="I33" i="65"/>
  <c r="H33" i="65"/>
  <c r="F33" i="65"/>
  <c r="B33" i="65"/>
  <c r="A33" i="65"/>
  <c r="L32" i="65"/>
  <c r="I32" i="65"/>
  <c r="H32" i="65"/>
  <c r="F32" i="65"/>
  <c r="B32" i="65"/>
  <c r="A32" i="65"/>
  <c r="L31" i="65"/>
  <c r="H31" i="65"/>
  <c r="F31" i="65"/>
  <c r="B31" i="65"/>
  <c r="A31" i="65"/>
  <c r="L30" i="65"/>
  <c r="I30" i="65"/>
  <c r="H30" i="65"/>
  <c r="F30" i="65"/>
  <c r="B30" i="65"/>
  <c r="A30" i="65"/>
  <c r="L29" i="65"/>
  <c r="I29" i="65"/>
  <c r="H29" i="65"/>
  <c r="F29" i="65"/>
  <c r="B29" i="65"/>
  <c r="A29" i="65"/>
  <c r="L28" i="65"/>
  <c r="H28" i="65"/>
  <c r="F28" i="65"/>
  <c r="B28" i="65"/>
  <c r="A28" i="65"/>
  <c r="L27" i="65"/>
  <c r="I27" i="65"/>
  <c r="H27" i="65"/>
  <c r="F27" i="65"/>
  <c r="B27" i="65"/>
  <c r="A27" i="65"/>
  <c r="L26" i="65"/>
  <c r="I26" i="65"/>
  <c r="H26" i="65"/>
  <c r="F26" i="65"/>
  <c r="B26" i="65"/>
  <c r="A26" i="65"/>
  <c r="L25" i="65"/>
  <c r="H25" i="65"/>
  <c r="F25" i="65"/>
  <c r="B25" i="65"/>
  <c r="A25" i="65"/>
  <c r="L24" i="65"/>
  <c r="I24" i="65"/>
  <c r="H24" i="65"/>
  <c r="F24" i="65"/>
  <c r="B24" i="65"/>
  <c r="A24" i="65"/>
  <c r="L23" i="65"/>
  <c r="H23" i="65"/>
  <c r="F23" i="65"/>
  <c r="B23" i="65"/>
  <c r="A23" i="65"/>
  <c r="L22" i="65"/>
  <c r="I22" i="65"/>
  <c r="H22" i="65"/>
  <c r="F22" i="65"/>
  <c r="B22" i="65"/>
  <c r="A22" i="65"/>
  <c r="L21" i="65"/>
  <c r="I21" i="65"/>
  <c r="H21" i="65"/>
  <c r="F21" i="65"/>
  <c r="B21" i="65"/>
  <c r="A21" i="65"/>
  <c r="L20" i="65"/>
  <c r="H20" i="65"/>
  <c r="F20" i="65"/>
  <c r="B20" i="65"/>
  <c r="A20" i="65"/>
  <c r="L19" i="65"/>
  <c r="I19" i="65"/>
  <c r="H19" i="65"/>
  <c r="F19" i="65"/>
  <c r="B19" i="65"/>
  <c r="A19" i="65"/>
  <c r="L18" i="65"/>
  <c r="H18" i="65"/>
  <c r="F18" i="65"/>
  <c r="B18" i="65"/>
  <c r="A18" i="65"/>
  <c r="L17" i="65"/>
  <c r="H17" i="65"/>
  <c r="F17" i="65"/>
  <c r="B17" i="65"/>
  <c r="A17" i="65"/>
  <c r="L16" i="65"/>
  <c r="I16" i="65"/>
  <c r="H16" i="65"/>
  <c r="F16" i="65"/>
  <c r="B16" i="65"/>
  <c r="A16" i="65"/>
  <c r="L15" i="65"/>
  <c r="H15" i="65"/>
  <c r="F15" i="65"/>
  <c r="B15" i="65"/>
  <c r="A15" i="65"/>
  <c r="L14" i="65"/>
  <c r="H14" i="65"/>
  <c r="F14" i="65"/>
  <c r="B14" i="65"/>
  <c r="A14" i="65"/>
  <c r="L13" i="65"/>
  <c r="I13" i="65"/>
  <c r="H13" i="65"/>
  <c r="F13" i="65"/>
  <c r="B13" i="65"/>
  <c r="A13" i="65"/>
  <c r="L12" i="65"/>
  <c r="H12" i="65"/>
  <c r="F12" i="65"/>
  <c r="B12" i="65"/>
  <c r="A12" i="65"/>
  <c r="L11" i="65"/>
  <c r="I11" i="65"/>
  <c r="H11" i="65"/>
  <c r="F11" i="65"/>
  <c r="B11" i="65"/>
  <c r="A11" i="65"/>
  <c r="L10" i="65"/>
  <c r="H10" i="65"/>
  <c r="F10" i="65"/>
  <c r="B10" i="65"/>
  <c r="A10" i="65"/>
  <c r="L9" i="65"/>
  <c r="H9" i="65"/>
  <c r="F9" i="65"/>
  <c r="B9" i="65"/>
  <c r="A9" i="65"/>
  <c r="O36" i="64"/>
  <c r="K36" i="64"/>
  <c r="J36" i="64"/>
  <c r="H36" i="64"/>
  <c r="G36" i="64"/>
  <c r="S35" i="64"/>
  <c r="R35" i="64"/>
  <c r="P35" i="64"/>
  <c r="N35" i="64"/>
  <c r="M35" i="64"/>
  <c r="F35" i="64"/>
  <c r="C35" i="64"/>
  <c r="B35" i="64"/>
  <c r="A35" i="64"/>
  <c r="S34" i="64"/>
  <c r="R34" i="64"/>
  <c r="N34" i="64"/>
  <c r="M34" i="64"/>
  <c r="F34" i="64"/>
  <c r="C34" i="64"/>
  <c r="B34" i="64"/>
  <c r="A34" i="64"/>
  <c r="P34" i="64" s="1"/>
  <c r="S33" i="64"/>
  <c r="R33" i="64"/>
  <c r="P33" i="64"/>
  <c r="N33" i="64"/>
  <c r="M33" i="64"/>
  <c r="F33" i="64"/>
  <c r="C33" i="64"/>
  <c r="B33" i="64"/>
  <c r="A33" i="64"/>
  <c r="S32" i="64"/>
  <c r="R32" i="64"/>
  <c r="N32" i="64"/>
  <c r="M32" i="64"/>
  <c r="F32" i="64"/>
  <c r="C32" i="64"/>
  <c r="B32" i="64"/>
  <c r="A32" i="64"/>
  <c r="P32" i="64" s="1"/>
  <c r="S31" i="64"/>
  <c r="R31" i="64"/>
  <c r="P31" i="64"/>
  <c r="N31" i="64"/>
  <c r="M31" i="64"/>
  <c r="F31" i="64"/>
  <c r="C31" i="64"/>
  <c r="B31" i="64"/>
  <c r="A31" i="64"/>
  <c r="S30" i="64"/>
  <c r="R30" i="64"/>
  <c r="N30" i="64"/>
  <c r="M30" i="64"/>
  <c r="F30" i="64"/>
  <c r="C30" i="64"/>
  <c r="B30" i="64"/>
  <c r="A30" i="64"/>
  <c r="P30" i="64" s="1"/>
  <c r="S29" i="64"/>
  <c r="R29" i="64"/>
  <c r="P29" i="64"/>
  <c r="N29" i="64"/>
  <c r="M29" i="64"/>
  <c r="F29" i="64"/>
  <c r="C29" i="64"/>
  <c r="B29" i="64"/>
  <c r="A29" i="64"/>
  <c r="S28" i="64"/>
  <c r="R28" i="64"/>
  <c r="N28" i="64"/>
  <c r="M28" i="64"/>
  <c r="F28" i="64"/>
  <c r="C28" i="64"/>
  <c r="B28" i="64"/>
  <c r="A28" i="64"/>
  <c r="P28" i="64" s="1"/>
  <c r="S27" i="64"/>
  <c r="R27" i="64"/>
  <c r="P27" i="64"/>
  <c r="N27" i="64"/>
  <c r="M27" i="64"/>
  <c r="F27" i="64"/>
  <c r="C27" i="64"/>
  <c r="B27" i="64"/>
  <c r="A27" i="64"/>
  <c r="S26" i="64"/>
  <c r="R26" i="64"/>
  <c r="N26" i="64"/>
  <c r="M26" i="64"/>
  <c r="F26" i="64"/>
  <c r="C26" i="64"/>
  <c r="B26" i="64"/>
  <c r="A26" i="64"/>
  <c r="P26" i="64" s="1"/>
  <c r="S25" i="64"/>
  <c r="R25" i="64"/>
  <c r="P25" i="64"/>
  <c r="N25" i="64"/>
  <c r="M25" i="64"/>
  <c r="F25" i="64"/>
  <c r="C25" i="64"/>
  <c r="B25" i="64"/>
  <c r="A25" i="64"/>
  <c r="S24" i="64"/>
  <c r="R24" i="64"/>
  <c r="N24" i="64"/>
  <c r="M24" i="64"/>
  <c r="F24" i="64"/>
  <c r="C24" i="64"/>
  <c r="B24" i="64"/>
  <c r="A24" i="64"/>
  <c r="P24" i="64" s="1"/>
  <c r="S23" i="64"/>
  <c r="R23" i="64"/>
  <c r="P23" i="64"/>
  <c r="N23" i="64"/>
  <c r="M23" i="64"/>
  <c r="F23" i="64"/>
  <c r="C23" i="64"/>
  <c r="B23" i="64"/>
  <c r="A23" i="64"/>
  <c r="S22" i="64"/>
  <c r="R22" i="64"/>
  <c r="N22" i="64"/>
  <c r="M22" i="64"/>
  <c r="F22" i="64"/>
  <c r="C22" i="64"/>
  <c r="B22" i="64"/>
  <c r="A22" i="64"/>
  <c r="P22" i="64" s="1"/>
  <c r="S21" i="64"/>
  <c r="R21" i="64"/>
  <c r="P21" i="64"/>
  <c r="N21" i="64"/>
  <c r="M21" i="64"/>
  <c r="F21" i="64"/>
  <c r="C21" i="64"/>
  <c r="B21" i="64"/>
  <c r="A21" i="64"/>
  <c r="S20" i="64"/>
  <c r="R20" i="64"/>
  <c r="N20" i="64"/>
  <c r="M20" i="64"/>
  <c r="F20" i="64"/>
  <c r="C20" i="64"/>
  <c r="B20" i="64"/>
  <c r="A20" i="64"/>
  <c r="S19" i="64"/>
  <c r="R19" i="64"/>
  <c r="N19" i="64"/>
  <c r="M19" i="64"/>
  <c r="F19" i="64"/>
  <c r="C19" i="64"/>
  <c r="B19" i="64"/>
  <c r="A19" i="64"/>
  <c r="S18" i="64"/>
  <c r="R18" i="64"/>
  <c r="N18" i="64"/>
  <c r="M18" i="64"/>
  <c r="F18" i="64"/>
  <c r="C18" i="64"/>
  <c r="B18" i="64"/>
  <c r="A18" i="64"/>
  <c r="S17" i="64"/>
  <c r="R17" i="64"/>
  <c r="N17" i="64"/>
  <c r="M17" i="64"/>
  <c r="F17" i="64"/>
  <c r="C17" i="64"/>
  <c r="B17" i="64"/>
  <c r="A17" i="64"/>
  <c r="S16" i="64"/>
  <c r="R16" i="64"/>
  <c r="N16" i="64"/>
  <c r="M16" i="64"/>
  <c r="F16" i="64"/>
  <c r="C16" i="64"/>
  <c r="B16" i="64"/>
  <c r="A16" i="64"/>
  <c r="S15" i="64"/>
  <c r="R15" i="64"/>
  <c r="N15" i="64"/>
  <c r="M15" i="64"/>
  <c r="F15" i="64"/>
  <c r="C15" i="64"/>
  <c r="B15" i="64"/>
  <c r="A15" i="64"/>
  <c r="S14" i="64"/>
  <c r="R14" i="64"/>
  <c r="N14" i="64"/>
  <c r="M14" i="64"/>
  <c r="F14" i="64"/>
  <c r="C14" i="64"/>
  <c r="B14" i="64"/>
  <c r="A14" i="64"/>
  <c r="S13" i="64"/>
  <c r="R13" i="64"/>
  <c r="N13" i="64"/>
  <c r="M13" i="64"/>
  <c r="F13" i="64"/>
  <c r="C13" i="64"/>
  <c r="B13" i="64"/>
  <c r="A13" i="64"/>
  <c r="S12" i="64"/>
  <c r="R12" i="64"/>
  <c r="N12" i="64"/>
  <c r="M12" i="64"/>
  <c r="F12" i="64"/>
  <c r="C12" i="64"/>
  <c r="B12" i="64"/>
  <c r="A12" i="64"/>
  <c r="S11" i="64"/>
  <c r="R11" i="64"/>
  <c r="N11" i="64"/>
  <c r="N36" i="64" s="1"/>
  <c r="M11" i="64"/>
  <c r="M36" i="64" s="1"/>
  <c r="F11" i="64"/>
  <c r="F36" i="64" s="1"/>
  <c r="C11" i="64"/>
  <c r="B11" i="64"/>
  <c r="A11" i="64"/>
  <c r="O36" i="63"/>
  <c r="K36" i="63"/>
  <c r="J36" i="63"/>
  <c r="H36" i="63"/>
  <c r="G36" i="63"/>
  <c r="S35" i="63"/>
  <c r="R35" i="63"/>
  <c r="P35" i="63"/>
  <c r="N35" i="63"/>
  <c r="M35" i="63"/>
  <c r="F35" i="63"/>
  <c r="C35" i="63"/>
  <c r="B35" i="63"/>
  <c r="A35" i="63"/>
  <c r="S34" i="63"/>
  <c r="R34" i="63"/>
  <c r="N34" i="63"/>
  <c r="M34" i="63"/>
  <c r="F34" i="63"/>
  <c r="C34" i="63"/>
  <c r="B34" i="63"/>
  <c r="A34" i="63"/>
  <c r="P34" i="63" s="1"/>
  <c r="S33" i="63"/>
  <c r="R33" i="63"/>
  <c r="P33" i="63"/>
  <c r="N33" i="63"/>
  <c r="M33" i="63"/>
  <c r="F33" i="63"/>
  <c r="C33" i="63"/>
  <c r="B33" i="63"/>
  <c r="A33" i="63"/>
  <c r="S32" i="63"/>
  <c r="R32" i="63"/>
  <c r="N32" i="63"/>
  <c r="M32" i="63"/>
  <c r="F32" i="63"/>
  <c r="C32" i="63"/>
  <c r="B32" i="63"/>
  <c r="A32" i="63"/>
  <c r="P32" i="63" s="1"/>
  <c r="S31" i="63"/>
  <c r="R31" i="63"/>
  <c r="P31" i="63"/>
  <c r="N31" i="63"/>
  <c r="M31" i="63"/>
  <c r="F31" i="63"/>
  <c r="C31" i="63"/>
  <c r="B31" i="63"/>
  <c r="A31" i="63"/>
  <c r="S30" i="63"/>
  <c r="R30" i="63"/>
  <c r="N30" i="63"/>
  <c r="M30" i="63"/>
  <c r="F30" i="63"/>
  <c r="C30" i="63"/>
  <c r="B30" i="63"/>
  <c r="A30" i="63"/>
  <c r="P30" i="63" s="1"/>
  <c r="S29" i="63"/>
  <c r="R29" i="63"/>
  <c r="P29" i="63"/>
  <c r="N29" i="63"/>
  <c r="M29" i="63"/>
  <c r="F29" i="63"/>
  <c r="C29" i="63"/>
  <c r="B29" i="63"/>
  <c r="A29" i="63"/>
  <c r="S28" i="63"/>
  <c r="R28" i="63"/>
  <c r="N28" i="63"/>
  <c r="M28" i="63"/>
  <c r="F28" i="63"/>
  <c r="C28" i="63"/>
  <c r="B28" i="63"/>
  <c r="A28" i="63"/>
  <c r="P28" i="63" s="1"/>
  <c r="S27" i="63"/>
  <c r="R27" i="63"/>
  <c r="P27" i="63"/>
  <c r="N27" i="63"/>
  <c r="M27" i="63"/>
  <c r="F27" i="63"/>
  <c r="C27" i="63"/>
  <c r="B27" i="63"/>
  <c r="A27" i="63"/>
  <c r="S26" i="63"/>
  <c r="R26" i="63"/>
  <c r="N26" i="63"/>
  <c r="M26" i="63"/>
  <c r="F26" i="63"/>
  <c r="C26" i="63"/>
  <c r="B26" i="63"/>
  <c r="A26" i="63"/>
  <c r="P26" i="63" s="1"/>
  <c r="S25" i="63"/>
  <c r="R25" i="63"/>
  <c r="P25" i="63"/>
  <c r="N25" i="63"/>
  <c r="M25" i="63"/>
  <c r="F25" i="63"/>
  <c r="C25" i="63"/>
  <c r="B25" i="63"/>
  <c r="A25" i="63"/>
  <c r="S24" i="63"/>
  <c r="R24" i="63"/>
  <c r="N24" i="63"/>
  <c r="M24" i="63"/>
  <c r="F24" i="63"/>
  <c r="C24" i="63"/>
  <c r="B24" i="63"/>
  <c r="A24" i="63"/>
  <c r="P24" i="63" s="1"/>
  <c r="S23" i="63"/>
  <c r="R23" i="63"/>
  <c r="P23" i="63"/>
  <c r="N23" i="63"/>
  <c r="M23" i="63"/>
  <c r="F23" i="63"/>
  <c r="C23" i="63"/>
  <c r="B23" i="63"/>
  <c r="A23" i="63"/>
  <c r="S22" i="63"/>
  <c r="R22" i="63"/>
  <c r="N22" i="63"/>
  <c r="M22" i="63"/>
  <c r="F22" i="63"/>
  <c r="C22" i="63"/>
  <c r="B22" i="63"/>
  <c r="A22" i="63"/>
  <c r="P22" i="63" s="1"/>
  <c r="S21" i="63"/>
  <c r="R21" i="63"/>
  <c r="P21" i="63"/>
  <c r="N21" i="63"/>
  <c r="M21" i="63"/>
  <c r="F21" i="63"/>
  <c r="C21" i="63"/>
  <c r="B21" i="63"/>
  <c r="A21" i="63"/>
  <c r="S20" i="63"/>
  <c r="R20" i="63"/>
  <c r="N20" i="63"/>
  <c r="M20" i="63"/>
  <c r="F20" i="63"/>
  <c r="C20" i="63"/>
  <c r="B20" i="63"/>
  <c r="A20" i="63"/>
  <c r="S19" i="63"/>
  <c r="R19" i="63"/>
  <c r="N19" i="63"/>
  <c r="M19" i="63"/>
  <c r="F19" i="63"/>
  <c r="C19" i="63"/>
  <c r="B19" i="63"/>
  <c r="A19" i="63"/>
  <c r="S18" i="63"/>
  <c r="R18" i="63"/>
  <c r="N18" i="63"/>
  <c r="M18" i="63"/>
  <c r="F18" i="63"/>
  <c r="C18" i="63"/>
  <c r="B18" i="63"/>
  <c r="A18" i="63"/>
  <c r="S17" i="63"/>
  <c r="R17" i="63"/>
  <c r="N17" i="63"/>
  <c r="M17" i="63"/>
  <c r="F17" i="63"/>
  <c r="C17" i="63"/>
  <c r="B17" i="63"/>
  <c r="A17" i="63"/>
  <c r="S16" i="63"/>
  <c r="R16" i="63"/>
  <c r="N16" i="63"/>
  <c r="M16" i="63"/>
  <c r="F16" i="63"/>
  <c r="C16" i="63"/>
  <c r="B16" i="63"/>
  <c r="A16" i="63"/>
  <c r="S15" i="63"/>
  <c r="R15" i="63"/>
  <c r="N15" i="63"/>
  <c r="M15" i="63"/>
  <c r="F15" i="63"/>
  <c r="C15" i="63"/>
  <c r="B15" i="63"/>
  <c r="A15" i="63"/>
  <c r="S14" i="63"/>
  <c r="R14" i="63"/>
  <c r="N14" i="63"/>
  <c r="M14" i="63"/>
  <c r="F14" i="63"/>
  <c r="C14" i="63"/>
  <c r="B14" i="63"/>
  <c r="A14" i="63"/>
  <c r="S13" i="63"/>
  <c r="R13" i="63"/>
  <c r="N13" i="63"/>
  <c r="M13" i="63"/>
  <c r="F13" i="63"/>
  <c r="C13" i="63"/>
  <c r="B13" i="63"/>
  <c r="A13" i="63"/>
  <c r="S12" i="63"/>
  <c r="R12" i="63"/>
  <c r="N12" i="63"/>
  <c r="M12" i="63"/>
  <c r="F12" i="63"/>
  <c r="C12" i="63"/>
  <c r="B12" i="63"/>
  <c r="A12" i="63"/>
  <c r="S11" i="63"/>
  <c r="R11" i="63"/>
  <c r="N11" i="63"/>
  <c r="N36" i="63" s="1"/>
  <c r="M11" i="63"/>
  <c r="M36" i="63" s="1"/>
  <c r="F11" i="63"/>
  <c r="F36" i="63" s="1"/>
  <c r="C11" i="63"/>
  <c r="B11" i="63"/>
  <c r="A11" i="63"/>
  <c r="O36" i="62"/>
  <c r="K36" i="62"/>
  <c r="J36" i="62"/>
  <c r="H36" i="62"/>
  <c r="G36" i="62"/>
  <c r="S35" i="62"/>
  <c r="R35" i="62"/>
  <c r="P35" i="62"/>
  <c r="N35" i="62"/>
  <c r="M35" i="62"/>
  <c r="F35" i="62"/>
  <c r="C35" i="62"/>
  <c r="B35" i="62"/>
  <c r="A35" i="62"/>
  <c r="S34" i="62"/>
  <c r="R34" i="62"/>
  <c r="N34" i="62"/>
  <c r="M34" i="62"/>
  <c r="F34" i="62"/>
  <c r="C34" i="62"/>
  <c r="B34" i="62"/>
  <c r="A34" i="62"/>
  <c r="P34" i="62" s="1"/>
  <c r="S33" i="62"/>
  <c r="R33" i="62"/>
  <c r="P33" i="62"/>
  <c r="N33" i="62"/>
  <c r="M33" i="62"/>
  <c r="F33" i="62"/>
  <c r="C33" i="62"/>
  <c r="B33" i="62"/>
  <c r="A33" i="62"/>
  <c r="S32" i="62"/>
  <c r="R32" i="62"/>
  <c r="N32" i="62"/>
  <c r="M32" i="62"/>
  <c r="F32" i="62"/>
  <c r="C32" i="62"/>
  <c r="B32" i="62"/>
  <c r="A32" i="62"/>
  <c r="P32" i="62" s="1"/>
  <c r="S31" i="62"/>
  <c r="R31" i="62"/>
  <c r="P31" i="62"/>
  <c r="N31" i="62"/>
  <c r="M31" i="62"/>
  <c r="F31" i="62"/>
  <c r="C31" i="62"/>
  <c r="B31" i="62"/>
  <c r="A31" i="62"/>
  <c r="S30" i="62"/>
  <c r="R30" i="62"/>
  <c r="N30" i="62"/>
  <c r="M30" i="62"/>
  <c r="F30" i="62"/>
  <c r="C30" i="62"/>
  <c r="B30" i="62"/>
  <c r="A30" i="62"/>
  <c r="P30" i="62" s="1"/>
  <c r="S29" i="62"/>
  <c r="R29" i="62"/>
  <c r="P29" i="62"/>
  <c r="N29" i="62"/>
  <c r="M29" i="62"/>
  <c r="F29" i="62"/>
  <c r="C29" i="62"/>
  <c r="B29" i="62"/>
  <c r="A29" i="62"/>
  <c r="S28" i="62"/>
  <c r="R28" i="62"/>
  <c r="N28" i="62"/>
  <c r="M28" i="62"/>
  <c r="F28" i="62"/>
  <c r="C28" i="62"/>
  <c r="B28" i="62"/>
  <c r="A28" i="62"/>
  <c r="P28" i="62" s="1"/>
  <c r="S27" i="62"/>
  <c r="R27" i="62"/>
  <c r="P27" i="62"/>
  <c r="N27" i="62"/>
  <c r="M27" i="62"/>
  <c r="F27" i="62"/>
  <c r="C27" i="62"/>
  <c r="B27" i="62"/>
  <c r="A27" i="62"/>
  <c r="S26" i="62"/>
  <c r="R26" i="62"/>
  <c r="N26" i="62"/>
  <c r="M26" i="62"/>
  <c r="F26" i="62"/>
  <c r="C26" i="62"/>
  <c r="B26" i="62"/>
  <c r="A26" i="62"/>
  <c r="P26" i="62" s="1"/>
  <c r="S25" i="62"/>
  <c r="R25" i="62"/>
  <c r="P25" i="62"/>
  <c r="N25" i="62"/>
  <c r="M25" i="62"/>
  <c r="F25" i="62"/>
  <c r="C25" i="62"/>
  <c r="B25" i="62"/>
  <c r="A25" i="62"/>
  <c r="S24" i="62"/>
  <c r="R24" i="62"/>
  <c r="N24" i="62"/>
  <c r="M24" i="62"/>
  <c r="F24" i="62"/>
  <c r="C24" i="62"/>
  <c r="B24" i="62"/>
  <c r="A24" i="62"/>
  <c r="P24" i="62" s="1"/>
  <c r="S23" i="62"/>
  <c r="R23" i="62"/>
  <c r="P23" i="62"/>
  <c r="N23" i="62"/>
  <c r="M23" i="62"/>
  <c r="F23" i="62"/>
  <c r="C23" i="62"/>
  <c r="B23" i="62"/>
  <c r="A23" i="62"/>
  <c r="S22" i="62"/>
  <c r="R22" i="62"/>
  <c r="N22" i="62"/>
  <c r="M22" i="62"/>
  <c r="F22" i="62"/>
  <c r="C22" i="62"/>
  <c r="B22" i="62"/>
  <c r="A22" i="62"/>
  <c r="P22" i="62" s="1"/>
  <c r="S21" i="62"/>
  <c r="R21" i="62"/>
  <c r="P21" i="62"/>
  <c r="N21" i="62"/>
  <c r="M21" i="62"/>
  <c r="F21" i="62"/>
  <c r="C21" i="62"/>
  <c r="B21" i="62"/>
  <c r="A21" i="62"/>
  <c r="S20" i="62"/>
  <c r="R20" i="62"/>
  <c r="N20" i="62"/>
  <c r="M20" i="62"/>
  <c r="F20" i="62"/>
  <c r="C20" i="62"/>
  <c r="B20" i="62"/>
  <c r="A20" i="62"/>
  <c r="S19" i="62"/>
  <c r="R19" i="62"/>
  <c r="N19" i="62"/>
  <c r="M19" i="62"/>
  <c r="F19" i="62"/>
  <c r="C19" i="62"/>
  <c r="B19" i="62"/>
  <c r="A19" i="62"/>
  <c r="S18" i="62"/>
  <c r="R18" i="62"/>
  <c r="N18" i="62"/>
  <c r="M18" i="62"/>
  <c r="F18" i="62"/>
  <c r="C18" i="62"/>
  <c r="B18" i="62"/>
  <c r="A18" i="62"/>
  <c r="S17" i="62"/>
  <c r="R17" i="62"/>
  <c r="N17" i="62"/>
  <c r="M17" i="62"/>
  <c r="F17" i="62"/>
  <c r="C17" i="62"/>
  <c r="B17" i="62"/>
  <c r="A17" i="62"/>
  <c r="S16" i="62"/>
  <c r="R16" i="62"/>
  <c r="N16" i="62"/>
  <c r="M16" i="62"/>
  <c r="F16" i="62"/>
  <c r="C16" i="62"/>
  <c r="B16" i="62"/>
  <c r="A16" i="62"/>
  <c r="S15" i="62"/>
  <c r="R15" i="62"/>
  <c r="N15" i="62"/>
  <c r="M15" i="62"/>
  <c r="F15" i="62"/>
  <c r="C15" i="62"/>
  <c r="B15" i="62"/>
  <c r="A15" i="62"/>
  <c r="S14" i="62"/>
  <c r="R14" i="62"/>
  <c r="N14" i="62"/>
  <c r="M14" i="62"/>
  <c r="F14" i="62"/>
  <c r="C14" i="62"/>
  <c r="B14" i="62"/>
  <c r="A14" i="62"/>
  <c r="S13" i="62"/>
  <c r="R13" i="62"/>
  <c r="N13" i="62"/>
  <c r="M13" i="62"/>
  <c r="F13" i="62"/>
  <c r="C13" i="62"/>
  <c r="B13" i="62"/>
  <c r="A13" i="62"/>
  <c r="S12" i="62"/>
  <c r="R12" i="62"/>
  <c r="N12" i="62"/>
  <c r="M12" i="62"/>
  <c r="F12" i="62"/>
  <c r="C12" i="62"/>
  <c r="B12" i="62"/>
  <c r="A12" i="62"/>
  <c r="S11" i="62"/>
  <c r="R11" i="62"/>
  <c r="N11" i="62"/>
  <c r="N36" i="62" s="1"/>
  <c r="M11" i="62"/>
  <c r="M36" i="62" s="1"/>
  <c r="F11" i="62"/>
  <c r="F36" i="62" s="1"/>
  <c r="C11" i="62"/>
  <c r="B11" i="62"/>
  <c r="A11" i="62"/>
  <c r="O36" i="61"/>
  <c r="K36" i="61"/>
  <c r="J36" i="61"/>
  <c r="H36" i="61"/>
  <c r="G36" i="61"/>
  <c r="S35" i="61"/>
  <c r="R35" i="61"/>
  <c r="P35" i="61"/>
  <c r="N35" i="61"/>
  <c r="M35" i="61"/>
  <c r="F35" i="61"/>
  <c r="C35" i="61"/>
  <c r="B35" i="61"/>
  <c r="A35" i="61"/>
  <c r="S34" i="61"/>
  <c r="R34" i="61"/>
  <c r="N34" i="61"/>
  <c r="M34" i="61"/>
  <c r="F34" i="61"/>
  <c r="C34" i="61"/>
  <c r="B34" i="61"/>
  <c r="A34" i="61"/>
  <c r="P34" i="61" s="1"/>
  <c r="S33" i="61"/>
  <c r="R33" i="61"/>
  <c r="P33" i="61"/>
  <c r="N33" i="61"/>
  <c r="M33" i="61"/>
  <c r="F33" i="61"/>
  <c r="C33" i="61"/>
  <c r="B33" i="61"/>
  <c r="A33" i="61"/>
  <c r="S32" i="61"/>
  <c r="R32" i="61"/>
  <c r="N32" i="61"/>
  <c r="M32" i="61"/>
  <c r="F32" i="61"/>
  <c r="C32" i="61"/>
  <c r="B32" i="61"/>
  <c r="A32" i="61"/>
  <c r="P32" i="61" s="1"/>
  <c r="S31" i="61"/>
  <c r="R31" i="61"/>
  <c r="P31" i="61"/>
  <c r="N31" i="61"/>
  <c r="M31" i="61"/>
  <c r="F31" i="61"/>
  <c r="C31" i="61"/>
  <c r="B31" i="61"/>
  <c r="A31" i="61"/>
  <c r="S30" i="61"/>
  <c r="R30" i="61"/>
  <c r="N30" i="61"/>
  <c r="M30" i="61"/>
  <c r="F30" i="61"/>
  <c r="C30" i="61"/>
  <c r="B30" i="61"/>
  <c r="A30" i="61"/>
  <c r="P30" i="61" s="1"/>
  <c r="S29" i="61"/>
  <c r="R29" i="61"/>
  <c r="P29" i="61"/>
  <c r="N29" i="61"/>
  <c r="M29" i="61"/>
  <c r="F29" i="61"/>
  <c r="C29" i="61"/>
  <c r="B29" i="61"/>
  <c r="A29" i="61"/>
  <c r="S28" i="61"/>
  <c r="R28" i="61"/>
  <c r="N28" i="61"/>
  <c r="M28" i="61"/>
  <c r="F28" i="61"/>
  <c r="C28" i="61"/>
  <c r="B28" i="61"/>
  <c r="A28" i="61"/>
  <c r="P28" i="61" s="1"/>
  <c r="S27" i="61"/>
  <c r="R27" i="61"/>
  <c r="P27" i="61"/>
  <c r="N27" i="61"/>
  <c r="M27" i="61"/>
  <c r="F27" i="61"/>
  <c r="C27" i="61"/>
  <c r="B27" i="61"/>
  <c r="A27" i="61"/>
  <c r="S26" i="61"/>
  <c r="R26" i="61"/>
  <c r="N26" i="61"/>
  <c r="M26" i="61"/>
  <c r="F26" i="61"/>
  <c r="C26" i="61"/>
  <c r="B26" i="61"/>
  <c r="A26" i="61"/>
  <c r="P26" i="61" s="1"/>
  <c r="S25" i="61"/>
  <c r="R25" i="61"/>
  <c r="P25" i="61"/>
  <c r="N25" i="61"/>
  <c r="M25" i="61"/>
  <c r="F25" i="61"/>
  <c r="C25" i="61"/>
  <c r="B25" i="61"/>
  <c r="A25" i="61"/>
  <c r="S24" i="61"/>
  <c r="R24" i="61"/>
  <c r="N24" i="61"/>
  <c r="M24" i="61"/>
  <c r="F24" i="61"/>
  <c r="C24" i="61"/>
  <c r="B24" i="61"/>
  <c r="A24" i="61"/>
  <c r="P24" i="61" s="1"/>
  <c r="S23" i="61"/>
  <c r="R23" i="61"/>
  <c r="P23" i="61"/>
  <c r="N23" i="61"/>
  <c r="M23" i="61"/>
  <c r="F23" i="61"/>
  <c r="C23" i="61"/>
  <c r="B23" i="61"/>
  <c r="A23" i="61"/>
  <c r="S22" i="61"/>
  <c r="R22" i="61"/>
  <c r="N22" i="61"/>
  <c r="M22" i="61"/>
  <c r="F22" i="61"/>
  <c r="C22" i="61"/>
  <c r="B22" i="61"/>
  <c r="A22" i="61"/>
  <c r="P22" i="61" s="1"/>
  <c r="S21" i="61"/>
  <c r="R21" i="61"/>
  <c r="P21" i="61"/>
  <c r="N21" i="61"/>
  <c r="M21" i="61"/>
  <c r="F21" i="61"/>
  <c r="C21" i="61"/>
  <c r="B21" i="61"/>
  <c r="A21" i="61"/>
  <c r="S20" i="61"/>
  <c r="R20" i="61"/>
  <c r="N20" i="61"/>
  <c r="M20" i="61"/>
  <c r="F20" i="61"/>
  <c r="C20" i="61"/>
  <c r="B20" i="61"/>
  <c r="A20" i="61"/>
  <c r="S19" i="61"/>
  <c r="R19" i="61"/>
  <c r="N19" i="61"/>
  <c r="M19" i="61"/>
  <c r="F19" i="61"/>
  <c r="C19" i="61"/>
  <c r="B19" i="61"/>
  <c r="A19" i="61"/>
  <c r="S18" i="61"/>
  <c r="R18" i="61"/>
  <c r="N18" i="61"/>
  <c r="M18" i="61"/>
  <c r="F18" i="61"/>
  <c r="C18" i="61"/>
  <c r="B18" i="61"/>
  <c r="A18" i="61"/>
  <c r="S17" i="61"/>
  <c r="R17" i="61"/>
  <c r="N17" i="61"/>
  <c r="M17" i="61"/>
  <c r="F17" i="61"/>
  <c r="C17" i="61"/>
  <c r="B17" i="61"/>
  <c r="A17" i="61"/>
  <c r="S16" i="61"/>
  <c r="R16" i="61"/>
  <c r="N16" i="61"/>
  <c r="M16" i="61"/>
  <c r="F16" i="61"/>
  <c r="C16" i="61"/>
  <c r="B16" i="61"/>
  <c r="A16" i="61"/>
  <c r="S15" i="61"/>
  <c r="R15" i="61"/>
  <c r="N15" i="61"/>
  <c r="M15" i="61"/>
  <c r="F15" i="61"/>
  <c r="C15" i="61"/>
  <c r="B15" i="61"/>
  <c r="A15" i="61"/>
  <c r="S14" i="61"/>
  <c r="R14" i="61"/>
  <c r="N14" i="61"/>
  <c r="M14" i="61"/>
  <c r="F14" i="61"/>
  <c r="C14" i="61"/>
  <c r="B14" i="61"/>
  <c r="A14" i="61"/>
  <c r="S13" i="61"/>
  <c r="R13" i="61"/>
  <c r="N13" i="61"/>
  <c r="M13" i="61"/>
  <c r="F13" i="61"/>
  <c r="C13" i="61"/>
  <c r="B13" i="61"/>
  <c r="A13" i="61"/>
  <c r="S12" i="61"/>
  <c r="R12" i="61"/>
  <c r="N12" i="61"/>
  <c r="M12" i="61"/>
  <c r="F12" i="61"/>
  <c r="C12" i="61"/>
  <c r="B12" i="61"/>
  <c r="A12" i="61"/>
  <c r="S11" i="61"/>
  <c r="R11" i="61"/>
  <c r="N11" i="61"/>
  <c r="M11" i="61"/>
  <c r="F11" i="61"/>
  <c r="C11" i="61"/>
  <c r="B11" i="61"/>
  <c r="A11" i="61"/>
  <c r="O36" i="60"/>
  <c r="K36" i="60"/>
  <c r="J36" i="60"/>
  <c r="H36" i="60"/>
  <c r="G36" i="60"/>
  <c r="S35" i="60"/>
  <c r="R35" i="60"/>
  <c r="N35" i="60"/>
  <c r="M35" i="60"/>
  <c r="F35" i="60"/>
  <c r="C35" i="60"/>
  <c r="B35" i="60"/>
  <c r="A35" i="60"/>
  <c r="P35" i="60" s="1"/>
  <c r="S34" i="60"/>
  <c r="R34" i="60"/>
  <c r="N34" i="60"/>
  <c r="M34" i="60"/>
  <c r="F34" i="60"/>
  <c r="C34" i="60"/>
  <c r="B34" i="60"/>
  <c r="A34" i="60"/>
  <c r="P34" i="60" s="1"/>
  <c r="S33" i="60"/>
  <c r="R33" i="60"/>
  <c r="N33" i="60"/>
  <c r="M33" i="60"/>
  <c r="F33" i="60"/>
  <c r="C33" i="60"/>
  <c r="B33" i="60"/>
  <c r="A33" i="60"/>
  <c r="P33" i="60" s="1"/>
  <c r="S32" i="60"/>
  <c r="R32" i="60"/>
  <c r="N32" i="60"/>
  <c r="M32" i="60"/>
  <c r="F32" i="60"/>
  <c r="C32" i="60"/>
  <c r="B32" i="60"/>
  <c r="A32" i="60"/>
  <c r="P32" i="60" s="1"/>
  <c r="S31" i="60"/>
  <c r="R31" i="60"/>
  <c r="P31" i="60"/>
  <c r="N31" i="60"/>
  <c r="M31" i="60"/>
  <c r="F31" i="60"/>
  <c r="C31" i="60"/>
  <c r="B31" i="60"/>
  <c r="A31" i="60"/>
  <c r="S30" i="60"/>
  <c r="R30" i="60"/>
  <c r="P30" i="60"/>
  <c r="N30" i="60"/>
  <c r="M30" i="60"/>
  <c r="F30" i="60"/>
  <c r="C30" i="60"/>
  <c r="B30" i="60"/>
  <c r="A30" i="60"/>
  <c r="S29" i="60"/>
  <c r="R29" i="60"/>
  <c r="P29" i="60"/>
  <c r="N29" i="60"/>
  <c r="M29" i="60"/>
  <c r="F29" i="60"/>
  <c r="C29" i="60"/>
  <c r="B29" i="60"/>
  <c r="A29" i="60"/>
  <c r="S28" i="60"/>
  <c r="R28" i="60"/>
  <c r="P28" i="60"/>
  <c r="N28" i="60"/>
  <c r="M28" i="60"/>
  <c r="F28" i="60"/>
  <c r="C28" i="60"/>
  <c r="B28" i="60"/>
  <c r="A28" i="60"/>
  <c r="S27" i="60"/>
  <c r="R27" i="60"/>
  <c r="N27" i="60"/>
  <c r="M27" i="60"/>
  <c r="F27" i="60"/>
  <c r="C27" i="60"/>
  <c r="B27" i="60"/>
  <c r="A27" i="60"/>
  <c r="P27" i="60" s="1"/>
  <c r="S26" i="60"/>
  <c r="R26" i="60"/>
  <c r="N26" i="60"/>
  <c r="M26" i="60"/>
  <c r="F26" i="60"/>
  <c r="C26" i="60"/>
  <c r="B26" i="60"/>
  <c r="A26" i="60"/>
  <c r="P26" i="60" s="1"/>
  <c r="S25" i="60"/>
  <c r="R25" i="60"/>
  <c r="N25" i="60"/>
  <c r="M25" i="60"/>
  <c r="F25" i="60"/>
  <c r="C25" i="60"/>
  <c r="B25" i="60"/>
  <c r="A25" i="60"/>
  <c r="P25" i="60" s="1"/>
  <c r="S24" i="60"/>
  <c r="R24" i="60"/>
  <c r="N24" i="60"/>
  <c r="M24" i="60"/>
  <c r="F24" i="60"/>
  <c r="C24" i="60"/>
  <c r="B24" i="60"/>
  <c r="A24" i="60"/>
  <c r="P24" i="60" s="1"/>
  <c r="S23" i="60"/>
  <c r="R23" i="60"/>
  <c r="P23" i="60"/>
  <c r="N23" i="60"/>
  <c r="M23" i="60"/>
  <c r="I21" i="51" s="1"/>
  <c r="F23" i="60"/>
  <c r="C23" i="60"/>
  <c r="B23" i="60"/>
  <c r="A23" i="60"/>
  <c r="S22" i="60"/>
  <c r="R22" i="60"/>
  <c r="P22" i="60"/>
  <c r="N22" i="60"/>
  <c r="M22" i="60"/>
  <c r="F22" i="60"/>
  <c r="C22" i="60"/>
  <c r="B22" i="60"/>
  <c r="A22" i="60"/>
  <c r="S21" i="60"/>
  <c r="R21" i="60"/>
  <c r="P21" i="60"/>
  <c r="N21" i="60"/>
  <c r="M21" i="60"/>
  <c r="F21" i="60"/>
  <c r="C21" i="60"/>
  <c r="B21" i="60"/>
  <c r="A21" i="60"/>
  <c r="S20" i="60"/>
  <c r="R20" i="60"/>
  <c r="N20" i="60"/>
  <c r="M20" i="60"/>
  <c r="F20" i="60"/>
  <c r="C20" i="60"/>
  <c r="B20" i="60"/>
  <c r="A20" i="60"/>
  <c r="S19" i="60"/>
  <c r="R19" i="60"/>
  <c r="N19" i="60"/>
  <c r="M19" i="60"/>
  <c r="F19" i="60"/>
  <c r="C19" i="60"/>
  <c r="B19" i="60"/>
  <c r="A19" i="60"/>
  <c r="S18" i="60"/>
  <c r="R18" i="60"/>
  <c r="N18" i="60"/>
  <c r="M18" i="60"/>
  <c r="F18" i="60"/>
  <c r="C18" i="60"/>
  <c r="B18" i="60"/>
  <c r="A18" i="60"/>
  <c r="S17" i="60"/>
  <c r="R17" i="60"/>
  <c r="N17" i="60"/>
  <c r="M17" i="60"/>
  <c r="F17" i="60"/>
  <c r="C17" i="60"/>
  <c r="B17" i="60"/>
  <c r="A17" i="60"/>
  <c r="S16" i="60"/>
  <c r="R16" i="60"/>
  <c r="N16" i="60"/>
  <c r="M16" i="60"/>
  <c r="F16" i="60"/>
  <c r="C16" i="60"/>
  <c r="B16" i="60"/>
  <c r="A16" i="60"/>
  <c r="S15" i="60"/>
  <c r="R15" i="60"/>
  <c r="N15" i="60"/>
  <c r="M15" i="60"/>
  <c r="F15" i="60"/>
  <c r="C15" i="60"/>
  <c r="B15" i="60"/>
  <c r="A15" i="60"/>
  <c r="S14" i="60"/>
  <c r="R14" i="60"/>
  <c r="N14" i="60"/>
  <c r="M14" i="60"/>
  <c r="F14" i="60"/>
  <c r="C14" i="60"/>
  <c r="B14" i="60"/>
  <c r="A14" i="60"/>
  <c r="S13" i="60"/>
  <c r="R13" i="60"/>
  <c r="N13" i="60"/>
  <c r="M13" i="60"/>
  <c r="F13" i="60"/>
  <c r="C13" i="60"/>
  <c r="B13" i="60"/>
  <c r="A13" i="60"/>
  <c r="S12" i="60"/>
  <c r="R12" i="60"/>
  <c r="N12" i="60"/>
  <c r="M12" i="60"/>
  <c r="F12" i="60"/>
  <c r="C12" i="60"/>
  <c r="B12" i="60"/>
  <c r="A12" i="60"/>
  <c r="S11" i="60"/>
  <c r="R11" i="60"/>
  <c r="N11" i="60"/>
  <c r="M11" i="60"/>
  <c r="F11" i="60"/>
  <c r="C11" i="60"/>
  <c r="B11" i="60"/>
  <c r="A11" i="60"/>
  <c r="O36" i="59"/>
  <c r="K36" i="59"/>
  <c r="J36" i="59"/>
  <c r="H36" i="59"/>
  <c r="G36" i="59"/>
  <c r="S35" i="59"/>
  <c r="R35" i="59"/>
  <c r="N35" i="59"/>
  <c r="M35" i="59"/>
  <c r="F35" i="59"/>
  <c r="C35" i="59"/>
  <c r="B35" i="59"/>
  <c r="A35" i="59"/>
  <c r="P35" i="59" s="1"/>
  <c r="S34" i="59"/>
  <c r="R34" i="59"/>
  <c r="N34" i="59"/>
  <c r="M34" i="59"/>
  <c r="F34" i="59"/>
  <c r="C34" i="59"/>
  <c r="B34" i="59"/>
  <c r="A34" i="59"/>
  <c r="P34" i="59" s="1"/>
  <c r="S33" i="59"/>
  <c r="R33" i="59"/>
  <c r="P33" i="59"/>
  <c r="N33" i="59"/>
  <c r="M33" i="59"/>
  <c r="F33" i="59"/>
  <c r="C33" i="59"/>
  <c r="B33" i="59"/>
  <c r="A33" i="59"/>
  <c r="S32" i="59"/>
  <c r="R32" i="59"/>
  <c r="N32" i="59"/>
  <c r="M32" i="59"/>
  <c r="F32" i="59"/>
  <c r="C32" i="59"/>
  <c r="B32" i="59"/>
  <c r="A32" i="59"/>
  <c r="P32" i="59" s="1"/>
  <c r="S31" i="59"/>
  <c r="R31" i="59"/>
  <c r="P31" i="59"/>
  <c r="N31" i="59"/>
  <c r="M31" i="59"/>
  <c r="F31" i="59"/>
  <c r="C31" i="59"/>
  <c r="B31" i="59"/>
  <c r="A31" i="59"/>
  <c r="S30" i="59"/>
  <c r="R30" i="59"/>
  <c r="P30" i="59"/>
  <c r="N30" i="59"/>
  <c r="M30" i="59"/>
  <c r="F30" i="59"/>
  <c r="C30" i="59"/>
  <c r="B30" i="59"/>
  <c r="A30" i="59"/>
  <c r="S29" i="59"/>
  <c r="R29" i="59"/>
  <c r="P29" i="59"/>
  <c r="N29" i="59"/>
  <c r="M29" i="59"/>
  <c r="F29" i="59"/>
  <c r="C29" i="59"/>
  <c r="B29" i="59"/>
  <c r="A29" i="59"/>
  <c r="S28" i="59"/>
  <c r="R28" i="59"/>
  <c r="N28" i="59"/>
  <c r="M28" i="59"/>
  <c r="F28" i="59"/>
  <c r="C28" i="59"/>
  <c r="B28" i="59"/>
  <c r="A28" i="59"/>
  <c r="P28" i="59" s="1"/>
  <c r="S27" i="59"/>
  <c r="R27" i="59"/>
  <c r="N27" i="59"/>
  <c r="M27" i="59"/>
  <c r="F27" i="59"/>
  <c r="C27" i="59"/>
  <c r="B27" i="59"/>
  <c r="A27" i="59"/>
  <c r="P27" i="59" s="1"/>
  <c r="S26" i="59"/>
  <c r="R26" i="59"/>
  <c r="N26" i="59"/>
  <c r="M26" i="59"/>
  <c r="F26" i="59"/>
  <c r="C26" i="59"/>
  <c r="B26" i="59"/>
  <c r="A26" i="59"/>
  <c r="P26" i="59" s="1"/>
  <c r="S25" i="59"/>
  <c r="R25" i="59"/>
  <c r="P25" i="59"/>
  <c r="N25" i="59"/>
  <c r="M25" i="59"/>
  <c r="F25" i="59"/>
  <c r="C25" i="59"/>
  <c r="B25" i="59"/>
  <c r="A25" i="59"/>
  <c r="S24" i="59"/>
  <c r="R24" i="59"/>
  <c r="N24" i="59"/>
  <c r="M24" i="59"/>
  <c r="F24" i="59"/>
  <c r="C24" i="59"/>
  <c r="B24" i="59"/>
  <c r="A24" i="59"/>
  <c r="P24" i="59" s="1"/>
  <c r="S23" i="59"/>
  <c r="R23" i="59"/>
  <c r="P23" i="59"/>
  <c r="N23" i="59"/>
  <c r="M23" i="59"/>
  <c r="F23" i="59"/>
  <c r="C23" i="59"/>
  <c r="B23" i="59"/>
  <c r="A23" i="59"/>
  <c r="S22" i="59"/>
  <c r="R22" i="59"/>
  <c r="P22" i="59"/>
  <c r="N22" i="59"/>
  <c r="M22" i="59"/>
  <c r="F22" i="59"/>
  <c r="C22" i="59"/>
  <c r="B22" i="59"/>
  <c r="A22" i="59"/>
  <c r="S21" i="59"/>
  <c r="R21" i="59"/>
  <c r="P21" i="59"/>
  <c r="N21" i="59"/>
  <c r="M21" i="59"/>
  <c r="F21" i="59"/>
  <c r="C21" i="59"/>
  <c r="B21" i="59"/>
  <c r="A21" i="59"/>
  <c r="S20" i="59"/>
  <c r="R20" i="59"/>
  <c r="N20" i="59"/>
  <c r="M20" i="59"/>
  <c r="F20" i="59"/>
  <c r="C20" i="59"/>
  <c r="B20" i="59"/>
  <c r="A20" i="59"/>
  <c r="S19" i="59"/>
  <c r="R19" i="59"/>
  <c r="N19" i="59"/>
  <c r="M19" i="59"/>
  <c r="F19" i="59"/>
  <c r="C19" i="59"/>
  <c r="B19" i="59"/>
  <c r="A19" i="59"/>
  <c r="S18" i="59"/>
  <c r="R18" i="59"/>
  <c r="N18" i="59"/>
  <c r="M18" i="59"/>
  <c r="F18" i="59"/>
  <c r="C18" i="59"/>
  <c r="B18" i="59"/>
  <c r="A18" i="59"/>
  <c r="S17" i="59"/>
  <c r="R17" i="59"/>
  <c r="N17" i="59"/>
  <c r="M17" i="59"/>
  <c r="F17" i="59"/>
  <c r="C17" i="59"/>
  <c r="B17" i="59"/>
  <c r="A17" i="59"/>
  <c r="S16" i="59"/>
  <c r="R16" i="59"/>
  <c r="N16" i="59"/>
  <c r="M16" i="59"/>
  <c r="F16" i="59"/>
  <c r="C16" i="59"/>
  <c r="B16" i="59"/>
  <c r="A16" i="59"/>
  <c r="S15" i="59"/>
  <c r="R15" i="59"/>
  <c r="N15" i="59"/>
  <c r="M15" i="59"/>
  <c r="F15" i="59"/>
  <c r="C15" i="59"/>
  <c r="B15" i="59"/>
  <c r="A15" i="59"/>
  <c r="S14" i="59"/>
  <c r="R14" i="59"/>
  <c r="N14" i="59"/>
  <c r="M14" i="59"/>
  <c r="F14" i="59"/>
  <c r="C14" i="59"/>
  <c r="B14" i="59"/>
  <c r="A14" i="59"/>
  <c r="S13" i="59"/>
  <c r="R13" i="59"/>
  <c r="N13" i="59"/>
  <c r="M13" i="59"/>
  <c r="F13" i="59"/>
  <c r="C13" i="59"/>
  <c r="B13" i="59"/>
  <c r="A13" i="59"/>
  <c r="S12" i="59"/>
  <c r="R12" i="59"/>
  <c r="N12" i="59"/>
  <c r="M12" i="59"/>
  <c r="F12" i="59"/>
  <c r="C12" i="59"/>
  <c r="B12" i="59"/>
  <c r="A12" i="59"/>
  <c r="S11" i="59"/>
  <c r="R11" i="59"/>
  <c r="N11" i="59"/>
  <c r="M11" i="59"/>
  <c r="F11" i="59"/>
  <c r="F36" i="59" s="1"/>
  <c r="C11" i="59"/>
  <c r="B11" i="59"/>
  <c r="A11" i="59"/>
  <c r="O36" i="58"/>
  <c r="K36" i="58"/>
  <c r="J36" i="58"/>
  <c r="H36" i="58"/>
  <c r="G36" i="58"/>
  <c r="S35" i="58"/>
  <c r="R35" i="58"/>
  <c r="P35" i="58"/>
  <c r="N35" i="58"/>
  <c r="M35" i="58"/>
  <c r="F35" i="58"/>
  <c r="C35" i="58"/>
  <c r="B35" i="58"/>
  <c r="A35" i="58"/>
  <c r="S34" i="58"/>
  <c r="R34" i="58"/>
  <c r="N34" i="58"/>
  <c r="M34" i="58"/>
  <c r="F34" i="58"/>
  <c r="C34" i="58"/>
  <c r="B34" i="58"/>
  <c r="A34" i="58"/>
  <c r="P34" i="58" s="1"/>
  <c r="S33" i="58"/>
  <c r="R33" i="58"/>
  <c r="P33" i="58"/>
  <c r="N33" i="58"/>
  <c r="M33" i="58"/>
  <c r="F33" i="58"/>
  <c r="C33" i="58"/>
  <c r="B33" i="58"/>
  <c r="A33" i="58"/>
  <c r="S32" i="58"/>
  <c r="R32" i="58"/>
  <c r="P32" i="58"/>
  <c r="N32" i="58"/>
  <c r="M32" i="58"/>
  <c r="F32" i="58"/>
  <c r="C32" i="58"/>
  <c r="B32" i="58"/>
  <c r="A32" i="58"/>
  <c r="S31" i="58"/>
  <c r="R31" i="58"/>
  <c r="P31" i="58"/>
  <c r="N31" i="58"/>
  <c r="M31" i="58"/>
  <c r="F31" i="58"/>
  <c r="C31" i="58"/>
  <c r="B31" i="58"/>
  <c r="A31" i="58"/>
  <c r="S30" i="58"/>
  <c r="R30" i="58"/>
  <c r="N30" i="58"/>
  <c r="M30" i="58"/>
  <c r="F30" i="58"/>
  <c r="C30" i="58"/>
  <c r="B30" i="58"/>
  <c r="A30" i="58"/>
  <c r="P30" i="58" s="1"/>
  <c r="S29" i="58"/>
  <c r="R29" i="58"/>
  <c r="N29" i="58"/>
  <c r="M29" i="58"/>
  <c r="F29" i="58"/>
  <c r="C29" i="58"/>
  <c r="B29" i="58"/>
  <c r="A29" i="58"/>
  <c r="P29" i="58" s="1"/>
  <c r="S28" i="58"/>
  <c r="R28" i="58"/>
  <c r="N28" i="58"/>
  <c r="M28" i="58"/>
  <c r="F28" i="58"/>
  <c r="C28" i="58"/>
  <c r="B28" i="58"/>
  <c r="A28" i="58"/>
  <c r="P28" i="58" s="1"/>
  <c r="S27" i="58"/>
  <c r="R27" i="58"/>
  <c r="P27" i="58"/>
  <c r="N27" i="58"/>
  <c r="M27" i="58"/>
  <c r="F27" i="58"/>
  <c r="C27" i="58"/>
  <c r="B27" i="58"/>
  <c r="A27" i="58"/>
  <c r="S26" i="58"/>
  <c r="R26" i="58"/>
  <c r="N26" i="58"/>
  <c r="M26" i="58"/>
  <c r="I24" i="50" s="1"/>
  <c r="F26" i="58"/>
  <c r="C26" i="58"/>
  <c r="B26" i="58"/>
  <c r="A26" i="58"/>
  <c r="P26" i="58" s="1"/>
  <c r="S25" i="58"/>
  <c r="R25" i="58"/>
  <c r="P25" i="58"/>
  <c r="N25" i="58"/>
  <c r="M25" i="58"/>
  <c r="F25" i="58"/>
  <c r="C25" i="58"/>
  <c r="B25" i="58"/>
  <c r="A25" i="58"/>
  <c r="S24" i="58"/>
  <c r="R24" i="58"/>
  <c r="P24" i="58"/>
  <c r="N24" i="58"/>
  <c r="M24" i="58"/>
  <c r="F24" i="58"/>
  <c r="C24" i="58"/>
  <c r="B24" i="58"/>
  <c r="A24" i="58"/>
  <c r="S23" i="58"/>
  <c r="R23" i="58"/>
  <c r="P23" i="58"/>
  <c r="N23" i="58"/>
  <c r="M23" i="58"/>
  <c r="F23" i="58"/>
  <c r="C23" i="58"/>
  <c r="B23" i="58"/>
  <c r="A23" i="58"/>
  <c r="S22" i="58"/>
  <c r="R22" i="58"/>
  <c r="P22" i="58"/>
  <c r="N22" i="58"/>
  <c r="M22" i="58"/>
  <c r="F22" i="58"/>
  <c r="C22" i="58"/>
  <c r="B22" i="58"/>
  <c r="A22" i="58"/>
  <c r="S21" i="58"/>
  <c r="R21" i="58"/>
  <c r="N21" i="58"/>
  <c r="M21" i="58"/>
  <c r="F21" i="58"/>
  <c r="C21" i="58"/>
  <c r="B21" i="58"/>
  <c r="A21" i="58"/>
  <c r="P21" i="58" s="1"/>
  <c r="S20" i="58"/>
  <c r="R20" i="58"/>
  <c r="N20" i="58"/>
  <c r="M20" i="58"/>
  <c r="F20" i="58"/>
  <c r="C20" i="58"/>
  <c r="B20" i="58"/>
  <c r="A20" i="58"/>
  <c r="S19" i="58"/>
  <c r="R19" i="58"/>
  <c r="N19" i="58"/>
  <c r="M19" i="58"/>
  <c r="F19" i="58"/>
  <c r="C19" i="58"/>
  <c r="B19" i="58"/>
  <c r="A19" i="58"/>
  <c r="S18" i="58"/>
  <c r="R18" i="58"/>
  <c r="N18" i="58"/>
  <c r="M18" i="58"/>
  <c r="F18" i="58"/>
  <c r="C18" i="58"/>
  <c r="B18" i="58"/>
  <c r="A18" i="58"/>
  <c r="S17" i="58"/>
  <c r="R17" i="58"/>
  <c r="N17" i="58"/>
  <c r="M17" i="58"/>
  <c r="F17" i="58"/>
  <c r="C17" i="58"/>
  <c r="B17" i="58"/>
  <c r="A17" i="58"/>
  <c r="S16" i="58"/>
  <c r="R16" i="58"/>
  <c r="N16" i="58"/>
  <c r="M16" i="58"/>
  <c r="F16" i="58"/>
  <c r="C16" i="58"/>
  <c r="B16" i="58"/>
  <c r="A16" i="58"/>
  <c r="S15" i="58"/>
  <c r="R15" i="58"/>
  <c r="N15" i="58"/>
  <c r="M15" i="58"/>
  <c r="F15" i="58"/>
  <c r="C15" i="58"/>
  <c r="B15" i="58"/>
  <c r="A15" i="58"/>
  <c r="S14" i="58"/>
  <c r="R14" i="58"/>
  <c r="N14" i="58"/>
  <c r="M14" i="58"/>
  <c r="F14" i="58"/>
  <c r="C14" i="58"/>
  <c r="B14" i="58"/>
  <c r="A14" i="58"/>
  <c r="S13" i="58"/>
  <c r="R13" i="58"/>
  <c r="N13" i="58"/>
  <c r="M13" i="58"/>
  <c r="F13" i="58"/>
  <c r="C13" i="58"/>
  <c r="B13" i="58"/>
  <c r="A13" i="58"/>
  <c r="S12" i="58"/>
  <c r="R12" i="58"/>
  <c r="N12" i="58"/>
  <c r="M12" i="58"/>
  <c r="F12" i="58"/>
  <c r="C12" i="58"/>
  <c r="B12" i="58"/>
  <c r="A12" i="58"/>
  <c r="S11" i="58"/>
  <c r="R11" i="58"/>
  <c r="N11" i="58"/>
  <c r="M11" i="58"/>
  <c r="M36" i="58" s="1"/>
  <c r="F11" i="58"/>
  <c r="C11" i="58"/>
  <c r="B11" i="58"/>
  <c r="A11" i="58"/>
  <c r="O36" i="57"/>
  <c r="K36" i="57"/>
  <c r="J36" i="57"/>
  <c r="H36" i="57"/>
  <c r="G36" i="57"/>
  <c r="S35" i="57"/>
  <c r="R35" i="57"/>
  <c r="P35" i="57"/>
  <c r="N35" i="57"/>
  <c r="M35" i="57"/>
  <c r="F35" i="57"/>
  <c r="C35" i="57"/>
  <c r="B35" i="57"/>
  <c r="A35" i="57"/>
  <c r="S34" i="57"/>
  <c r="R34" i="57"/>
  <c r="N34" i="57"/>
  <c r="M34" i="57"/>
  <c r="F34" i="57"/>
  <c r="C34" i="57"/>
  <c r="B34" i="57"/>
  <c r="A34" i="57"/>
  <c r="P34" i="57" s="1"/>
  <c r="S33" i="57"/>
  <c r="R33" i="57"/>
  <c r="P33" i="57"/>
  <c r="N33" i="57"/>
  <c r="M33" i="57"/>
  <c r="F33" i="57"/>
  <c r="C33" i="57"/>
  <c r="B33" i="57"/>
  <c r="A33" i="57"/>
  <c r="S32" i="57"/>
  <c r="R32" i="57"/>
  <c r="N32" i="57"/>
  <c r="M32" i="57"/>
  <c r="F32" i="57"/>
  <c r="C32" i="57"/>
  <c r="B32" i="57"/>
  <c r="A32" i="57"/>
  <c r="P32" i="57" s="1"/>
  <c r="S31" i="57"/>
  <c r="R31" i="57"/>
  <c r="N31" i="57"/>
  <c r="M31" i="57"/>
  <c r="F31" i="57"/>
  <c r="C31" i="57"/>
  <c r="B31" i="57"/>
  <c r="A31" i="57"/>
  <c r="P31" i="57" s="1"/>
  <c r="S30" i="57"/>
  <c r="R30" i="57"/>
  <c r="N30" i="57"/>
  <c r="M30" i="57"/>
  <c r="F30" i="57"/>
  <c r="C30" i="57"/>
  <c r="B30" i="57"/>
  <c r="A30" i="57"/>
  <c r="P30" i="57" s="1"/>
  <c r="S29" i="57"/>
  <c r="R29" i="57"/>
  <c r="N29" i="57"/>
  <c r="M29" i="57"/>
  <c r="F29" i="57"/>
  <c r="C29" i="57"/>
  <c r="B29" i="57"/>
  <c r="A29" i="57"/>
  <c r="P29" i="57" s="1"/>
  <c r="S28" i="57"/>
  <c r="R28" i="57"/>
  <c r="N28" i="57"/>
  <c r="M28" i="57"/>
  <c r="F28" i="57"/>
  <c r="C28" i="57"/>
  <c r="B28" i="57"/>
  <c r="A28" i="57"/>
  <c r="P28" i="57" s="1"/>
  <c r="S27" i="57"/>
  <c r="R27" i="57"/>
  <c r="P27" i="57"/>
  <c r="N27" i="57"/>
  <c r="M27" i="57"/>
  <c r="F27" i="57"/>
  <c r="C27" i="57"/>
  <c r="B27" i="57"/>
  <c r="A27" i="57"/>
  <c r="S26" i="57"/>
  <c r="R26" i="57"/>
  <c r="P26" i="57"/>
  <c r="N26" i="57"/>
  <c r="M26" i="57"/>
  <c r="F26" i="57"/>
  <c r="C26" i="57"/>
  <c r="B26" i="57"/>
  <c r="A26" i="57"/>
  <c r="S25" i="57"/>
  <c r="R25" i="57"/>
  <c r="P25" i="57"/>
  <c r="N25" i="57"/>
  <c r="M25" i="57"/>
  <c r="F25" i="57"/>
  <c r="C25" i="57"/>
  <c r="B25" i="57"/>
  <c r="A25" i="57"/>
  <c r="S24" i="57"/>
  <c r="R24" i="57"/>
  <c r="N24" i="57"/>
  <c r="M24" i="57"/>
  <c r="F24" i="57"/>
  <c r="C24" i="57"/>
  <c r="B24" i="57"/>
  <c r="A24" i="57"/>
  <c r="P24" i="57" s="1"/>
  <c r="S23" i="57"/>
  <c r="R23" i="57"/>
  <c r="N23" i="57"/>
  <c r="M23" i="57"/>
  <c r="F23" i="57"/>
  <c r="C23" i="57"/>
  <c r="B23" i="57"/>
  <c r="A23" i="57"/>
  <c r="P23" i="57" s="1"/>
  <c r="S22" i="57"/>
  <c r="R22" i="57"/>
  <c r="N22" i="57"/>
  <c r="M22" i="57"/>
  <c r="F22" i="57"/>
  <c r="C22" i="57"/>
  <c r="B22" i="57"/>
  <c r="A22" i="57"/>
  <c r="P22" i="57" s="1"/>
  <c r="S21" i="57"/>
  <c r="R21" i="57"/>
  <c r="N21" i="57"/>
  <c r="M21" i="57"/>
  <c r="F21" i="57"/>
  <c r="C21" i="57"/>
  <c r="B21" i="57"/>
  <c r="A21" i="57"/>
  <c r="P21" i="57" s="1"/>
  <c r="S20" i="57"/>
  <c r="R20" i="57"/>
  <c r="N20" i="57"/>
  <c r="M20" i="57"/>
  <c r="F20" i="57"/>
  <c r="C20" i="57"/>
  <c r="B20" i="57"/>
  <c r="A20" i="57"/>
  <c r="S19" i="57"/>
  <c r="R19" i="57"/>
  <c r="N19" i="57"/>
  <c r="M19" i="57"/>
  <c r="F19" i="57"/>
  <c r="C19" i="57"/>
  <c r="B19" i="57"/>
  <c r="A19" i="57"/>
  <c r="S18" i="57"/>
  <c r="R18" i="57"/>
  <c r="N18" i="57"/>
  <c r="M18" i="57"/>
  <c r="F18" i="57"/>
  <c r="C18" i="57"/>
  <c r="B18" i="57"/>
  <c r="A18" i="57"/>
  <c r="S17" i="57"/>
  <c r="R17" i="57"/>
  <c r="N17" i="57"/>
  <c r="M17" i="57"/>
  <c r="F17" i="57"/>
  <c r="C17" i="57"/>
  <c r="B17" i="57"/>
  <c r="A17" i="57"/>
  <c r="S16" i="57"/>
  <c r="R16" i="57"/>
  <c r="N16" i="57"/>
  <c r="M16" i="57"/>
  <c r="F16" i="57"/>
  <c r="C16" i="57"/>
  <c r="B16" i="57"/>
  <c r="A16" i="57"/>
  <c r="S15" i="57"/>
  <c r="R15" i="57"/>
  <c r="N15" i="57"/>
  <c r="M15" i="57"/>
  <c r="F15" i="57"/>
  <c r="C15" i="57"/>
  <c r="B15" i="57"/>
  <c r="A15" i="57"/>
  <c r="S14" i="57"/>
  <c r="R14" i="57"/>
  <c r="N14" i="57"/>
  <c r="M14" i="57"/>
  <c r="F14" i="57"/>
  <c r="C14" i="57"/>
  <c r="B14" i="57"/>
  <c r="A14" i="57"/>
  <c r="S13" i="57"/>
  <c r="R13" i="57"/>
  <c r="N13" i="57"/>
  <c r="M13" i="57"/>
  <c r="F13" i="57"/>
  <c r="C13" i="57"/>
  <c r="B13" i="57"/>
  <c r="A13" i="57"/>
  <c r="S12" i="57"/>
  <c r="R12" i="57"/>
  <c r="N12" i="57"/>
  <c r="M12" i="57"/>
  <c r="F12" i="57"/>
  <c r="C12" i="57"/>
  <c r="B12" i="57"/>
  <c r="A12" i="57"/>
  <c r="S11" i="57"/>
  <c r="R11" i="57"/>
  <c r="N11" i="57"/>
  <c r="M11" i="57"/>
  <c r="F11" i="57"/>
  <c r="C11" i="57"/>
  <c r="B11" i="57"/>
  <c r="A11" i="57"/>
  <c r="O36" i="56"/>
  <c r="K36" i="56"/>
  <c r="J36" i="56"/>
  <c r="H36" i="56"/>
  <c r="G36" i="56"/>
  <c r="S35" i="56"/>
  <c r="R35" i="56"/>
  <c r="N35" i="56"/>
  <c r="M35" i="56"/>
  <c r="F35" i="56"/>
  <c r="C35" i="56"/>
  <c r="B35" i="56"/>
  <c r="A35" i="56"/>
  <c r="P35" i="56" s="1"/>
  <c r="S34" i="56"/>
  <c r="R34" i="56"/>
  <c r="P34" i="56"/>
  <c r="N34" i="56"/>
  <c r="M34" i="56"/>
  <c r="F34" i="56"/>
  <c r="C34" i="56"/>
  <c r="B34" i="56"/>
  <c r="A34" i="56"/>
  <c r="S33" i="56"/>
  <c r="R33" i="56"/>
  <c r="P33" i="56"/>
  <c r="N33" i="56"/>
  <c r="M33" i="56"/>
  <c r="F33" i="56"/>
  <c r="C33" i="56"/>
  <c r="B33" i="56"/>
  <c r="A33" i="56"/>
  <c r="S32" i="56"/>
  <c r="R32" i="56"/>
  <c r="P32" i="56"/>
  <c r="N32" i="56"/>
  <c r="M32" i="56"/>
  <c r="F32" i="56"/>
  <c r="C32" i="56"/>
  <c r="B32" i="56"/>
  <c r="A32" i="56"/>
  <c r="S31" i="56"/>
  <c r="R31" i="56"/>
  <c r="N31" i="56"/>
  <c r="M31" i="56"/>
  <c r="F31" i="56"/>
  <c r="C31" i="56"/>
  <c r="B31" i="56"/>
  <c r="A31" i="56"/>
  <c r="P31" i="56" s="1"/>
  <c r="S30" i="56"/>
  <c r="R30" i="56"/>
  <c r="N30" i="56"/>
  <c r="M30" i="56"/>
  <c r="F30" i="56"/>
  <c r="C30" i="56"/>
  <c r="B30" i="56"/>
  <c r="A30" i="56"/>
  <c r="P30" i="56" s="1"/>
  <c r="S29" i="56"/>
  <c r="R29" i="56"/>
  <c r="N29" i="56"/>
  <c r="M29" i="56"/>
  <c r="F29" i="56"/>
  <c r="C29" i="56"/>
  <c r="B29" i="56"/>
  <c r="A29" i="56"/>
  <c r="P29" i="56" s="1"/>
  <c r="S28" i="56"/>
  <c r="R28" i="56"/>
  <c r="P28" i="56"/>
  <c r="N28" i="56"/>
  <c r="M28" i="56"/>
  <c r="F28" i="56"/>
  <c r="C28" i="56"/>
  <c r="B28" i="56"/>
  <c r="A28" i="56"/>
  <c r="S27" i="56"/>
  <c r="R27" i="56"/>
  <c r="N27" i="56"/>
  <c r="M27" i="56"/>
  <c r="F27" i="56"/>
  <c r="C27" i="56"/>
  <c r="B27" i="56"/>
  <c r="A27" i="56"/>
  <c r="P27" i="56" s="1"/>
  <c r="S26" i="56"/>
  <c r="R26" i="56"/>
  <c r="P26" i="56"/>
  <c r="N26" i="56"/>
  <c r="M26" i="56"/>
  <c r="F26" i="56"/>
  <c r="C26" i="56"/>
  <c r="B26" i="56"/>
  <c r="A26" i="56"/>
  <c r="S25" i="56"/>
  <c r="R25" i="56"/>
  <c r="P25" i="56"/>
  <c r="N25" i="56"/>
  <c r="M25" i="56"/>
  <c r="F25" i="56"/>
  <c r="C25" i="56"/>
  <c r="B25" i="56"/>
  <c r="A25" i="56"/>
  <c r="S24" i="56"/>
  <c r="R24" i="56"/>
  <c r="P24" i="56"/>
  <c r="N24" i="56"/>
  <c r="M24" i="56"/>
  <c r="F24" i="56"/>
  <c r="C24" i="56"/>
  <c r="B24" i="56"/>
  <c r="A24" i="56"/>
  <c r="S23" i="56"/>
  <c r="R23" i="56"/>
  <c r="N23" i="56"/>
  <c r="M23" i="56"/>
  <c r="F23" i="56"/>
  <c r="C23" i="56"/>
  <c r="B23" i="56"/>
  <c r="A23" i="56"/>
  <c r="P23" i="56" s="1"/>
  <c r="S22" i="56"/>
  <c r="R22" i="56"/>
  <c r="N22" i="56"/>
  <c r="M22" i="56"/>
  <c r="F22" i="56"/>
  <c r="C22" i="56"/>
  <c r="B22" i="56"/>
  <c r="A22" i="56"/>
  <c r="P22" i="56" s="1"/>
  <c r="S21" i="56"/>
  <c r="R21" i="56"/>
  <c r="N21" i="56"/>
  <c r="M21" i="56"/>
  <c r="F21" i="56"/>
  <c r="C21" i="56"/>
  <c r="B21" i="56"/>
  <c r="A21" i="56"/>
  <c r="P21" i="56" s="1"/>
  <c r="S20" i="56"/>
  <c r="R20" i="56"/>
  <c r="N20" i="56"/>
  <c r="M20" i="56"/>
  <c r="F20" i="56"/>
  <c r="C20" i="56"/>
  <c r="B20" i="56"/>
  <c r="A20" i="56"/>
  <c r="S19" i="56"/>
  <c r="R19" i="56"/>
  <c r="N19" i="56"/>
  <c r="M19" i="56"/>
  <c r="F19" i="56"/>
  <c r="C19" i="56"/>
  <c r="B19" i="56"/>
  <c r="A19" i="56"/>
  <c r="S18" i="56"/>
  <c r="R18" i="56"/>
  <c r="N18" i="56"/>
  <c r="M18" i="56"/>
  <c r="F18" i="56"/>
  <c r="C18" i="56"/>
  <c r="B18" i="56"/>
  <c r="A18" i="56"/>
  <c r="S17" i="56"/>
  <c r="R17" i="56"/>
  <c r="N17" i="56"/>
  <c r="M17" i="56"/>
  <c r="F17" i="56"/>
  <c r="C17" i="56"/>
  <c r="B17" i="56"/>
  <c r="A17" i="56"/>
  <c r="S16" i="56"/>
  <c r="R16" i="56"/>
  <c r="N16" i="56"/>
  <c r="M16" i="56"/>
  <c r="F16" i="56"/>
  <c r="C16" i="56"/>
  <c r="B16" i="56"/>
  <c r="A16" i="56"/>
  <c r="S15" i="56"/>
  <c r="R15" i="56"/>
  <c r="N15" i="56"/>
  <c r="M15" i="56"/>
  <c r="F15" i="56"/>
  <c r="C15" i="56"/>
  <c r="B15" i="56"/>
  <c r="A15" i="56"/>
  <c r="S14" i="56"/>
  <c r="R14" i="56"/>
  <c r="N14" i="56"/>
  <c r="M14" i="56"/>
  <c r="F14" i="56"/>
  <c r="C14" i="56"/>
  <c r="B14" i="56"/>
  <c r="A14" i="56"/>
  <c r="S13" i="56"/>
  <c r="R13" i="56"/>
  <c r="N13" i="56"/>
  <c r="M13" i="56"/>
  <c r="F13" i="56"/>
  <c r="C13" i="56"/>
  <c r="B13" i="56"/>
  <c r="A13" i="56"/>
  <c r="S12" i="56"/>
  <c r="R12" i="56"/>
  <c r="N12" i="56"/>
  <c r="M12" i="56"/>
  <c r="F12" i="56"/>
  <c r="C12" i="56"/>
  <c r="B12" i="56"/>
  <c r="A12" i="56"/>
  <c r="S11" i="56"/>
  <c r="R11" i="56"/>
  <c r="N11" i="56"/>
  <c r="M11" i="56"/>
  <c r="F11" i="56"/>
  <c r="C11" i="56"/>
  <c r="B11" i="56"/>
  <c r="A11" i="56"/>
  <c r="O36" i="55"/>
  <c r="K36" i="55"/>
  <c r="J36" i="55"/>
  <c r="H36" i="55"/>
  <c r="G36" i="55"/>
  <c r="S35" i="55"/>
  <c r="R35" i="55"/>
  <c r="P35" i="55"/>
  <c r="N35" i="55"/>
  <c r="M35" i="55"/>
  <c r="F35" i="55"/>
  <c r="C35" i="55"/>
  <c r="B35" i="55"/>
  <c r="A35" i="55"/>
  <c r="S34" i="55"/>
  <c r="R34" i="55"/>
  <c r="P34" i="55"/>
  <c r="N34" i="55"/>
  <c r="M34" i="55"/>
  <c r="F34" i="55"/>
  <c r="C34" i="55"/>
  <c r="B34" i="55"/>
  <c r="A34" i="55"/>
  <c r="S33" i="55"/>
  <c r="R33" i="55"/>
  <c r="N33" i="55"/>
  <c r="M33" i="55"/>
  <c r="F33" i="55"/>
  <c r="C33" i="55"/>
  <c r="B33" i="55"/>
  <c r="A33" i="55"/>
  <c r="P33" i="55" s="1"/>
  <c r="S32" i="55"/>
  <c r="R32" i="55"/>
  <c r="N32" i="55"/>
  <c r="M32" i="55"/>
  <c r="F32" i="55"/>
  <c r="C32" i="55"/>
  <c r="B32" i="55"/>
  <c r="A32" i="55"/>
  <c r="P32" i="55" s="1"/>
  <c r="S31" i="55"/>
  <c r="R31" i="55"/>
  <c r="N31" i="55"/>
  <c r="M31" i="55"/>
  <c r="F31" i="55"/>
  <c r="C31" i="55"/>
  <c r="B31" i="55"/>
  <c r="A31" i="55"/>
  <c r="P31" i="55" s="1"/>
  <c r="S30" i="55"/>
  <c r="R30" i="55"/>
  <c r="P30" i="55"/>
  <c r="N30" i="55"/>
  <c r="M30" i="55"/>
  <c r="F30" i="55"/>
  <c r="C30" i="55"/>
  <c r="B30" i="55"/>
  <c r="A30" i="55"/>
  <c r="S29" i="55"/>
  <c r="R29" i="55"/>
  <c r="P29" i="55"/>
  <c r="N29" i="55"/>
  <c r="M29" i="55"/>
  <c r="F29" i="55"/>
  <c r="C29" i="55"/>
  <c r="B29" i="55"/>
  <c r="A29" i="55"/>
  <c r="S28" i="55"/>
  <c r="R28" i="55"/>
  <c r="P28" i="55"/>
  <c r="N28" i="55"/>
  <c r="M28" i="55"/>
  <c r="F28" i="55"/>
  <c r="C28" i="55"/>
  <c r="B28" i="55"/>
  <c r="A28" i="55"/>
  <c r="S27" i="55"/>
  <c r="R27" i="55"/>
  <c r="P27" i="55"/>
  <c r="N27" i="55"/>
  <c r="M27" i="55"/>
  <c r="F27" i="55"/>
  <c r="C27" i="55"/>
  <c r="B27" i="55"/>
  <c r="A27" i="55"/>
  <c r="S26" i="55"/>
  <c r="R26" i="55"/>
  <c r="P26" i="55"/>
  <c r="N26" i="55"/>
  <c r="M26" i="55"/>
  <c r="F26" i="55"/>
  <c r="C26" i="55"/>
  <c r="B26" i="55"/>
  <c r="A26" i="55"/>
  <c r="S25" i="55"/>
  <c r="R25" i="55"/>
  <c r="N25" i="55"/>
  <c r="M25" i="55"/>
  <c r="F25" i="55"/>
  <c r="C25" i="55"/>
  <c r="B25" i="55"/>
  <c r="A25" i="55"/>
  <c r="P25" i="55" s="1"/>
  <c r="S24" i="55"/>
  <c r="R24" i="55"/>
  <c r="N24" i="55"/>
  <c r="M24" i="55"/>
  <c r="F24" i="55"/>
  <c r="C24" i="55"/>
  <c r="B24" i="55"/>
  <c r="A24" i="55"/>
  <c r="P24" i="55" s="1"/>
  <c r="S23" i="55"/>
  <c r="R23" i="55"/>
  <c r="N23" i="55"/>
  <c r="M23" i="55"/>
  <c r="F23" i="55"/>
  <c r="C23" i="55"/>
  <c r="B23" i="55"/>
  <c r="A23" i="55"/>
  <c r="P23" i="55" s="1"/>
  <c r="S22" i="55"/>
  <c r="R22" i="55"/>
  <c r="P22" i="55"/>
  <c r="N22" i="55"/>
  <c r="M22" i="55"/>
  <c r="F22" i="55"/>
  <c r="C22" i="55"/>
  <c r="B22" i="55"/>
  <c r="A22" i="55"/>
  <c r="S21" i="55"/>
  <c r="R21" i="55"/>
  <c r="P21" i="55"/>
  <c r="N21" i="55"/>
  <c r="M21" i="55"/>
  <c r="F21" i="55"/>
  <c r="C21" i="55"/>
  <c r="B21" i="55"/>
  <c r="A21" i="55"/>
  <c r="S20" i="55"/>
  <c r="R20" i="55"/>
  <c r="N20" i="55"/>
  <c r="M20" i="55"/>
  <c r="F20" i="55"/>
  <c r="C20" i="55"/>
  <c r="B20" i="55"/>
  <c r="A20" i="55"/>
  <c r="S19" i="55"/>
  <c r="R19" i="55"/>
  <c r="N19" i="55"/>
  <c r="M19" i="55"/>
  <c r="F19" i="55"/>
  <c r="C19" i="55"/>
  <c r="B19" i="55"/>
  <c r="A19" i="55"/>
  <c r="S18" i="55"/>
  <c r="R18" i="55"/>
  <c r="N18" i="55"/>
  <c r="M18" i="55"/>
  <c r="F18" i="55"/>
  <c r="C18" i="55"/>
  <c r="B18" i="55"/>
  <c r="A18" i="55"/>
  <c r="S17" i="55"/>
  <c r="R17" i="55"/>
  <c r="N17" i="55"/>
  <c r="M17" i="55"/>
  <c r="F17" i="55"/>
  <c r="C17" i="55"/>
  <c r="B17" i="55"/>
  <c r="A17" i="55"/>
  <c r="S16" i="55"/>
  <c r="R16" i="55"/>
  <c r="N16" i="55"/>
  <c r="M16" i="55"/>
  <c r="F16" i="55"/>
  <c r="C16" i="55"/>
  <c r="B16" i="55"/>
  <c r="A16" i="55"/>
  <c r="S15" i="55"/>
  <c r="R15" i="55"/>
  <c r="N15" i="55"/>
  <c r="M15" i="55"/>
  <c r="F15" i="55"/>
  <c r="C15" i="55"/>
  <c r="B15" i="55"/>
  <c r="A15" i="55"/>
  <c r="S14" i="55"/>
  <c r="R14" i="55"/>
  <c r="N14" i="55"/>
  <c r="M14" i="55"/>
  <c r="I12" i="49" s="1"/>
  <c r="F14" i="55"/>
  <c r="C14" i="55"/>
  <c r="B14" i="55"/>
  <c r="A14" i="55"/>
  <c r="S13" i="55"/>
  <c r="R13" i="55"/>
  <c r="N13" i="55"/>
  <c r="M13" i="55"/>
  <c r="F13" i="55"/>
  <c r="C13" i="55"/>
  <c r="B13" i="55"/>
  <c r="A13" i="55"/>
  <c r="S12" i="55"/>
  <c r="R12" i="55"/>
  <c r="N12" i="55"/>
  <c r="M12" i="55"/>
  <c r="F12" i="55"/>
  <c r="C12" i="55"/>
  <c r="B12" i="55"/>
  <c r="A12" i="55"/>
  <c r="S11" i="55"/>
  <c r="R11" i="55"/>
  <c r="N11" i="55"/>
  <c r="N36" i="55" s="1"/>
  <c r="M11" i="55"/>
  <c r="F11" i="55"/>
  <c r="F36" i="55" s="1"/>
  <c r="C11" i="55"/>
  <c r="B11" i="55"/>
  <c r="A11" i="55"/>
  <c r="O36" i="54"/>
  <c r="K36" i="54"/>
  <c r="J36" i="54"/>
  <c r="H36" i="54"/>
  <c r="G36" i="54"/>
  <c r="S35" i="54"/>
  <c r="R35" i="54"/>
  <c r="N35" i="54"/>
  <c r="M35" i="54"/>
  <c r="F35" i="54"/>
  <c r="C35" i="54"/>
  <c r="B35" i="54"/>
  <c r="A35" i="54"/>
  <c r="P35" i="54" s="1"/>
  <c r="S34" i="54"/>
  <c r="R34" i="54"/>
  <c r="N34" i="54"/>
  <c r="M34" i="54"/>
  <c r="F34" i="54"/>
  <c r="C34" i="54"/>
  <c r="B34" i="54"/>
  <c r="A34" i="54"/>
  <c r="P34" i="54" s="1"/>
  <c r="S33" i="54"/>
  <c r="R33" i="54"/>
  <c r="N33" i="54"/>
  <c r="M33" i="54"/>
  <c r="F33" i="54"/>
  <c r="C33" i="54"/>
  <c r="B33" i="54"/>
  <c r="A33" i="54"/>
  <c r="P33" i="54" s="1"/>
  <c r="S32" i="54"/>
  <c r="R32" i="54"/>
  <c r="N32" i="54"/>
  <c r="M32" i="54"/>
  <c r="F32" i="54"/>
  <c r="C32" i="54"/>
  <c r="B32" i="54"/>
  <c r="A32" i="54"/>
  <c r="P32" i="54" s="1"/>
  <c r="S31" i="54"/>
  <c r="R31" i="54"/>
  <c r="P31" i="54"/>
  <c r="N31" i="54"/>
  <c r="M31" i="54"/>
  <c r="F31" i="54"/>
  <c r="C31" i="54"/>
  <c r="B31" i="54"/>
  <c r="A31" i="54"/>
  <c r="S30" i="54"/>
  <c r="R30" i="54"/>
  <c r="P30" i="54"/>
  <c r="N30" i="54"/>
  <c r="M30" i="54"/>
  <c r="F30" i="54"/>
  <c r="C30" i="54"/>
  <c r="B30" i="54"/>
  <c r="A30" i="54"/>
  <c r="S29" i="54"/>
  <c r="R29" i="54"/>
  <c r="P29" i="54"/>
  <c r="N29" i="54"/>
  <c r="M29" i="54"/>
  <c r="F29" i="54"/>
  <c r="C29" i="54"/>
  <c r="B29" i="54"/>
  <c r="A29" i="54"/>
  <c r="S28" i="54"/>
  <c r="R28" i="54"/>
  <c r="N28" i="54"/>
  <c r="M28" i="54"/>
  <c r="F28" i="54"/>
  <c r="C28" i="54"/>
  <c r="B28" i="54"/>
  <c r="A28" i="54"/>
  <c r="P28" i="54" s="1"/>
  <c r="S27" i="54"/>
  <c r="R27" i="54"/>
  <c r="N27" i="54"/>
  <c r="M27" i="54"/>
  <c r="F27" i="54"/>
  <c r="C27" i="54"/>
  <c r="B27" i="54"/>
  <c r="A27" i="54"/>
  <c r="P27" i="54" s="1"/>
  <c r="S26" i="54"/>
  <c r="R26" i="54"/>
  <c r="N26" i="54"/>
  <c r="M26" i="54"/>
  <c r="F26" i="54"/>
  <c r="C26" i="54"/>
  <c r="B26" i="54"/>
  <c r="A26" i="54"/>
  <c r="P26" i="54" s="1"/>
  <c r="S25" i="54"/>
  <c r="R25" i="54"/>
  <c r="N25" i="54"/>
  <c r="M25" i="54"/>
  <c r="F25" i="54"/>
  <c r="C25" i="54"/>
  <c r="B25" i="54"/>
  <c r="A25" i="54"/>
  <c r="P25" i="54" s="1"/>
  <c r="S24" i="54"/>
  <c r="R24" i="54"/>
  <c r="N24" i="54"/>
  <c r="M24" i="54"/>
  <c r="F24" i="54"/>
  <c r="C24" i="54"/>
  <c r="B24" i="54"/>
  <c r="A24" i="54"/>
  <c r="P24" i="54" s="1"/>
  <c r="S23" i="54"/>
  <c r="R23" i="54"/>
  <c r="P23" i="54"/>
  <c r="N23" i="54"/>
  <c r="M23" i="54"/>
  <c r="F23" i="54"/>
  <c r="C23" i="54"/>
  <c r="B23" i="54"/>
  <c r="A23" i="54"/>
  <c r="S22" i="54"/>
  <c r="R22" i="54"/>
  <c r="P22" i="54"/>
  <c r="N22" i="54"/>
  <c r="M22" i="54"/>
  <c r="F22" i="54"/>
  <c r="C22" i="54"/>
  <c r="B22" i="54"/>
  <c r="A22" i="54"/>
  <c r="S21" i="54"/>
  <c r="R21" i="54"/>
  <c r="N21" i="54"/>
  <c r="M21" i="54"/>
  <c r="I19" i="49" s="1"/>
  <c r="F21" i="54"/>
  <c r="C21" i="54"/>
  <c r="B21" i="54"/>
  <c r="A21" i="54"/>
  <c r="P21" i="54" s="1"/>
  <c r="S20" i="54"/>
  <c r="R20" i="54"/>
  <c r="N20" i="54"/>
  <c r="M20" i="54"/>
  <c r="F20" i="54"/>
  <c r="C20" i="54"/>
  <c r="B20" i="54"/>
  <c r="A20" i="54"/>
  <c r="S19" i="54"/>
  <c r="R19" i="54"/>
  <c r="N19" i="54"/>
  <c r="M19" i="54"/>
  <c r="F19" i="54"/>
  <c r="C19" i="54"/>
  <c r="B19" i="54"/>
  <c r="A19" i="54"/>
  <c r="S18" i="54"/>
  <c r="R18" i="54"/>
  <c r="N18" i="54"/>
  <c r="M18" i="54"/>
  <c r="F18" i="54"/>
  <c r="C18" i="54"/>
  <c r="B18" i="54"/>
  <c r="A18" i="54"/>
  <c r="S17" i="54"/>
  <c r="R17" i="54"/>
  <c r="N17" i="54"/>
  <c r="M17" i="54"/>
  <c r="F17" i="54"/>
  <c r="C17" i="54"/>
  <c r="B17" i="54"/>
  <c r="A17" i="54"/>
  <c r="S16" i="54"/>
  <c r="R16" i="54"/>
  <c r="N16" i="54"/>
  <c r="M16" i="54"/>
  <c r="F16" i="54"/>
  <c r="C16" i="54"/>
  <c r="B16" i="54"/>
  <c r="A16" i="54"/>
  <c r="S15" i="54"/>
  <c r="R15" i="54"/>
  <c r="N15" i="54"/>
  <c r="M15" i="54"/>
  <c r="F15" i="54"/>
  <c r="C15" i="54"/>
  <c r="B15" i="54"/>
  <c r="A15" i="54"/>
  <c r="S14" i="54"/>
  <c r="R14" i="54"/>
  <c r="N14" i="54"/>
  <c r="M14" i="54"/>
  <c r="F14" i="54"/>
  <c r="C14" i="54"/>
  <c r="B14" i="54"/>
  <c r="A14" i="54"/>
  <c r="S13" i="54"/>
  <c r="R13" i="54"/>
  <c r="N13" i="54"/>
  <c r="M13" i="54"/>
  <c r="F13" i="54"/>
  <c r="C13" i="54"/>
  <c r="B13" i="54"/>
  <c r="A13" i="54"/>
  <c r="S12" i="54"/>
  <c r="R12" i="54"/>
  <c r="N12" i="54"/>
  <c r="M12" i="54"/>
  <c r="F12" i="54"/>
  <c r="C12" i="54"/>
  <c r="B12" i="54"/>
  <c r="A12" i="54"/>
  <c r="S11" i="54"/>
  <c r="R11" i="54"/>
  <c r="N11" i="54"/>
  <c r="M11" i="54"/>
  <c r="F11" i="54"/>
  <c r="C11" i="54"/>
  <c r="B11" i="54"/>
  <c r="A11" i="54"/>
  <c r="O36" i="53"/>
  <c r="K36" i="53"/>
  <c r="J36" i="53"/>
  <c r="H36" i="53"/>
  <c r="G36" i="53"/>
  <c r="S35" i="53"/>
  <c r="R35" i="53"/>
  <c r="P35" i="53"/>
  <c r="N35" i="53"/>
  <c r="M35" i="53"/>
  <c r="F35" i="53"/>
  <c r="C35" i="53"/>
  <c r="B35" i="53"/>
  <c r="A35" i="53"/>
  <c r="S34" i="53"/>
  <c r="R34" i="53"/>
  <c r="N34" i="53"/>
  <c r="M34" i="53"/>
  <c r="F34" i="53"/>
  <c r="C34" i="53"/>
  <c r="B34" i="53"/>
  <c r="A34" i="53"/>
  <c r="P34" i="53" s="1"/>
  <c r="S33" i="53"/>
  <c r="R33" i="53"/>
  <c r="N33" i="53"/>
  <c r="M33" i="53"/>
  <c r="F33" i="53"/>
  <c r="C33" i="53"/>
  <c r="B33" i="53"/>
  <c r="A33" i="53"/>
  <c r="P33" i="53" s="1"/>
  <c r="S32" i="53"/>
  <c r="R32" i="53"/>
  <c r="N32" i="53"/>
  <c r="M32" i="53"/>
  <c r="F32" i="53"/>
  <c r="C32" i="53"/>
  <c r="B32" i="53"/>
  <c r="A32" i="53"/>
  <c r="P32" i="53" s="1"/>
  <c r="S31" i="53"/>
  <c r="R31" i="53"/>
  <c r="P31" i="53"/>
  <c r="N31" i="53"/>
  <c r="M31" i="53"/>
  <c r="I29" i="49" s="1"/>
  <c r="F31" i="53"/>
  <c r="C31" i="53"/>
  <c r="B31" i="53"/>
  <c r="A31" i="53"/>
  <c r="S30" i="53"/>
  <c r="R30" i="53"/>
  <c r="N30" i="53"/>
  <c r="M30" i="53"/>
  <c r="F30" i="53"/>
  <c r="C30" i="53"/>
  <c r="B30" i="53"/>
  <c r="A30" i="53"/>
  <c r="P30" i="53" s="1"/>
  <c r="S29" i="53"/>
  <c r="R29" i="53"/>
  <c r="P29" i="53"/>
  <c r="N29" i="53"/>
  <c r="M29" i="53"/>
  <c r="F29" i="53"/>
  <c r="C29" i="53"/>
  <c r="B29" i="53"/>
  <c r="A29" i="53"/>
  <c r="S28" i="53"/>
  <c r="R28" i="53"/>
  <c r="P28" i="53"/>
  <c r="N28" i="53"/>
  <c r="M28" i="53"/>
  <c r="F28" i="53"/>
  <c r="C28" i="53"/>
  <c r="B28" i="53"/>
  <c r="A28" i="53"/>
  <c r="S27" i="53"/>
  <c r="R27" i="53"/>
  <c r="P27" i="53"/>
  <c r="N27" i="53"/>
  <c r="M27" i="53"/>
  <c r="F27" i="53"/>
  <c r="C27" i="53"/>
  <c r="B27" i="53"/>
  <c r="A27" i="53"/>
  <c r="S26" i="53"/>
  <c r="R26" i="53"/>
  <c r="N26" i="53"/>
  <c r="M26" i="53"/>
  <c r="F26" i="53"/>
  <c r="C26" i="53"/>
  <c r="B26" i="53"/>
  <c r="A26" i="53"/>
  <c r="P26" i="53" s="1"/>
  <c r="S25" i="53"/>
  <c r="R25" i="53"/>
  <c r="N25" i="53"/>
  <c r="M25" i="53"/>
  <c r="F25" i="53"/>
  <c r="C25" i="53"/>
  <c r="B25" i="53"/>
  <c r="A25" i="53"/>
  <c r="P25" i="53" s="1"/>
  <c r="S24" i="53"/>
  <c r="R24" i="53"/>
  <c r="N24" i="53"/>
  <c r="M24" i="53"/>
  <c r="F24" i="53"/>
  <c r="C24" i="53"/>
  <c r="B24" i="53"/>
  <c r="A24" i="53"/>
  <c r="P24" i="53" s="1"/>
  <c r="S23" i="53"/>
  <c r="R23" i="53"/>
  <c r="P23" i="53"/>
  <c r="N23" i="53"/>
  <c r="M23" i="53"/>
  <c r="F23" i="53"/>
  <c r="C23" i="53"/>
  <c r="B23" i="53"/>
  <c r="A23" i="53"/>
  <c r="S22" i="53"/>
  <c r="R22" i="53"/>
  <c r="N22" i="53"/>
  <c r="M22" i="53"/>
  <c r="I20" i="49" s="1"/>
  <c r="F22" i="53"/>
  <c r="C22" i="53"/>
  <c r="B22" i="53"/>
  <c r="A22" i="53"/>
  <c r="P22" i="53" s="1"/>
  <c r="S21" i="53"/>
  <c r="R21" i="53"/>
  <c r="P21" i="53"/>
  <c r="N21" i="53"/>
  <c r="M21" i="53"/>
  <c r="F21" i="53"/>
  <c r="C21" i="53"/>
  <c r="B21" i="53"/>
  <c r="A21" i="53"/>
  <c r="S20" i="53"/>
  <c r="R20" i="53"/>
  <c r="N20" i="53"/>
  <c r="M20" i="53"/>
  <c r="F20" i="53"/>
  <c r="C20" i="53"/>
  <c r="B20" i="53"/>
  <c r="A20" i="53"/>
  <c r="S19" i="53"/>
  <c r="R19" i="53"/>
  <c r="N19" i="53"/>
  <c r="M19" i="53"/>
  <c r="F19" i="53"/>
  <c r="C19" i="53"/>
  <c r="B19" i="53"/>
  <c r="A19" i="53"/>
  <c r="S18" i="53"/>
  <c r="R18" i="53"/>
  <c r="N18" i="53"/>
  <c r="M18" i="53"/>
  <c r="F18" i="53"/>
  <c r="C18" i="53"/>
  <c r="B18" i="53"/>
  <c r="A18" i="53"/>
  <c r="S17" i="53"/>
  <c r="R17" i="53"/>
  <c r="N17" i="53"/>
  <c r="M17" i="53"/>
  <c r="F17" i="53"/>
  <c r="C17" i="53"/>
  <c r="B17" i="53"/>
  <c r="A17" i="53"/>
  <c r="S16" i="53"/>
  <c r="R16" i="53"/>
  <c r="N16" i="53"/>
  <c r="M16" i="53"/>
  <c r="I14" i="49" s="1"/>
  <c r="F16" i="53"/>
  <c r="C16" i="53"/>
  <c r="B16" i="53"/>
  <c r="A16" i="53"/>
  <c r="S15" i="53"/>
  <c r="R15" i="53"/>
  <c r="N15" i="53"/>
  <c r="M15" i="53"/>
  <c r="I13" i="49" s="1"/>
  <c r="F15" i="53"/>
  <c r="C15" i="53"/>
  <c r="B15" i="53"/>
  <c r="A15" i="53"/>
  <c r="S14" i="53"/>
  <c r="R14" i="53"/>
  <c r="N14" i="53"/>
  <c r="M14" i="53"/>
  <c r="M36" i="53" s="1"/>
  <c r="F14" i="53"/>
  <c r="C14" i="53"/>
  <c r="B14" i="53"/>
  <c r="A14" i="53"/>
  <c r="S13" i="53"/>
  <c r="R13" i="53"/>
  <c r="N13" i="53"/>
  <c r="M13" i="53"/>
  <c r="F13" i="53"/>
  <c r="C13" i="53"/>
  <c r="B13" i="53"/>
  <c r="A13" i="53"/>
  <c r="S12" i="53"/>
  <c r="R12" i="53"/>
  <c r="N12" i="53"/>
  <c r="M12" i="53"/>
  <c r="F12" i="53"/>
  <c r="C12" i="53"/>
  <c r="B12" i="53"/>
  <c r="A12" i="53"/>
  <c r="S11" i="53"/>
  <c r="R11" i="53"/>
  <c r="N11" i="53"/>
  <c r="M11" i="53"/>
  <c r="F11" i="53"/>
  <c r="C11" i="53"/>
  <c r="B11" i="53"/>
  <c r="A11" i="53"/>
  <c r="L33" i="52"/>
  <c r="I33" i="52"/>
  <c r="H33" i="52"/>
  <c r="F33" i="52"/>
  <c r="B33" i="52"/>
  <c r="A33" i="52"/>
  <c r="L32" i="52"/>
  <c r="I32" i="52"/>
  <c r="H32" i="52"/>
  <c r="F32" i="52"/>
  <c r="B32" i="52"/>
  <c r="A32" i="52"/>
  <c r="L31" i="52"/>
  <c r="I31" i="52"/>
  <c r="H31" i="52"/>
  <c r="F31" i="52"/>
  <c r="B31" i="52"/>
  <c r="A31" i="52"/>
  <c r="L30" i="52"/>
  <c r="I30" i="52"/>
  <c r="H30" i="52"/>
  <c r="F30" i="52"/>
  <c r="B30" i="52"/>
  <c r="A30" i="52"/>
  <c r="L29" i="52"/>
  <c r="I29" i="52"/>
  <c r="H29" i="52"/>
  <c r="F29" i="52"/>
  <c r="B29" i="52"/>
  <c r="A29" i="52"/>
  <c r="L28" i="52"/>
  <c r="I28" i="52"/>
  <c r="H28" i="52"/>
  <c r="F28" i="52"/>
  <c r="B28" i="52"/>
  <c r="A28" i="52"/>
  <c r="L27" i="52"/>
  <c r="I27" i="52"/>
  <c r="H27" i="52"/>
  <c r="F27" i="52"/>
  <c r="B27" i="52"/>
  <c r="A27" i="52"/>
  <c r="L26" i="52"/>
  <c r="I26" i="52"/>
  <c r="H26" i="52"/>
  <c r="F26" i="52"/>
  <c r="B26" i="52"/>
  <c r="A26" i="52"/>
  <c r="L25" i="52"/>
  <c r="I25" i="52"/>
  <c r="H25" i="52"/>
  <c r="F25" i="52"/>
  <c r="B25" i="52"/>
  <c r="A25" i="52"/>
  <c r="L24" i="52"/>
  <c r="I24" i="52"/>
  <c r="H24" i="52"/>
  <c r="F24" i="52"/>
  <c r="B24" i="52"/>
  <c r="A24" i="52"/>
  <c r="L23" i="52"/>
  <c r="I23" i="52"/>
  <c r="H23" i="52"/>
  <c r="F23" i="52"/>
  <c r="B23" i="52"/>
  <c r="A23" i="52"/>
  <c r="L22" i="52"/>
  <c r="I22" i="52"/>
  <c r="H22" i="52"/>
  <c r="F22" i="52"/>
  <c r="B22" i="52"/>
  <c r="A22" i="52"/>
  <c r="L21" i="52"/>
  <c r="I21" i="52"/>
  <c r="H21" i="52"/>
  <c r="F21" i="52"/>
  <c r="B21" i="52"/>
  <c r="A21" i="52"/>
  <c r="L20" i="52"/>
  <c r="I20" i="52"/>
  <c r="H20" i="52"/>
  <c r="F20" i="52"/>
  <c r="B20" i="52"/>
  <c r="A20" i="52"/>
  <c r="L19" i="52"/>
  <c r="I19" i="52"/>
  <c r="H19" i="52"/>
  <c r="F19" i="52"/>
  <c r="B19" i="52"/>
  <c r="A19" i="52"/>
  <c r="L18" i="52"/>
  <c r="I18" i="52"/>
  <c r="H18" i="52"/>
  <c r="F18" i="52"/>
  <c r="B18" i="52"/>
  <c r="A18" i="52"/>
  <c r="L17" i="52"/>
  <c r="I17" i="52"/>
  <c r="H17" i="52"/>
  <c r="F17" i="52"/>
  <c r="B17" i="52"/>
  <c r="A17" i="52"/>
  <c r="L16" i="52"/>
  <c r="I16" i="52"/>
  <c r="H16" i="52"/>
  <c r="F16" i="52"/>
  <c r="B16" i="52"/>
  <c r="A16" i="52"/>
  <c r="L15" i="52"/>
  <c r="I15" i="52"/>
  <c r="H15" i="52"/>
  <c r="F15" i="52"/>
  <c r="B15" i="52"/>
  <c r="A15" i="52"/>
  <c r="L14" i="52"/>
  <c r="I14" i="52"/>
  <c r="H14" i="52"/>
  <c r="F14" i="52"/>
  <c r="B14" i="52"/>
  <c r="A14" i="52"/>
  <c r="L13" i="52"/>
  <c r="I13" i="52"/>
  <c r="H13" i="52"/>
  <c r="F13" i="52"/>
  <c r="B13" i="52"/>
  <c r="A13" i="52"/>
  <c r="L12" i="52"/>
  <c r="I12" i="52"/>
  <c r="H12" i="52"/>
  <c r="F12" i="52"/>
  <c r="B12" i="52"/>
  <c r="A12" i="52"/>
  <c r="L11" i="52"/>
  <c r="I11" i="52"/>
  <c r="H11" i="52"/>
  <c r="F11" i="52"/>
  <c r="B11" i="52"/>
  <c r="A11" i="52"/>
  <c r="L10" i="52"/>
  <c r="I10" i="52"/>
  <c r="H10" i="52"/>
  <c r="F10" i="52"/>
  <c r="B10" i="52"/>
  <c r="A10" i="52"/>
  <c r="L9" i="52"/>
  <c r="I9" i="52"/>
  <c r="H9" i="52"/>
  <c r="F9" i="52"/>
  <c r="B9" i="52"/>
  <c r="A9" i="52"/>
  <c r="L33" i="51"/>
  <c r="I33" i="51"/>
  <c r="H33" i="51"/>
  <c r="F33" i="51"/>
  <c r="B33" i="51"/>
  <c r="A33" i="51"/>
  <c r="L32" i="51"/>
  <c r="I32" i="51"/>
  <c r="H32" i="51"/>
  <c r="F32" i="51"/>
  <c r="B32" i="51"/>
  <c r="A32" i="51"/>
  <c r="L31" i="51"/>
  <c r="I31" i="51"/>
  <c r="H31" i="51"/>
  <c r="F31" i="51"/>
  <c r="B31" i="51"/>
  <c r="A31" i="51"/>
  <c r="L30" i="51"/>
  <c r="I30" i="51"/>
  <c r="H30" i="51"/>
  <c r="F30" i="51"/>
  <c r="B30" i="51"/>
  <c r="A30" i="51"/>
  <c r="L29" i="51"/>
  <c r="I29" i="51"/>
  <c r="H29" i="51"/>
  <c r="F29" i="51"/>
  <c r="B29" i="51"/>
  <c r="A29" i="51"/>
  <c r="L28" i="51"/>
  <c r="I28" i="51"/>
  <c r="H28" i="51"/>
  <c r="F28" i="51"/>
  <c r="B28" i="51"/>
  <c r="A28" i="51"/>
  <c r="L27" i="51"/>
  <c r="I27" i="51"/>
  <c r="H27" i="51"/>
  <c r="F27" i="51"/>
  <c r="B27" i="51"/>
  <c r="A27" i="51"/>
  <c r="L26" i="51"/>
  <c r="I26" i="51"/>
  <c r="H26" i="51"/>
  <c r="F26" i="51"/>
  <c r="B26" i="51"/>
  <c r="A26" i="51"/>
  <c r="L25" i="51"/>
  <c r="I25" i="51"/>
  <c r="H25" i="51"/>
  <c r="F25" i="51"/>
  <c r="B25" i="51"/>
  <c r="A25" i="51"/>
  <c r="L24" i="51"/>
  <c r="I24" i="51"/>
  <c r="H24" i="51"/>
  <c r="F24" i="51"/>
  <c r="B24" i="51"/>
  <c r="A24" i="51"/>
  <c r="L23" i="51"/>
  <c r="I23" i="51"/>
  <c r="H23" i="51"/>
  <c r="F23" i="51"/>
  <c r="B23" i="51"/>
  <c r="A23" i="51"/>
  <c r="L22" i="51"/>
  <c r="I22" i="51"/>
  <c r="H22" i="51"/>
  <c r="F22" i="51"/>
  <c r="B22" i="51"/>
  <c r="A22" i="51"/>
  <c r="L21" i="51"/>
  <c r="H21" i="51"/>
  <c r="F21" i="51"/>
  <c r="B21" i="51"/>
  <c r="A21" i="51"/>
  <c r="L20" i="51"/>
  <c r="I20" i="51"/>
  <c r="H20" i="51"/>
  <c r="F20" i="51"/>
  <c r="B20" i="51"/>
  <c r="A20" i="51"/>
  <c r="L19" i="51"/>
  <c r="I19" i="51"/>
  <c r="H19" i="51"/>
  <c r="F19" i="51"/>
  <c r="B19" i="51"/>
  <c r="A19" i="51"/>
  <c r="L18" i="51"/>
  <c r="I18" i="51"/>
  <c r="H18" i="51"/>
  <c r="F18" i="51"/>
  <c r="B18" i="51"/>
  <c r="A18" i="51"/>
  <c r="L17" i="51"/>
  <c r="I17" i="51"/>
  <c r="H17" i="51"/>
  <c r="F17" i="51"/>
  <c r="B17" i="51"/>
  <c r="A17" i="51"/>
  <c r="L16" i="51"/>
  <c r="I16" i="51"/>
  <c r="H16" i="51"/>
  <c r="F16" i="51"/>
  <c r="B16" i="51"/>
  <c r="A16" i="51"/>
  <c r="L15" i="51"/>
  <c r="I15" i="51"/>
  <c r="H15" i="51"/>
  <c r="F15" i="51"/>
  <c r="B15" i="51"/>
  <c r="A15" i="51"/>
  <c r="L14" i="51"/>
  <c r="I14" i="51"/>
  <c r="H14" i="51"/>
  <c r="F14" i="51"/>
  <c r="B14" i="51"/>
  <c r="A14" i="51"/>
  <c r="L13" i="51"/>
  <c r="I13" i="51"/>
  <c r="H13" i="51"/>
  <c r="F13" i="51"/>
  <c r="B13" i="51"/>
  <c r="A13" i="51"/>
  <c r="L12" i="51"/>
  <c r="I12" i="51"/>
  <c r="H12" i="51"/>
  <c r="F12" i="51"/>
  <c r="B12" i="51"/>
  <c r="A12" i="51"/>
  <c r="L11" i="51"/>
  <c r="I11" i="51"/>
  <c r="H11" i="51"/>
  <c r="F11" i="51"/>
  <c r="B11" i="51"/>
  <c r="A11" i="51"/>
  <c r="L10" i="51"/>
  <c r="I10" i="51"/>
  <c r="H10" i="51"/>
  <c r="F10" i="51"/>
  <c r="B10" i="51"/>
  <c r="A10" i="51"/>
  <c r="L9" i="51"/>
  <c r="H9" i="51"/>
  <c r="F9" i="51"/>
  <c r="B9" i="51"/>
  <c r="A9" i="51"/>
  <c r="L33" i="50"/>
  <c r="I33" i="50"/>
  <c r="H33" i="50"/>
  <c r="F33" i="50"/>
  <c r="B33" i="50"/>
  <c r="A33" i="50"/>
  <c r="L32" i="50"/>
  <c r="I32" i="50"/>
  <c r="H32" i="50"/>
  <c r="F32" i="50"/>
  <c r="B32" i="50"/>
  <c r="A32" i="50"/>
  <c r="L31" i="50"/>
  <c r="I31" i="50"/>
  <c r="H31" i="50"/>
  <c r="F31" i="50"/>
  <c r="B31" i="50"/>
  <c r="A31" i="50"/>
  <c r="L30" i="50"/>
  <c r="I30" i="50"/>
  <c r="H30" i="50"/>
  <c r="F30" i="50"/>
  <c r="B30" i="50"/>
  <c r="A30" i="50"/>
  <c r="L29" i="50"/>
  <c r="I29" i="50"/>
  <c r="H29" i="50"/>
  <c r="F29" i="50"/>
  <c r="B29" i="50"/>
  <c r="A29" i="50"/>
  <c r="L28" i="50"/>
  <c r="I28" i="50"/>
  <c r="H28" i="50"/>
  <c r="F28" i="50"/>
  <c r="B28" i="50"/>
  <c r="A28" i="50"/>
  <c r="L27" i="50"/>
  <c r="I27" i="50"/>
  <c r="H27" i="50"/>
  <c r="F27" i="50"/>
  <c r="B27" i="50"/>
  <c r="A27" i="50"/>
  <c r="L26" i="50"/>
  <c r="I26" i="50"/>
  <c r="H26" i="50"/>
  <c r="F26" i="50"/>
  <c r="B26" i="50"/>
  <c r="A26" i="50"/>
  <c r="L25" i="50"/>
  <c r="I25" i="50"/>
  <c r="H25" i="50"/>
  <c r="F25" i="50"/>
  <c r="B25" i="50"/>
  <c r="A25" i="50"/>
  <c r="L24" i="50"/>
  <c r="H24" i="50"/>
  <c r="F24" i="50"/>
  <c r="B24" i="50"/>
  <c r="A24" i="50"/>
  <c r="L23" i="50"/>
  <c r="I23" i="50"/>
  <c r="H23" i="50"/>
  <c r="F23" i="50"/>
  <c r="B23" i="50"/>
  <c r="A23" i="50"/>
  <c r="L22" i="50"/>
  <c r="I22" i="50"/>
  <c r="H22" i="50"/>
  <c r="F22" i="50"/>
  <c r="B22" i="50"/>
  <c r="A22" i="50"/>
  <c r="L21" i="50"/>
  <c r="I21" i="50"/>
  <c r="H21" i="50"/>
  <c r="F21" i="50"/>
  <c r="B21" i="50"/>
  <c r="A21" i="50"/>
  <c r="L20" i="50"/>
  <c r="I20" i="50"/>
  <c r="H20" i="50"/>
  <c r="F20" i="50"/>
  <c r="B20" i="50"/>
  <c r="A20" i="50"/>
  <c r="L19" i="50"/>
  <c r="I19" i="50"/>
  <c r="H19" i="50"/>
  <c r="F19" i="50"/>
  <c r="B19" i="50"/>
  <c r="A19" i="50"/>
  <c r="L18" i="50"/>
  <c r="I18" i="50"/>
  <c r="H18" i="50"/>
  <c r="F18" i="50"/>
  <c r="B18" i="50"/>
  <c r="A18" i="50"/>
  <c r="L17" i="50"/>
  <c r="I17" i="50"/>
  <c r="H17" i="50"/>
  <c r="F17" i="50"/>
  <c r="B17" i="50"/>
  <c r="A17" i="50"/>
  <c r="L16" i="50"/>
  <c r="I16" i="50"/>
  <c r="H16" i="50"/>
  <c r="F16" i="50"/>
  <c r="B16" i="50"/>
  <c r="A16" i="50"/>
  <c r="L15" i="50"/>
  <c r="I15" i="50"/>
  <c r="H15" i="50"/>
  <c r="F15" i="50"/>
  <c r="B15" i="50"/>
  <c r="A15" i="50"/>
  <c r="L14" i="50"/>
  <c r="I14" i="50"/>
  <c r="H14" i="50"/>
  <c r="F14" i="50"/>
  <c r="B14" i="50"/>
  <c r="A14" i="50"/>
  <c r="L13" i="50"/>
  <c r="I13" i="50"/>
  <c r="H13" i="50"/>
  <c r="F13" i="50"/>
  <c r="B13" i="50"/>
  <c r="A13" i="50"/>
  <c r="L12" i="50"/>
  <c r="I12" i="50"/>
  <c r="H12" i="50"/>
  <c r="F12" i="50"/>
  <c r="B12" i="50"/>
  <c r="A12" i="50"/>
  <c r="L11" i="50"/>
  <c r="I11" i="50"/>
  <c r="H11" i="50"/>
  <c r="F11" i="50"/>
  <c r="B11" i="50"/>
  <c r="A11" i="50"/>
  <c r="L10" i="50"/>
  <c r="I10" i="50"/>
  <c r="H10" i="50"/>
  <c r="F10" i="50"/>
  <c r="B10" i="50"/>
  <c r="A10" i="50"/>
  <c r="L9" i="50"/>
  <c r="H9" i="50"/>
  <c r="F9" i="50"/>
  <c r="B9" i="50"/>
  <c r="A9" i="50"/>
  <c r="L33" i="49"/>
  <c r="I33" i="49"/>
  <c r="H33" i="49"/>
  <c r="F33" i="49"/>
  <c r="B33" i="49"/>
  <c r="A33" i="49"/>
  <c r="L32" i="49"/>
  <c r="I32" i="49"/>
  <c r="H32" i="49"/>
  <c r="F32" i="49"/>
  <c r="B32" i="49"/>
  <c r="A32" i="49"/>
  <c r="L31" i="49"/>
  <c r="I31" i="49"/>
  <c r="H31" i="49"/>
  <c r="F31" i="49"/>
  <c r="B31" i="49"/>
  <c r="A31" i="49"/>
  <c r="L30" i="49"/>
  <c r="I30" i="49"/>
  <c r="H30" i="49"/>
  <c r="F30" i="49"/>
  <c r="B30" i="49"/>
  <c r="A30" i="49"/>
  <c r="L29" i="49"/>
  <c r="H29" i="49"/>
  <c r="F29" i="49"/>
  <c r="B29" i="49"/>
  <c r="A29" i="49"/>
  <c r="L28" i="49"/>
  <c r="I28" i="49"/>
  <c r="H28" i="49"/>
  <c r="F28" i="49"/>
  <c r="B28" i="49"/>
  <c r="A28" i="49"/>
  <c r="L27" i="49"/>
  <c r="I27" i="49"/>
  <c r="H27" i="49"/>
  <c r="F27" i="49"/>
  <c r="B27" i="49"/>
  <c r="A27" i="49"/>
  <c r="L26" i="49"/>
  <c r="I26" i="49"/>
  <c r="H26" i="49"/>
  <c r="F26" i="49"/>
  <c r="B26" i="49"/>
  <c r="A26" i="49"/>
  <c r="L25" i="49"/>
  <c r="I25" i="49"/>
  <c r="H25" i="49"/>
  <c r="F25" i="49"/>
  <c r="B25" i="49"/>
  <c r="A25" i="49"/>
  <c r="L24" i="49"/>
  <c r="I24" i="49"/>
  <c r="H24" i="49"/>
  <c r="F24" i="49"/>
  <c r="B24" i="49"/>
  <c r="A24" i="49"/>
  <c r="L23" i="49"/>
  <c r="I23" i="49"/>
  <c r="H23" i="49"/>
  <c r="F23" i="49"/>
  <c r="B23" i="49"/>
  <c r="A23" i="49"/>
  <c r="L22" i="49"/>
  <c r="I22" i="49"/>
  <c r="H22" i="49"/>
  <c r="F22" i="49"/>
  <c r="B22" i="49"/>
  <c r="A22" i="49"/>
  <c r="L21" i="49"/>
  <c r="I21" i="49"/>
  <c r="H21" i="49"/>
  <c r="F21" i="49"/>
  <c r="B21" i="49"/>
  <c r="A21" i="49"/>
  <c r="L20" i="49"/>
  <c r="H20" i="49"/>
  <c r="F20" i="49"/>
  <c r="B20" i="49"/>
  <c r="A20" i="49"/>
  <c r="L19" i="49"/>
  <c r="H19" i="49"/>
  <c r="F19" i="49"/>
  <c r="B19" i="49"/>
  <c r="A19" i="49"/>
  <c r="L18" i="49"/>
  <c r="I18" i="49"/>
  <c r="H18" i="49"/>
  <c r="F18" i="49"/>
  <c r="B18" i="49"/>
  <c r="A18" i="49"/>
  <c r="L17" i="49"/>
  <c r="I17" i="49"/>
  <c r="H17" i="49"/>
  <c r="F17" i="49"/>
  <c r="B17" i="49"/>
  <c r="A17" i="49"/>
  <c r="L16" i="49"/>
  <c r="I16" i="49"/>
  <c r="H16" i="49"/>
  <c r="F16" i="49"/>
  <c r="B16" i="49"/>
  <c r="A16" i="49"/>
  <c r="L15" i="49"/>
  <c r="I15" i="49"/>
  <c r="H15" i="49"/>
  <c r="F15" i="49"/>
  <c r="B15" i="49"/>
  <c r="A15" i="49"/>
  <c r="L14" i="49"/>
  <c r="H14" i="49"/>
  <c r="F14" i="49"/>
  <c r="B14" i="49"/>
  <c r="A14" i="49"/>
  <c r="L13" i="49"/>
  <c r="H13" i="49"/>
  <c r="F13" i="49"/>
  <c r="B13" i="49"/>
  <c r="A13" i="49"/>
  <c r="L12" i="49"/>
  <c r="H12" i="49"/>
  <c r="F12" i="49"/>
  <c r="B12" i="49"/>
  <c r="A12" i="49"/>
  <c r="L11" i="49"/>
  <c r="I11" i="49"/>
  <c r="H11" i="49"/>
  <c r="F11" i="49"/>
  <c r="B11" i="49"/>
  <c r="A11" i="49"/>
  <c r="L10" i="49"/>
  <c r="I10" i="49"/>
  <c r="H10" i="49"/>
  <c r="F10" i="49"/>
  <c r="B10" i="49"/>
  <c r="A10" i="49"/>
  <c r="L9" i="49"/>
  <c r="I9" i="49"/>
  <c r="H9" i="49"/>
  <c r="F9" i="49"/>
  <c r="B9" i="49"/>
  <c r="A9" i="49"/>
  <c r="L33" i="48"/>
  <c r="I33" i="48"/>
  <c r="H33" i="48"/>
  <c r="F33" i="48"/>
  <c r="L32" i="48"/>
  <c r="I32" i="48"/>
  <c r="H32" i="48"/>
  <c r="F32" i="48"/>
  <c r="L31" i="48"/>
  <c r="I31" i="48"/>
  <c r="H31" i="48"/>
  <c r="F31" i="48"/>
  <c r="L30" i="48"/>
  <c r="I30" i="48"/>
  <c r="H30" i="48"/>
  <c r="F30" i="48"/>
  <c r="L29" i="48"/>
  <c r="I29" i="48"/>
  <c r="H29" i="48"/>
  <c r="F29" i="48"/>
  <c r="L28" i="48"/>
  <c r="I28" i="48"/>
  <c r="H28" i="48"/>
  <c r="F28" i="48"/>
  <c r="L27" i="48"/>
  <c r="I27" i="48"/>
  <c r="H27" i="48"/>
  <c r="F27" i="48"/>
  <c r="L26" i="48"/>
  <c r="I26" i="48"/>
  <c r="H26" i="48"/>
  <c r="F26" i="48"/>
  <c r="L25" i="48"/>
  <c r="I25" i="48"/>
  <c r="H25" i="48"/>
  <c r="F25" i="48"/>
  <c r="L24" i="48"/>
  <c r="I24" i="48"/>
  <c r="H24" i="48"/>
  <c r="F24" i="48"/>
  <c r="L23" i="48"/>
  <c r="I23" i="48"/>
  <c r="H23" i="48"/>
  <c r="F23" i="48"/>
  <c r="L22" i="48"/>
  <c r="I22" i="48"/>
  <c r="H22" i="48"/>
  <c r="F22" i="48"/>
  <c r="L21" i="48"/>
  <c r="I21" i="48"/>
  <c r="H21" i="48"/>
  <c r="F21" i="48"/>
  <c r="L20" i="48"/>
  <c r="I20" i="48"/>
  <c r="H20" i="48"/>
  <c r="F20" i="48"/>
  <c r="L19" i="48"/>
  <c r="I19" i="48"/>
  <c r="H19" i="48"/>
  <c r="F19" i="48"/>
  <c r="L18" i="48"/>
  <c r="I18" i="48"/>
  <c r="H18" i="48"/>
  <c r="F18" i="48"/>
  <c r="L17" i="48"/>
  <c r="H17" i="48"/>
  <c r="F17" i="48"/>
  <c r="L16" i="48"/>
  <c r="I16" i="48"/>
  <c r="H16" i="48"/>
  <c r="F16" i="48"/>
  <c r="L15" i="48"/>
  <c r="H15" i="48"/>
  <c r="F15" i="48"/>
  <c r="L14" i="48"/>
  <c r="H14" i="48"/>
  <c r="F14" i="48"/>
  <c r="L13" i="48"/>
  <c r="H13" i="48"/>
  <c r="F13" i="48"/>
  <c r="L12" i="48"/>
  <c r="H12" i="48"/>
  <c r="F12" i="48"/>
  <c r="L11" i="48"/>
  <c r="H11" i="48"/>
  <c r="F11" i="48"/>
  <c r="L10" i="48"/>
  <c r="I10" i="48"/>
  <c r="H10" i="48"/>
  <c r="F10" i="48"/>
  <c r="L9" i="48"/>
  <c r="I9" i="48"/>
  <c r="H9" i="48"/>
  <c r="F9" i="48"/>
  <c r="L33" i="47"/>
  <c r="I33" i="47"/>
  <c r="H33" i="47"/>
  <c r="F33" i="47"/>
  <c r="L32" i="47"/>
  <c r="I32" i="47"/>
  <c r="H32" i="47"/>
  <c r="F32" i="47"/>
  <c r="L31" i="47"/>
  <c r="I31" i="47"/>
  <c r="H31" i="47"/>
  <c r="F31" i="47"/>
  <c r="L30" i="47"/>
  <c r="I30" i="47"/>
  <c r="H30" i="47"/>
  <c r="F30" i="47"/>
  <c r="L29" i="47"/>
  <c r="I29" i="47"/>
  <c r="H29" i="47"/>
  <c r="F29" i="47"/>
  <c r="L28" i="47"/>
  <c r="I28" i="47"/>
  <c r="H28" i="47"/>
  <c r="F28" i="47"/>
  <c r="L27" i="47"/>
  <c r="I27" i="47"/>
  <c r="H27" i="47"/>
  <c r="F27" i="47"/>
  <c r="L26" i="47"/>
  <c r="I26" i="47"/>
  <c r="H26" i="47"/>
  <c r="F26" i="47"/>
  <c r="L25" i="47"/>
  <c r="I25" i="47"/>
  <c r="H25" i="47"/>
  <c r="F25" i="47"/>
  <c r="L24" i="47"/>
  <c r="I24" i="47"/>
  <c r="H24" i="47"/>
  <c r="F24" i="47"/>
  <c r="L23" i="47"/>
  <c r="I23" i="47"/>
  <c r="H23" i="47"/>
  <c r="F23" i="47"/>
  <c r="L22" i="47"/>
  <c r="I22" i="47"/>
  <c r="H22" i="47"/>
  <c r="F22" i="47"/>
  <c r="L21" i="47"/>
  <c r="I21" i="47"/>
  <c r="H21" i="47"/>
  <c r="F21" i="47"/>
  <c r="L20" i="47"/>
  <c r="I20" i="47"/>
  <c r="H20" i="47"/>
  <c r="F20" i="47"/>
  <c r="L19" i="47"/>
  <c r="I19" i="47"/>
  <c r="H19" i="47"/>
  <c r="F19" i="47"/>
  <c r="L18" i="47"/>
  <c r="I18" i="47"/>
  <c r="H18" i="47"/>
  <c r="F18" i="47"/>
  <c r="L17" i="47"/>
  <c r="I17" i="47"/>
  <c r="H17" i="47"/>
  <c r="F17" i="47"/>
  <c r="L16" i="47"/>
  <c r="I16" i="47"/>
  <c r="H16" i="47"/>
  <c r="F16" i="47"/>
  <c r="L15" i="47"/>
  <c r="H15" i="47"/>
  <c r="F15" i="47"/>
  <c r="L14" i="47"/>
  <c r="I14" i="47"/>
  <c r="H14" i="47"/>
  <c r="F14" i="47"/>
  <c r="L13" i="47"/>
  <c r="H13" i="47"/>
  <c r="F13" i="47"/>
  <c r="L12" i="47"/>
  <c r="I12" i="47"/>
  <c r="H12" i="47"/>
  <c r="F12" i="47"/>
  <c r="L11" i="47"/>
  <c r="H11" i="47"/>
  <c r="F11" i="47"/>
  <c r="L10" i="47"/>
  <c r="I10" i="47"/>
  <c r="H10" i="47"/>
  <c r="F10" i="47"/>
  <c r="L9" i="47"/>
  <c r="H9" i="47"/>
  <c r="F9" i="47"/>
  <c r="B33" i="48"/>
  <c r="A33" i="48"/>
  <c r="B32" i="48"/>
  <c r="A32" i="48"/>
  <c r="B31" i="48"/>
  <c r="A31" i="48"/>
  <c r="B30" i="48"/>
  <c r="A30" i="48"/>
  <c r="B29" i="48"/>
  <c r="A29" i="48"/>
  <c r="B28" i="48"/>
  <c r="A28" i="48"/>
  <c r="B27" i="48"/>
  <c r="A27" i="48"/>
  <c r="B26" i="48"/>
  <c r="A26" i="48"/>
  <c r="B25" i="48"/>
  <c r="A25" i="48"/>
  <c r="B24" i="48"/>
  <c r="A24" i="48"/>
  <c r="B23" i="48"/>
  <c r="A23" i="48"/>
  <c r="B22" i="48"/>
  <c r="A22" i="48"/>
  <c r="B21" i="48"/>
  <c r="A21" i="48"/>
  <c r="B20" i="48"/>
  <c r="A20" i="48"/>
  <c r="B19" i="48"/>
  <c r="A19" i="48"/>
  <c r="B18" i="48"/>
  <c r="A18" i="48"/>
  <c r="B17" i="48"/>
  <c r="A17" i="48"/>
  <c r="B16" i="48"/>
  <c r="A16" i="48"/>
  <c r="B15" i="48"/>
  <c r="A15" i="48"/>
  <c r="B14" i="48"/>
  <c r="A14" i="48"/>
  <c r="B13" i="48"/>
  <c r="A13" i="48"/>
  <c r="B12" i="48"/>
  <c r="A12" i="48"/>
  <c r="B11" i="48"/>
  <c r="A11" i="48"/>
  <c r="B10" i="48"/>
  <c r="A10" i="48"/>
  <c r="B9" i="48"/>
  <c r="A9" i="48"/>
  <c r="B33" i="47"/>
  <c r="A33" i="47"/>
  <c r="B32" i="47"/>
  <c r="A32" i="47"/>
  <c r="B31" i="47"/>
  <c r="A31" i="47"/>
  <c r="B30" i="47"/>
  <c r="A30" i="47"/>
  <c r="B29" i="47"/>
  <c r="A29" i="47"/>
  <c r="B28" i="47"/>
  <c r="A28" i="47"/>
  <c r="B27" i="47"/>
  <c r="A27" i="47"/>
  <c r="B26" i="47"/>
  <c r="A26" i="47"/>
  <c r="B25" i="47"/>
  <c r="A25" i="47"/>
  <c r="B24" i="47"/>
  <c r="A24" i="47"/>
  <c r="B23" i="47"/>
  <c r="A23" i="47"/>
  <c r="B22" i="47"/>
  <c r="A22" i="47"/>
  <c r="B21" i="47"/>
  <c r="A21" i="47"/>
  <c r="B20" i="47"/>
  <c r="A20" i="47"/>
  <c r="B19" i="47"/>
  <c r="A19" i="47"/>
  <c r="B18" i="47"/>
  <c r="A18" i="47"/>
  <c r="B17" i="47"/>
  <c r="A17" i="47"/>
  <c r="B16" i="47"/>
  <c r="A16" i="47"/>
  <c r="B15" i="47"/>
  <c r="A15" i="47"/>
  <c r="B14" i="47"/>
  <c r="A14" i="47"/>
  <c r="B13" i="47"/>
  <c r="A13" i="47"/>
  <c r="B12" i="47"/>
  <c r="A12" i="47"/>
  <c r="B11" i="47"/>
  <c r="A11" i="47"/>
  <c r="B10" i="47"/>
  <c r="A10" i="47"/>
  <c r="B9" i="47"/>
  <c r="A9" i="47"/>
  <c r="L33" i="44"/>
  <c r="I33" i="44"/>
  <c r="H33" i="44"/>
  <c r="F33" i="44"/>
  <c r="B33" i="44"/>
  <c r="A33" i="44"/>
  <c r="L32" i="44"/>
  <c r="I32" i="44"/>
  <c r="H32" i="44"/>
  <c r="F32" i="44"/>
  <c r="B32" i="44"/>
  <c r="A32" i="44"/>
  <c r="L31" i="44"/>
  <c r="I31" i="44"/>
  <c r="H31" i="44"/>
  <c r="F31" i="44"/>
  <c r="B31" i="44"/>
  <c r="A31" i="44"/>
  <c r="L30" i="44"/>
  <c r="I30" i="44"/>
  <c r="H30" i="44"/>
  <c r="F30" i="44"/>
  <c r="B30" i="44"/>
  <c r="A30" i="44"/>
  <c r="L29" i="44"/>
  <c r="I29" i="44"/>
  <c r="H29" i="44"/>
  <c r="F29" i="44"/>
  <c r="B29" i="44"/>
  <c r="A29" i="44"/>
  <c r="L28" i="44"/>
  <c r="I28" i="44"/>
  <c r="H28" i="44"/>
  <c r="F28" i="44"/>
  <c r="B28" i="44"/>
  <c r="A28" i="44"/>
  <c r="L27" i="44"/>
  <c r="I27" i="44"/>
  <c r="H27" i="44"/>
  <c r="F27" i="44"/>
  <c r="B27" i="44"/>
  <c r="A27" i="44"/>
  <c r="L26" i="44"/>
  <c r="I26" i="44"/>
  <c r="H26" i="44"/>
  <c r="F26" i="44"/>
  <c r="B26" i="44"/>
  <c r="A26" i="44"/>
  <c r="L25" i="44"/>
  <c r="I25" i="44"/>
  <c r="H25" i="44"/>
  <c r="F25" i="44"/>
  <c r="B25" i="44"/>
  <c r="A25" i="44"/>
  <c r="L24" i="44"/>
  <c r="I24" i="44"/>
  <c r="H24" i="44"/>
  <c r="F24" i="44"/>
  <c r="B24" i="44"/>
  <c r="A24" i="44"/>
  <c r="L23" i="44"/>
  <c r="I23" i="44"/>
  <c r="H23" i="44"/>
  <c r="F23" i="44"/>
  <c r="B23" i="44"/>
  <c r="A23" i="44"/>
  <c r="L22" i="44"/>
  <c r="I22" i="44"/>
  <c r="H22" i="44"/>
  <c r="F22" i="44"/>
  <c r="B22" i="44"/>
  <c r="A22" i="44"/>
  <c r="L21" i="44"/>
  <c r="I21" i="44"/>
  <c r="H21" i="44"/>
  <c r="F21" i="44"/>
  <c r="B21" i="44"/>
  <c r="A21" i="44"/>
  <c r="L20" i="44"/>
  <c r="I20" i="44"/>
  <c r="H20" i="44"/>
  <c r="F20" i="44"/>
  <c r="B20" i="44"/>
  <c r="A20" i="44"/>
  <c r="L19" i="44"/>
  <c r="I19" i="44"/>
  <c r="H19" i="44"/>
  <c r="F19" i="44"/>
  <c r="B19" i="44"/>
  <c r="A19" i="44"/>
  <c r="L18" i="44"/>
  <c r="I18" i="44"/>
  <c r="H18" i="44"/>
  <c r="F18" i="44"/>
  <c r="B18" i="44"/>
  <c r="A18" i="44"/>
  <c r="L17" i="44"/>
  <c r="H17" i="44"/>
  <c r="F17" i="44"/>
  <c r="B17" i="44"/>
  <c r="A17" i="44"/>
  <c r="L16" i="44"/>
  <c r="H16" i="44"/>
  <c r="F16" i="44"/>
  <c r="B16" i="44"/>
  <c r="A16" i="44"/>
  <c r="L15" i="44"/>
  <c r="I15" i="44"/>
  <c r="H15" i="44"/>
  <c r="F15" i="44"/>
  <c r="B15" i="44"/>
  <c r="A15" i="44"/>
  <c r="L14" i="44"/>
  <c r="I14" i="44"/>
  <c r="H14" i="44"/>
  <c r="F14" i="44"/>
  <c r="B14" i="44"/>
  <c r="A14" i="44"/>
  <c r="L13" i="44"/>
  <c r="H13" i="44"/>
  <c r="F13" i="44"/>
  <c r="B13" i="44"/>
  <c r="A13" i="44"/>
  <c r="L12" i="44"/>
  <c r="I12" i="44"/>
  <c r="H12" i="44"/>
  <c r="F12" i="44"/>
  <c r="B12" i="44"/>
  <c r="A12" i="44"/>
  <c r="L11" i="44"/>
  <c r="I11" i="44"/>
  <c r="H11" i="44"/>
  <c r="F11" i="44"/>
  <c r="B11" i="44"/>
  <c r="A11" i="44"/>
  <c r="L10" i="44"/>
  <c r="I10" i="44"/>
  <c r="H10" i="44"/>
  <c r="F10" i="44"/>
  <c r="B10" i="44"/>
  <c r="A10" i="44"/>
  <c r="L9" i="44"/>
  <c r="I9" i="44"/>
  <c r="H9" i="44"/>
  <c r="F9" i="44"/>
  <c r="B9" i="44"/>
  <c r="A9" i="44"/>
  <c r="L33" i="43"/>
  <c r="I33" i="43"/>
  <c r="H33" i="43"/>
  <c r="F33" i="43"/>
  <c r="B33" i="43"/>
  <c r="A33" i="43"/>
  <c r="L32" i="43"/>
  <c r="I32" i="43"/>
  <c r="H32" i="43"/>
  <c r="F32" i="43"/>
  <c r="B32" i="43"/>
  <c r="A32" i="43"/>
  <c r="L31" i="43"/>
  <c r="I31" i="43"/>
  <c r="H31" i="43"/>
  <c r="F31" i="43"/>
  <c r="B31" i="43"/>
  <c r="A31" i="43"/>
  <c r="L30" i="43"/>
  <c r="I30" i="43"/>
  <c r="H30" i="43"/>
  <c r="F30" i="43"/>
  <c r="B30" i="43"/>
  <c r="A30" i="43"/>
  <c r="L29" i="43"/>
  <c r="I29" i="43"/>
  <c r="H29" i="43"/>
  <c r="F29" i="43"/>
  <c r="B29" i="43"/>
  <c r="A29" i="43"/>
  <c r="L28" i="43"/>
  <c r="I28" i="43"/>
  <c r="H28" i="43"/>
  <c r="F28" i="43"/>
  <c r="B28" i="43"/>
  <c r="A28" i="43"/>
  <c r="L27" i="43"/>
  <c r="I27" i="43"/>
  <c r="H27" i="43"/>
  <c r="F27" i="43"/>
  <c r="B27" i="43"/>
  <c r="A27" i="43"/>
  <c r="L26" i="43"/>
  <c r="I26" i="43"/>
  <c r="H26" i="43"/>
  <c r="F26" i="43"/>
  <c r="B26" i="43"/>
  <c r="A26" i="43"/>
  <c r="L25" i="43"/>
  <c r="I25" i="43"/>
  <c r="H25" i="43"/>
  <c r="F25" i="43"/>
  <c r="B25" i="43"/>
  <c r="A25" i="43"/>
  <c r="L24" i="43"/>
  <c r="I24" i="43"/>
  <c r="H24" i="43"/>
  <c r="F24" i="43"/>
  <c r="B24" i="43"/>
  <c r="A24" i="43"/>
  <c r="L23" i="43"/>
  <c r="I23" i="43"/>
  <c r="H23" i="43"/>
  <c r="F23" i="43"/>
  <c r="B23" i="43"/>
  <c r="A23" i="43"/>
  <c r="L22" i="43"/>
  <c r="I22" i="43"/>
  <c r="H22" i="43"/>
  <c r="F22" i="43"/>
  <c r="B22" i="43"/>
  <c r="A22" i="43"/>
  <c r="L21" i="43"/>
  <c r="I21" i="43"/>
  <c r="H21" i="43"/>
  <c r="F21" i="43"/>
  <c r="B21" i="43"/>
  <c r="A21" i="43"/>
  <c r="L20" i="43"/>
  <c r="I20" i="43"/>
  <c r="H20" i="43"/>
  <c r="F20" i="43"/>
  <c r="B20" i="43"/>
  <c r="A20" i="43"/>
  <c r="L19" i="43"/>
  <c r="I19" i="43"/>
  <c r="H19" i="43"/>
  <c r="F19" i="43"/>
  <c r="B19" i="43"/>
  <c r="A19" i="43"/>
  <c r="L18" i="43"/>
  <c r="H18" i="43"/>
  <c r="F18" i="43"/>
  <c r="B18" i="43"/>
  <c r="A18" i="43"/>
  <c r="L17" i="43"/>
  <c r="H17" i="43"/>
  <c r="F17" i="43"/>
  <c r="B17" i="43"/>
  <c r="A17" i="43"/>
  <c r="L16" i="43"/>
  <c r="H16" i="43"/>
  <c r="F16" i="43"/>
  <c r="B16" i="43"/>
  <c r="A16" i="43"/>
  <c r="L15" i="43"/>
  <c r="H15" i="43"/>
  <c r="F15" i="43"/>
  <c r="B15" i="43"/>
  <c r="A15" i="43"/>
  <c r="L14" i="43"/>
  <c r="H14" i="43"/>
  <c r="F14" i="43"/>
  <c r="B14" i="43"/>
  <c r="A14" i="43"/>
  <c r="L13" i="43"/>
  <c r="H13" i="43"/>
  <c r="F13" i="43"/>
  <c r="B13" i="43"/>
  <c r="A13" i="43"/>
  <c r="L12" i="43"/>
  <c r="H12" i="43"/>
  <c r="F12" i="43"/>
  <c r="B12" i="43"/>
  <c r="A12" i="43"/>
  <c r="L11" i="43"/>
  <c r="H11" i="43"/>
  <c r="F11" i="43"/>
  <c r="B11" i="43"/>
  <c r="A11" i="43"/>
  <c r="L10" i="43"/>
  <c r="H10" i="43"/>
  <c r="F10" i="43"/>
  <c r="B10" i="43"/>
  <c r="A10" i="43"/>
  <c r="L9" i="43"/>
  <c r="H9" i="43"/>
  <c r="F9" i="43"/>
  <c r="B9" i="43"/>
  <c r="A9" i="43"/>
  <c r="O36" i="42"/>
  <c r="K36" i="42"/>
  <c r="J36" i="42"/>
  <c r="H36" i="42"/>
  <c r="G36" i="42"/>
  <c r="S35" i="42"/>
  <c r="R35" i="42"/>
  <c r="N35" i="42"/>
  <c r="M35" i="42"/>
  <c r="F35" i="42"/>
  <c r="C35" i="42"/>
  <c r="B35" i="42"/>
  <c r="A35" i="42"/>
  <c r="P35" i="42" s="1"/>
  <c r="S34" i="42"/>
  <c r="R34" i="42"/>
  <c r="N34" i="42"/>
  <c r="M34" i="42"/>
  <c r="F34" i="42"/>
  <c r="C34" i="42"/>
  <c r="B34" i="42"/>
  <c r="A34" i="42"/>
  <c r="P34" i="42" s="1"/>
  <c r="S33" i="42"/>
  <c r="R33" i="42"/>
  <c r="N33" i="42"/>
  <c r="M33" i="42"/>
  <c r="F33" i="42"/>
  <c r="C33" i="42"/>
  <c r="B33" i="42"/>
  <c r="A33" i="42"/>
  <c r="P33" i="42" s="1"/>
  <c r="S32" i="42"/>
  <c r="R32" i="42"/>
  <c r="N32" i="42"/>
  <c r="M32" i="42"/>
  <c r="F32" i="42"/>
  <c r="C32" i="42"/>
  <c r="B32" i="42"/>
  <c r="A32" i="42"/>
  <c r="P32" i="42" s="1"/>
  <c r="S31" i="42"/>
  <c r="R31" i="42"/>
  <c r="N31" i="42"/>
  <c r="M31" i="42"/>
  <c r="F31" i="42"/>
  <c r="C31" i="42"/>
  <c r="B31" i="42"/>
  <c r="A31" i="42"/>
  <c r="P31" i="42" s="1"/>
  <c r="S30" i="42"/>
  <c r="R30" i="42"/>
  <c r="P30" i="42"/>
  <c r="N30" i="42"/>
  <c r="M30" i="42"/>
  <c r="F30" i="42"/>
  <c r="C30" i="42"/>
  <c r="B30" i="42"/>
  <c r="A30" i="42"/>
  <c r="S29" i="42"/>
  <c r="R29" i="42"/>
  <c r="P29" i="42"/>
  <c r="N29" i="42"/>
  <c r="M29" i="42"/>
  <c r="F29" i="42"/>
  <c r="C29" i="42"/>
  <c r="B29" i="42"/>
  <c r="A29" i="42"/>
  <c r="S28" i="42"/>
  <c r="R28" i="42"/>
  <c r="N28" i="42"/>
  <c r="M28" i="42"/>
  <c r="F28" i="42"/>
  <c r="C28" i="42"/>
  <c r="B28" i="42"/>
  <c r="A28" i="42"/>
  <c r="P28" i="42" s="1"/>
  <c r="S27" i="42"/>
  <c r="R27" i="42"/>
  <c r="N27" i="42"/>
  <c r="M27" i="42"/>
  <c r="F27" i="42"/>
  <c r="C27" i="42"/>
  <c r="B27" i="42"/>
  <c r="A27" i="42"/>
  <c r="P27" i="42" s="1"/>
  <c r="S26" i="42"/>
  <c r="R26" i="42"/>
  <c r="N26" i="42"/>
  <c r="M26" i="42"/>
  <c r="F26" i="42"/>
  <c r="C26" i="42"/>
  <c r="B26" i="42"/>
  <c r="A26" i="42"/>
  <c r="P26" i="42" s="1"/>
  <c r="S25" i="42"/>
  <c r="R25" i="42"/>
  <c r="N25" i="42"/>
  <c r="M25" i="42"/>
  <c r="F25" i="42"/>
  <c r="C25" i="42"/>
  <c r="B25" i="42"/>
  <c r="A25" i="42"/>
  <c r="P25" i="42" s="1"/>
  <c r="S24" i="42"/>
  <c r="R24" i="42"/>
  <c r="N24" i="42"/>
  <c r="M24" i="42"/>
  <c r="F24" i="42"/>
  <c r="C24" i="42"/>
  <c r="B24" i="42"/>
  <c r="A24" i="42"/>
  <c r="P24" i="42" s="1"/>
  <c r="S23" i="42"/>
  <c r="R23" i="42"/>
  <c r="N23" i="42"/>
  <c r="M23" i="42"/>
  <c r="F23" i="42"/>
  <c r="C23" i="42"/>
  <c r="B23" i="42"/>
  <c r="A23" i="42"/>
  <c r="P23" i="42" s="1"/>
  <c r="S22" i="42"/>
  <c r="R22" i="42"/>
  <c r="P22" i="42"/>
  <c r="N22" i="42"/>
  <c r="M22" i="42"/>
  <c r="F22" i="42"/>
  <c r="C22" i="42"/>
  <c r="B22" i="42"/>
  <c r="A22" i="42"/>
  <c r="S21" i="42"/>
  <c r="R21" i="42"/>
  <c r="P21" i="42"/>
  <c r="N21" i="42"/>
  <c r="M21" i="42"/>
  <c r="F21" i="42"/>
  <c r="C21" i="42"/>
  <c r="B21" i="42"/>
  <c r="A21" i="42"/>
  <c r="S20" i="42"/>
  <c r="R20" i="42"/>
  <c r="N20" i="42"/>
  <c r="M20" i="42"/>
  <c r="F20" i="42"/>
  <c r="C20" i="42"/>
  <c r="B20" i="42"/>
  <c r="A20" i="42"/>
  <c r="S19" i="42"/>
  <c r="R19" i="42"/>
  <c r="N19" i="42"/>
  <c r="M19" i="42"/>
  <c r="F19" i="42"/>
  <c r="C19" i="42"/>
  <c r="B19" i="42"/>
  <c r="A19" i="42"/>
  <c r="S18" i="42"/>
  <c r="R18" i="42"/>
  <c r="N18" i="42"/>
  <c r="M18" i="42"/>
  <c r="F18" i="42"/>
  <c r="C18" i="42"/>
  <c r="B18" i="42"/>
  <c r="A18" i="42"/>
  <c r="S17" i="42"/>
  <c r="R17" i="42"/>
  <c r="N17" i="42"/>
  <c r="M17" i="42"/>
  <c r="F17" i="42"/>
  <c r="C17" i="42"/>
  <c r="B17" i="42"/>
  <c r="A17" i="42"/>
  <c r="S16" i="42"/>
  <c r="R16" i="42"/>
  <c r="N16" i="42"/>
  <c r="M16" i="42"/>
  <c r="F16" i="42"/>
  <c r="C16" i="42"/>
  <c r="B16" i="42"/>
  <c r="A16" i="42"/>
  <c r="S15" i="42"/>
  <c r="R15" i="42"/>
  <c r="N15" i="42"/>
  <c r="M15" i="42"/>
  <c r="M36" i="42" s="1"/>
  <c r="F15" i="42"/>
  <c r="C15" i="42"/>
  <c r="B15" i="42"/>
  <c r="A15" i="42"/>
  <c r="S14" i="42"/>
  <c r="R14" i="42"/>
  <c r="N14" i="42"/>
  <c r="M14" i="42"/>
  <c r="F14" i="42"/>
  <c r="C14" i="42"/>
  <c r="B14" i="42"/>
  <c r="A14" i="42"/>
  <c r="S13" i="42"/>
  <c r="R13" i="42"/>
  <c r="N13" i="42"/>
  <c r="M13" i="42"/>
  <c r="F13" i="42"/>
  <c r="C13" i="42"/>
  <c r="B13" i="42"/>
  <c r="A13" i="42"/>
  <c r="S12" i="42"/>
  <c r="R12" i="42"/>
  <c r="N12" i="42"/>
  <c r="M12" i="42"/>
  <c r="F12" i="42"/>
  <c r="C12" i="42"/>
  <c r="B12" i="42"/>
  <c r="A12" i="42"/>
  <c r="S11" i="42"/>
  <c r="R11" i="42"/>
  <c r="N11" i="42"/>
  <c r="M11" i="42"/>
  <c r="F11" i="42"/>
  <c r="C11" i="42"/>
  <c r="B11" i="42"/>
  <c r="A11" i="42"/>
  <c r="O36" i="41"/>
  <c r="K36" i="41"/>
  <c r="J36" i="41"/>
  <c r="H36" i="41"/>
  <c r="G36" i="41"/>
  <c r="S35" i="41"/>
  <c r="R35" i="41"/>
  <c r="P35" i="41"/>
  <c r="N35" i="41"/>
  <c r="M35" i="41"/>
  <c r="F35" i="41"/>
  <c r="C35" i="41"/>
  <c r="B35" i="41"/>
  <c r="A35" i="41"/>
  <c r="S34" i="41"/>
  <c r="R34" i="41"/>
  <c r="N34" i="41"/>
  <c r="M34" i="41"/>
  <c r="F34" i="41"/>
  <c r="C34" i="41"/>
  <c r="B34" i="41"/>
  <c r="A34" i="41"/>
  <c r="P34" i="41" s="1"/>
  <c r="S33" i="41"/>
  <c r="R33" i="41"/>
  <c r="N33" i="41"/>
  <c r="M33" i="41"/>
  <c r="F33" i="41"/>
  <c r="C33" i="41"/>
  <c r="B33" i="41"/>
  <c r="A33" i="41"/>
  <c r="P33" i="41" s="1"/>
  <c r="S32" i="41"/>
  <c r="R32" i="41"/>
  <c r="N32" i="41"/>
  <c r="M32" i="41"/>
  <c r="F32" i="41"/>
  <c r="C32" i="41"/>
  <c r="B32" i="41"/>
  <c r="A32" i="41"/>
  <c r="P32" i="41" s="1"/>
  <c r="S31" i="41"/>
  <c r="R31" i="41"/>
  <c r="P31" i="41"/>
  <c r="N31" i="41"/>
  <c r="M31" i="41"/>
  <c r="F31" i="41"/>
  <c r="C31" i="41"/>
  <c r="B31" i="41"/>
  <c r="A31" i="41"/>
  <c r="S30" i="41"/>
  <c r="R30" i="41"/>
  <c r="N30" i="41"/>
  <c r="M30" i="41"/>
  <c r="F30" i="41"/>
  <c r="C30" i="41"/>
  <c r="B30" i="41"/>
  <c r="A30" i="41"/>
  <c r="P30" i="41" s="1"/>
  <c r="S29" i="41"/>
  <c r="R29" i="41"/>
  <c r="P29" i="41"/>
  <c r="N29" i="41"/>
  <c r="M29" i="41"/>
  <c r="F29" i="41"/>
  <c r="C29" i="41"/>
  <c r="B29" i="41"/>
  <c r="A29" i="41"/>
  <c r="S28" i="41"/>
  <c r="R28" i="41"/>
  <c r="P28" i="41"/>
  <c r="N28" i="41"/>
  <c r="M28" i="41"/>
  <c r="F28" i="41"/>
  <c r="C28" i="41"/>
  <c r="B28" i="41"/>
  <c r="A28" i="41"/>
  <c r="S27" i="41"/>
  <c r="R27" i="41"/>
  <c r="P27" i="41"/>
  <c r="N27" i="41"/>
  <c r="M27" i="41"/>
  <c r="F27" i="41"/>
  <c r="C27" i="41"/>
  <c r="B27" i="41"/>
  <c r="A27" i="41"/>
  <c r="S26" i="41"/>
  <c r="R26" i="41"/>
  <c r="N26" i="41"/>
  <c r="M26" i="41"/>
  <c r="F26" i="41"/>
  <c r="C26" i="41"/>
  <c r="B26" i="41"/>
  <c r="A26" i="41"/>
  <c r="P26" i="41" s="1"/>
  <c r="S25" i="41"/>
  <c r="R25" i="41"/>
  <c r="N25" i="41"/>
  <c r="M25" i="41"/>
  <c r="F25" i="41"/>
  <c r="C25" i="41"/>
  <c r="B25" i="41"/>
  <c r="A25" i="41"/>
  <c r="P25" i="41" s="1"/>
  <c r="S24" i="41"/>
  <c r="R24" i="41"/>
  <c r="N24" i="41"/>
  <c r="M24" i="41"/>
  <c r="F24" i="41"/>
  <c r="C24" i="41"/>
  <c r="B24" i="41"/>
  <c r="A24" i="41"/>
  <c r="P24" i="41" s="1"/>
  <c r="S23" i="41"/>
  <c r="R23" i="41"/>
  <c r="P23" i="41"/>
  <c r="N23" i="41"/>
  <c r="M23" i="41"/>
  <c r="F23" i="41"/>
  <c r="C23" i="41"/>
  <c r="B23" i="41"/>
  <c r="A23" i="41"/>
  <c r="S22" i="41"/>
  <c r="R22" i="41"/>
  <c r="N22" i="41"/>
  <c r="M22" i="41"/>
  <c r="F22" i="41"/>
  <c r="C22" i="41"/>
  <c r="B22" i="41"/>
  <c r="A22" i="41"/>
  <c r="P22" i="41" s="1"/>
  <c r="S21" i="41"/>
  <c r="R21" i="41"/>
  <c r="P21" i="41"/>
  <c r="N21" i="41"/>
  <c r="M21" i="41"/>
  <c r="F21" i="41"/>
  <c r="C21" i="41"/>
  <c r="B21" i="41"/>
  <c r="A21" i="41"/>
  <c r="S20" i="41"/>
  <c r="R20" i="41"/>
  <c r="N20" i="41"/>
  <c r="M20" i="41"/>
  <c r="F20" i="41"/>
  <c r="C20" i="41"/>
  <c r="B20" i="41"/>
  <c r="A20" i="41"/>
  <c r="S19" i="41"/>
  <c r="R19" i="41"/>
  <c r="N19" i="41"/>
  <c r="M19" i="41"/>
  <c r="I17" i="48" s="1"/>
  <c r="F19" i="41"/>
  <c r="C19" i="41"/>
  <c r="B19" i="41"/>
  <c r="A19" i="41"/>
  <c r="S18" i="41"/>
  <c r="R18" i="41"/>
  <c r="N18" i="41"/>
  <c r="M18" i="41"/>
  <c r="F18" i="41"/>
  <c r="C18" i="41"/>
  <c r="B18" i="41"/>
  <c r="A18" i="41"/>
  <c r="S17" i="41"/>
  <c r="R17" i="41"/>
  <c r="N17" i="41"/>
  <c r="M17" i="41"/>
  <c r="I15" i="48" s="1"/>
  <c r="F17" i="41"/>
  <c r="C17" i="41"/>
  <c r="B17" i="41"/>
  <c r="A17" i="41"/>
  <c r="S16" i="41"/>
  <c r="R16" i="41"/>
  <c r="N16" i="41"/>
  <c r="M16" i="41"/>
  <c r="I14" i="48" s="1"/>
  <c r="F16" i="41"/>
  <c r="C16" i="41"/>
  <c r="B16" i="41"/>
  <c r="A16" i="41"/>
  <c r="S15" i="41"/>
  <c r="R15" i="41"/>
  <c r="N15" i="41"/>
  <c r="M15" i="41"/>
  <c r="I13" i="48" s="1"/>
  <c r="F15" i="41"/>
  <c r="C15" i="41"/>
  <c r="B15" i="41"/>
  <c r="A15" i="41"/>
  <c r="S14" i="41"/>
  <c r="R14" i="41"/>
  <c r="N14" i="41"/>
  <c r="M14" i="41"/>
  <c r="I12" i="48" s="1"/>
  <c r="F14" i="41"/>
  <c r="C14" i="41"/>
  <c r="B14" i="41"/>
  <c r="A14" i="41"/>
  <c r="S13" i="41"/>
  <c r="M13" i="41" s="1"/>
  <c r="N13" i="41" s="1"/>
  <c r="R13" i="41"/>
  <c r="F13" i="41"/>
  <c r="C13" i="41"/>
  <c r="B13" i="41"/>
  <c r="A13" i="41"/>
  <c r="S12" i="41"/>
  <c r="R12" i="41"/>
  <c r="N12" i="41"/>
  <c r="M12" i="41"/>
  <c r="F12" i="41"/>
  <c r="C12" i="41"/>
  <c r="B12" i="41"/>
  <c r="A12" i="41"/>
  <c r="S11" i="41"/>
  <c r="R11" i="41"/>
  <c r="N11" i="41"/>
  <c r="M11" i="41"/>
  <c r="F11" i="41"/>
  <c r="C11" i="41"/>
  <c r="B11" i="41"/>
  <c r="A11" i="41"/>
  <c r="O36" i="40"/>
  <c r="K36" i="40"/>
  <c r="J36" i="40"/>
  <c r="H36" i="40"/>
  <c r="G36" i="40"/>
  <c r="S35" i="40"/>
  <c r="R35" i="40"/>
  <c r="N35" i="40"/>
  <c r="M35" i="40"/>
  <c r="F35" i="40"/>
  <c r="C35" i="40"/>
  <c r="B35" i="40"/>
  <c r="A35" i="40"/>
  <c r="P35" i="40" s="1"/>
  <c r="S34" i="40"/>
  <c r="R34" i="40"/>
  <c r="N34" i="40"/>
  <c r="M34" i="40"/>
  <c r="F34" i="40"/>
  <c r="C34" i="40"/>
  <c r="B34" i="40"/>
  <c r="A34" i="40"/>
  <c r="P34" i="40" s="1"/>
  <c r="S33" i="40"/>
  <c r="R33" i="40"/>
  <c r="P33" i="40"/>
  <c r="N33" i="40"/>
  <c r="M33" i="40"/>
  <c r="F33" i="40"/>
  <c r="C33" i="40"/>
  <c r="B33" i="40"/>
  <c r="A33" i="40"/>
  <c r="S32" i="40"/>
  <c r="R32" i="40"/>
  <c r="N32" i="40"/>
  <c r="M32" i="40"/>
  <c r="F32" i="40"/>
  <c r="C32" i="40"/>
  <c r="B32" i="40"/>
  <c r="A32" i="40"/>
  <c r="P32" i="40" s="1"/>
  <c r="S31" i="40"/>
  <c r="R31" i="40"/>
  <c r="P31" i="40"/>
  <c r="N31" i="40"/>
  <c r="M31" i="40"/>
  <c r="F31" i="40"/>
  <c r="C31" i="40"/>
  <c r="B31" i="40"/>
  <c r="A31" i="40"/>
  <c r="S30" i="40"/>
  <c r="R30" i="40"/>
  <c r="P30" i="40"/>
  <c r="N30" i="40"/>
  <c r="M30" i="40"/>
  <c r="F30" i="40"/>
  <c r="C30" i="40"/>
  <c r="B30" i="40"/>
  <c r="A30" i="40"/>
  <c r="S29" i="40"/>
  <c r="R29" i="40"/>
  <c r="P29" i="40"/>
  <c r="N29" i="40"/>
  <c r="M29" i="40"/>
  <c r="F29" i="40"/>
  <c r="C29" i="40"/>
  <c r="B29" i="40"/>
  <c r="A29" i="40"/>
  <c r="S28" i="40"/>
  <c r="R28" i="40"/>
  <c r="N28" i="40"/>
  <c r="M28" i="40"/>
  <c r="F28" i="40"/>
  <c r="C28" i="40"/>
  <c r="B28" i="40"/>
  <c r="A28" i="40"/>
  <c r="P28" i="40" s="1"/>
  <c r="S27" i="40"/>
  <c r="R27" i="40"/>
  <c r="N27" i="40"/>
  <c r="M27" i="40"/>
  <c r="F27" i="40"/>
  <c r="C27" i="40"/>
  <c r="B27" i="40"/>
  <c r="A27" i="40"/>
  <c r="P27" i="40" s="1"/>
  <c r="S26" i="40"/>
  <c r="R26" i="40"/>
  <c r="N26" i="40"/>
  <c r="M26" i="40"/>
  <c r="F26" i="40"/>
  <c r="C26" i="40"/>
  <c r="B26" i="40"/>
  <c r="A26" i="40"/>
  <c r="P26" i="40" s="1"/>
  <c r="S25" i="40"/>
  <c r="R25" i="40"/>
  <c r="P25" i="40"/>
  <c r="N25" i="40"/>
  <c r="M25" i="40"/>
  <c r="F25" i="40"/>
  <c r="C25" i="40"/>
  <c r="B25" i="40"/>
  <c r="A25" i="40"/>
  <c r="S24" i="40"/>
  <c r="R24" i="40"/>
  <c r="N24" i="40"/>
  <c r="M24" i="40"/>
  <c r="F24" i="40"/>
  <c r="C24" i="40"/>
  <c r="B24" i="40"/>
  <c r="A24" i="40"/>
  <c r="P24" i="40" s="1"/>
  <c r="S23" i="40"/>
  <c r="R23" i="40"/>
  <c r="P23" i="40"/>
  <c r="N23" i="40"/>
  <c r="M23" i="40"/>
  <c r="F23" i="40"/>
  <c r="C23" i="40"/>
  <c r="B23" i="40"/>
  <c r="A23" i="40"/>
  <c r="S22" i="40"/>
  <c r="R22" i="40"/>
  <c r="P22" i="40"/>
  <c r="N22" i="40"/>
  <c r="M22" i="40"/>
  <c r="F22" i="40"/>
  <c r="C22" i="40"/>
  <c r="B22" i="40"/>
  <c r="A22" i="40"/>
  <c r="S21" i="40"/>
  <c r="R21" i="40"/>
  <c r="P21" i="40"/>
  <c r="N21" i="40"/>
  <c r="M21" i="40"/>
  <c r="F21" i="40"/>
  <c r="C21" i="40"/>
  <c r="B21" i="40"/>
  <c r="A21" i="40"/>
  <c r="S20" i="40"/>
  <c r="R20" i="40"/>
  <c r="N20" i="40"/>
  <c r="M20" i="40"/>
  <c r="F20" i="40"/>
  <c r="C20" i="40"/>
  <c r="B20" i="40"/>
  <c r="A20" i="40"/>
  <c r="S19" i="40"/>
  <c r="R19" i="40"/>
  <c r="N19" i="40"/>
  <c r="M19" i="40"/>
  <c r="F19" i="40"/>
  <c r="C19" i="40"/>
  <c r="B19" i="40"/>
  <c r="A19" i="40"/>
  <c r="S18" i="40"/>
  <c r="R18" i="40"/>
  <c r="N18" i="40"/>
  <c r="M18" i="40"/>
  <c r="F18" i="40"/>
  <c r="C18" i="40"/>
  <c r="B18" i="40"/>
  <c r="A18" i="40"/>
  <c r="S17" i="40"/>
  <c r="R17" i="40"/>
  <c r="N17" i="40"/>
  <c r="M17" i="40"/>
  <c r="F17" i="40"/>
  <c r="C17" i="40"/>
  <c r="B17" i="40"/>
  <c r="A17" i="40"/>
  <c r="S16" i="40"/>
  <c r="R16" i="40"/>
  <c r="N16" i="40"/>
  <c r="M16" i="40"/>
  <c r="F16" i="40"/>
  <c r="C16" i="40"/>
  <c r="B16" i="40"/>
  <c r="A16" i="40"/>
  <c r="S15" i="40"/>
  <c r="R15" i="40"/>
  <c r="N15" i="40"/>
  <c r="M15" i="40"/>
  <c r="F15" i="40"/>
  <c r="C15" i="40"/>
  <c r="B15" i="40"/>
  <c r="A15" i="40"/>
  <c r="S14" i="40"/>
  <c r="R14" i="40"/>
  <c r="N14" i="40"/>
  <c r="M14" i="40"/>
  <c r="F14" i="40"/>
  <c r="C14" i="40"/>
  <c r="B14" i="40"/>
  <c r="A14" i="40"/>
  <c r="S13" i="40"/>
  <c r="R13" i="40"/>
  <c r="N13" i="40"/>
  <c r="M13" i="40"/>
  <c r="F13" i="40"/>
  <c r="C13" i="40"/>
  <c r="B13" i="40"/>
  <c r="A13" i="40"/>
  <c r="S12" i="40"/>
  <c r="R12" i="40"/>
  <c r="N12" i="40"/>
  <c r="M12" i="40"/>
  <c r="F12" i="40"/>
  <c r="C12" i="40"/>
  <c r="B12" i="40"/>
  <c r="A12" i="40"/>
  <c r="S11" i="40"/>
  <c r="R11" i="40"/>
  <c r="N11" i="40"/>
  <c r="N36" i="40" s="1"/>
  <c r="M11" i="40"/>
  <c r="F11" i="40"/>
  <c r="C11" i="40"/>
  <c r="B11" i="40"/>
  <c r="A11" i="40"/>
  <c r="O36" i="39"/>
  <c r="K36" i="39"/>
  <c r="J36" i="39"/>
  <c r="H36" i="39"/>
  <c r="G36" i="39"/>
  <c r="S35" i="39"/>
  <c r="R35" i="39"/>
  <c r="P35" i="39"/>
  <c r="N35" i="39"/>
  <c r="M35" i="39"/>
  <c r="F35" i="39"/>
  <c r="C35" i="39"/>
  <c r="B35" i="39"/>
  <c r="A35" i="39"/>
  <c r="S34" i="39"/>
  <c r="R34" i="39"/>
  <c r="N34" i="39"/>
  <c r="M34" i="39"/>
  <c r="F34" i="39"/>
  <c r="C34" i="39"/>
  <c r="B34" i="39"/>
  <c r="A34" i="39"/>
  <c r="P34" i="39" s="1"/>
  <c r="S33" i="39"/>
  <c r="R33" i="39"/>
  <c r="P33" i="39"/>
  <c r="N33" i="39"/>
  <c r="M33" i="39"/>
  <c r="F33" i="39"/>
  <c r="C33" i="39"/>
  <c r="B33" i="39"/>
  <c r="A33" i="39"/>
  <c r="S32" i="39"/>
  <c r="R32" i="39"/>
  <c r="N32" i="39"/>
  <c r="M32" i="39"/>
  <c r="F32" i="39"/>
  <c r="C32" i="39"/>
  <c r="B32" i="39"/>
  <c r="A32" i="39"/>
  <c r="P32" i="39" s="1"/>
  <c r="S31" i="39"/>
  <c r="R31" i="39"/>
  <c r="P31" i="39"/>
  <c r="N31" i="39"/>
  <c r="M31" i="39"/>
  <c r="F31" i="39"/>
  <c r="C31" i="39"/>
  <c r="B31" i="39"/>
  <c r="A31" i="39"/>
  <c r="S30" i="39"/>
  <c r="R30" i="39"/>
  <c r="N30" i="39"/>
  <c r="M30" i="39"/>
  <c r="F30" i="39"/>
  <c r="C30" i="39"/>
  <c r="B30" i="39"/>
  <c r="A30" i="39"/>
  <c r="P30" i="39" s="1"/>
  <c r="S29" i="39"/>
  <c r="R29" i="39"/>
  <c r="N29" i="39"/>
  <c r="M29" i="39"/>
  <c r="F29" i="39"/>
  <c r="C29" i="39"/>
  <c r="B29" i="39"/>
  <c r="A29" i="39"/>
  <c r="P29" i="39" s="1"/>
  <c r="S28" i="39"/>
  <c r="R28" i="39"/>
  <c r="N28" i="39"/>
  <c r="M28" i="39"/>
  <c r="F28" i="39"/>
  <c r="C28" i="39"/>
  <c r="B28" i="39"/>
  <c r="A28" i="39"/>
  <c r="P28" i="39" s="1"/>
  <c r="S27" i="39"/>
  <c r="R27" i="39"/>
  <c r="P27" i="39"/>
  <c r="N27" i="39"/>
  <c r="M27" i="39"/>
  <c r="F27" i="39"/>
  <c r="C27" i="39"/>
  <c r="B27" i="39"/>
  <c r="A27" i="39"/>
  <c r="S26" i="39"/>
  <c r="R26" i="39"/>
  <c r="N26" i="39"/>
  <c r="M26" i="39"/>
  <c r="F26" i="39"/>
  <c r="C26" i="39"/>
  <c r="B26" i="39"/>
  <c r="A26" i="39"/>
  <c r="P26" i="39" s="1"/>
  <c r="S25" i="39"/>
  <c r="R25" i="39"/>
  <c r="P25" i="39"/>
  <c r="N25" i="39"/>
  <c r="M25" i="39"/>
  <c r="F25" i="39"/>
  <c r="C25" i="39"/>
  <c r="B25" i="39"/>
  <c r="A25" i="39"/>
  <c r="S24" i="39"/>
  <c r="R24" i="39"/>
  <c r="N24" i="39"/>
  <c r="M24" i="39"/>
  <c r="F24" i="39"/>
  <c r="C24" i="39"/>
  <c r="B24" i="39"/>
  <c r="A24" i="39"/>
  <c r="P24" i="39" s="1"/>
  <c r="S23" i="39"/>
  <c r="R23" i="39"/>
  <c r="P23" i="39"/>
  <c r="N23" i="39"/>
  <c r="M23" i="39"/>
  <c r="F23" i="39"/>
  <c r="C23" i="39"/>
  <c r="B23" i="39"/>
  <c r="A23" i="39"/>
  <c r="S22" i="39"/>
  <c r="R22" i="39"/>
  <c r="N22" i="39"/>
  <c r="M22" i="39"/>
  <c r="F22" i="39"/>
  <c r="C22" i="39"/>
  <c r="B22" i="39"/>
  <c r="A22" i="39"/>
  <c r="P22" i="39" s="1"/>
  <c r="S21" i="39"/>
  <c r="R21" i="39"/>
  <c r="N21" i="39"/>
  <c r="M21" i="39"/>
  <c r="F21" i="39"/>
  <c r="C21" i="39"/>
  <c r="B21" i="39"/>
  <c r="A21" i="39"/>
  <c r="P21" i="39" s="1"/>
  <c r="S20" i="39"/>
  <c r="R20" i="39"/>
  <c r="N20" i="39"/>
  <c r="M20" i="39"/>
  <c r="F20" i="39"/>
  <c r="C20" i="39"/>
  <c r="B20" i="39"/>
  <c r="A20" i="39"/>
  <c r="S19" i="39"/>
  <c r="R19" i="39"/>
  <c r="N19" i="39"/>
  <c r="M19" i="39"/>
  <c r="F19" i="39"/>
  <c r="C19" i="39"/>
  <c r="B19" i="39"/>
  <c r="A19" i="39"/>
  <c r="S18" i="39"/>
  <c r="R18" i="39"/>
  <c r="N18" i="39"/>
  <c r="M18" i="39"/>
  <c r="F18" i="39"/>
  <c r="C18" i="39"/>
  <c r="B18" i="39"/>
  <c r="A18" i="39"/>
  <c r="S17" i="39"/>
  <c r="R17" i="39"/>
  <c r="N17" i="39"/>
  <c r="M17" i="39"/>
  <c r="F17" i="39"/>
  <c r="C17" i="39"/>
  <c r="B17" i="39"/>
  <c r="A17" i="39"/>
  <c r="S16" i="39"/>
  <c r="R16" i="39"/>
  <c r="N16" i="39"/>
  <c r="M16" i="39"/>
  <c r="F16" i="39"/>
  <c r="C16" i="39"/>
  <c r="B16" i="39"/>
  <c r="A16" i="39"/>
  <c r="S15" i="39"/>
  <c r="R15" i="39"/>
  <c r="N15" i="39"/>
  <c r="M15" i="39"/>
  <c r="F15" i="39"/>
  <c r="C15" i="39"/>
  <c r="B15" i="39"/>
  <c r="A15" i="39"/>
  <c r="S14" i="39"/>
  <c r="R14" i="39"/>
  <c r="N14" i="39"/>
  <c r="M14" i="39"/>
  <c r="F14" i="39"/>
  <c r="C14" i="39"/>
  <c r="B14" i="39"/>
  <c r="A14" i="39"/>
  <c r="S13" i="39"/>
  <c r="R13" i="39"/>
  <c r="N13" i="39"/>
  <c r="M13" i="39"/>
  <c r="F13" i="39"/>
  <c r="C13" i="39"/>
  <c r="B13" i="39"/>
  <c r="A13" i="39"/>
  <c r="S12" i="39"/>
  <c r="R12" i="39"/>
  <c r="N12" i="39"/>
  <c r="M12" i="39"/>
  <c r="F12" i="39"/>
  <c r="C12" i="39"/>
  <c r="B12" i="39"/>
  <c r="A12" i="39"/>
  <c r="S11" i="39"/>
  <c r="R11" i="39"/>
  <c r="N11" i="39"/>
  <c r="M11" i="39"/>
  <c r="F11" i="39"/>
  <c r="C11" i="39"/>
  <c r="B11" i="39"/>
  <c r="A11" i="39"/>
  <c r="O36" i="38"/>
  <c r="K36" i="38"/>
  <c r="J36" i="38"/>
  <c r="H36" i="38"/>
  <c r="G36" i="38"/>
  <c r="S35" i="38"/>
  <c r="R35" i="38"/>
  <c r="N35" i="38"/>
  <c r="M35" i="38"/>
  <c r="F35" i="38"/>
  <c r="C35" i="38"/>
  <c r="B35" i="38"/>
  <c r="A35" i="38"/>
  <c r="P35" i="38" s="1"/>
  <c r="S34" i="38"/>
  <c r="R34" i="38"/>
  <c r="N34" i="38"/>
  <c r="M34" i="38"/>
  <c r="F34" i="38"/>
  <c r="C34" i="38"/>
  <c r="B34" i="38"/>
  <c r="A34" i="38"/>
  <c r="P34" i="38" s="1"/>
  <c r="S33" i="38"/>
  <c r="R33" i="38"/>
  <c r="N33" i="38"/>
  <c r="M33" i="38"/>
  <c r="F33" i="38"/>
  <c r="C33" i="38"/>
  <c r="B33" i="38"/>
  <c r="A33" i="38"/>
  <c r="P33" i="38" s="1"/>
  <c r="S32" i="38"/>
  <c r="R32" i="38"/>
  <c r="N32" i="38"/>
  <c r="M32" i="38"/>
  <c r="F32" i="38"/>
  <c r="C32" i="38"/>
  <c r="B32" i="38"/>
  <c r="A32" i="38"/>
  <c r="P32" i="38" s="1"/>
  <c r="S31" i="38"/>
  <c r="R31" i="38"/>
  <c r="P31" i="38"/>
  <c r="N31" i="38"/>
  <c r="M31" i="38"/>
  <c r="F31" i="38"/>
  <c r="C31" i="38"/>
  <c r="B31" i="38"/>
  <c r="A31" i="38"/>
  <c r="S30" i="38"/>
  <c r="R30" i="38"/>
  <c r="N30" i="38"/>
  <c r="M30" i="38"/>
  <c r="F30" i="38"/>
  <c r="C30" i="38"/>
  <c r="B30" i="38"/>
  <c r="A30" i="38"/>
  <c r="P30" i="38" s="1"/>
  <c r="S29" i="38"/>
  <c r="R29" i="38"/>
  <c r="P29" i="38"/>
  <c r="N29" i="38"/>
  <c r="M29" i="38"/>
  <c r="F29" i="38"/>
  <c r="C29" i="38"/>
  <c r="B29" i="38"/>
  <c r="A29" i="38"/>
  <c r="S28" i="38"/>
  <c r="R28" i="38"/>
  <c r="N28" i="38"/>
  <c r="M28" i="38"/>
  <c r="F28" i="38"/>
  <c r="C28" i="38"/>
  <c r="B28" i="38"/>
  <c r="A28" i="38"/>
  <c r="P28" i="38" s="1"/>
  <c r="S27" i="38"/>
  <c r="R27" i="38"/>
  <c r="N27" i="38"/>
  <c r="M27" i="38"/>
  <c r="F27" i="38"/>
  <c r="C27" i="38"/>
  <c r="B27" i="38"/>
  <c r="A27" i="38"/>
  <c r="P27" i="38" s="1"/>
  <c r="S26" i="38"/>
  <c r="R26" i="38"/>
  <c r="N26" i="38"/>
  <c r="M26" i="38"/>
  <c r="F26" i="38"/>
  <c r="C26" i="38"/>
  <c r="B26" i="38"/>
  <c r="A26" i="38"/>
  <c r="P26" i="38" s="1"/>
  <c r="S25" i="38"/>
  <c r="R25" i="38"/>
  <c r="N25" i="38"/>
  <c r="M25" i="38"/>
  <c r="F25" i="38"/>
  <c r="C25" i="38"/>
  <c r="B25" i="38"/>
  <c r="A25" i="38"/>
  <c r="P25" i="38" s="1"/>
  <c r="S24" i="38"/>
  <c r="R24" i="38"/>
  <c r="N24" i="38"/>
  <c r="M24" i="38"/>
  <c r="F24" i="38"/>
  <c r="C24" i="38"/>
  <c r="B24" i="38"/>
  <c r="A24" i="38"/>
  <c r="P24" i="38" s="1"/>
  <c r="S23" i="38"/>
  <c r="R23" i="38"/>
  <c r="P23" i="38"/>
  <c r="N23" i="38"/>
  <c r="M23" i="38"/>
  <c r="F23" i="38"/>
  <c r="C23" i="38"/>
  <c r="B23" i="38"/>
  <c r="A23" i="38"/>
  <c r="S22" i="38"/>
  <c r="R22" i="38"/>
  <c r="N22" i="38"/>
  <c r="M22" i="38"/>
  <c r="F22" i="38"/>
  <c r="C22" i="38"/>
  <c r="B22" i="38"/>
  <c r="A22" i="38"/>
  <c r="P22" i="38" s="1"/>
  <c r="S21" i="38"/>
  <c r="R21" i="38"/>
  <c r="P21" i="38"/>
  <c r="N21" i="38"/>
  <c r="M21" i="38"/>
  <c r="F21" i="38"/>
  <c r="C21" i="38"/>
  <c r="B21" i="38"/>
  <c r="A21" i="38"/>
  <c r="S20" i="38"/>
  <c r="R20" i="38"/>
  <c r="N20" i="38"/>
  <c r="M20" i="38"/>
  <c r="F20" i="38"/>
  <c r="C20" i="38"/>
  <c r="B20" i="38"/>
  <c r="A20" i="38"/>
  <c r="S19" i="38"/>
  <c r="R19" i="38"/>
  <c r="N19" i="38"/>
  <c r="M19" i="38"/>
  <c r="F19" i="38"/>
  <c r="C19" i="38"/>
  <c r="B19" i="38"/>
  <c r="A19" i="38"/>
  <c r="S18" i="38"/>
  <c r="R18" i="38"/>
  <c r="N18" i="38"/>
  <c r="M18" i="38"/>
  <c r="F18" i="38"/>
  <c r="C18" i="38"/>
  <c r="B18" i="38"/>
  <c r="A18" i="38"/>
  <c r="S17" i="38"/>
  <c r="R17" i="38"/>
  <c r="N17" i="38"/>
  <c r="M17" i="38"/>
  <c r="F17" i="38"/>
  <c r="C17" i="38"/>
  <c r="B17" i="38"/>
  <c r="A17" i="38"/>
  <c r="S16" i="38"/>
  <c r="R16" i="38"/>
  <c r="N16" i="38"/>
  <c r="M16" i="38"/>
  <c r="F16" i="38"/>
  <c r="C16" i="38"/>
  <c r="B16" i="38"/>
  <c r="A16" i="38"/>
  <c r="S15" i="38"/>
  <c r="R15" i="38"/>
  <c r="N15" i="38"/>
  <c r="M15" i="38"/>
  <c r="M36" i="38" s="1"/>
  <c r="F15" i="38"/>
  <c r="C15" i="38"/>
  <c r="B15" i="38"/>
  <c r="A15" i="38"/>
  <c r="S14" i="38"/>
  <c r="R14" i="38"/>
  <c r="N14" i="38"/>
  <c r="M14" i="38"/>
  <c r="F14" i="38"/>
  <c r="C14" i="38"/>
  <c r="B14" i="38"/>
  <c r="A14" i="38"/>
  <c r="S13" i="38"/>
  <c r="R13" i="38"/>
  <c r="N13" i="38"/>
  <c r="M13" i="38"/>
  <c r="F13" i="38"/>
  <c r="C13" i="38"/>
  <c r="B13" i="38"/>
  <c r="A13" i="38"/>
  <c r="S12" i="38"/>
  <c r="R12" i="38"/>
  <c r="N12" i="38"/>
  <c r="M12" i="38"/>
  <c r="F12" i="38"/>
  <c r="C12" i="38"/>
  <c r="B12" i="38"/>
  <c r="A12" i="38"/>
  <c r="S11" i="38"/>
  <c r="R11" i="38"/>
  <c r="N11" i="38"/>
  <c r="M11" i="38"/>
  <c r="F11" i="38"/>
  <c r="C11" i="38"/>
  <c r="B11" i="38"/>
  <c r="A11" i="38"/>
  <c r="O36" i="37"/>
  <c r="K36" i="37"/>
  <c r="J36" i="37"/>
  <c r="H36" i="37"/>
  <c r="G36" i="37"/>
  <c r="S35" i="37"/>
  <c r="R35" i="37"/>
  <c r="N35" i="37"/>
  <c r="M35" i="37"/>
  <c r="F35" i="37"/>
  <c r="C35" i="37"/>
  <c r="B35" i="37"/>
  <c r="A35" i="37"/>
  <c r="P35" i="37" s="1"/>
  <c r="S34" i="37"/>
  <c r="R34" i="37"/>
  <c r="N34" i="37"/>
  <c r="M34" i="37"/>
  <c r="F34" i="37"/>
  <c r="C34" i="37"/>
  <c r="B34" i="37"/>
  <c r="A34" i="37"/>
  <c r="P34" i="37" s="1"/>
  <c r="S33" i="37"/>
  <c r="R33" i="37"/>
  <c r="P33" i="37"/>
  <c r="N33" i="37"/>
  <c r="M33" i="37"/>
  <c r="F33" i="37"/>
  <c r="C33" i="37"/>
  <c r="B33" i="37"/>
  <c r="A33" i="37"/>
  <c r="S32" i="37"/>
  <c r="R32" i="37"/>
  <c r="N32" i="37"/>
  <c r="M32" i="37"/>
  <c r="F32" i="37"/>
  <c r="C32" i="37"/>
  <c r="B32" i="37"/>
  <c r="A32" i="37"/>
  <c r="P32" i="37" s="1"/>
  <c r="S31" i="37"/>
  <c r="R31" i="37"/>
  <c r="P31" i="37"/>
  <c r="N31" i="37"/>
  <c r="M31" i="37"/>
  <c r="F31" i="37"/>
  <c r="C31" i="37"/>
  <c r="B31" i="37"/>
  <c r="A31" i="37"/>
  <c r="S30" i="37"/>
  <c r="R30" i="37"/>
  <c r="N30" i="37"/>
  <c r="M30" i="37"/>
  <c r="F30" i="37"/>
  <c r="C30" i="37"/>
  <c r="B30" i="37"/>
  <c r="A30" i="37"/>
  <c r="P30" i="37" s="1"/>
  <c r="S29" i="37"/>
  <c r="R29" i="37"/>
  <c r="P29" i="37"/>
  <c r="N29" i="37"/>
  <c r="M29" i="37"/>
  <c r="F29" i="37"/>
  <c r="C29" i="37"/>
  <c r="B29" i="37"/>
  <c r="A29" i="37"/>
  <c r="S28" i="37"/>
  <c r="R28" i="37"/>
  <c r="N28" i="37"/>
  <c r="M28" i="37"/>
  <c r="F28" i="37"/>
  <c r="C28" i="37"/>
  <c r="B28" i="37"/>
  <c r="A28" i="37"/>
  <c r="P28" i="37" s="1"/>
  <c r="S27" i="37"/>
  <c r="R27" i="37"/>
  <c r="N27" i="37"/>
  <c r="M27" i="37"/>
  <c r="F27" i="37"/>
  <c r="C27" i="37"/>
  <c r="B27" i="37"/>
  <c r="A27" i="37"/>
  <c r="P27" i="37" s="1"/>
  <c r="S26" i="37"/>
  <c r="R26" i="37"/>
  <c r="N26" i="37"/>
  <c r="M26" i="37"/>
  <c r="F26" i="37"/>
  <c r="C26" i="37"/>
  <c r="B26" i="37"/>
  <c r="A26" i="37"/>
  <c r="P26" i="37" s="1"/>
  <c r="S25" i="37"/>
  <c r="R25" i="37"/>
  <c r="P25" i="37"/>
  <c r="N25" i="37"/>
  <c r="M25" i="37"/>
  <c r="F25" i="37"/>
  <c r="C25" i="37"/>
  <c r="B25" i="37"/>
  <c r="A25" i="37"/>
  <c r="S24" i="37"/>
  <c r="R24" i="37"/>
  <c r="N24" i="37"/>
  <c r="M24" i="37"/>
  <c r="F24" i="37"/>
  <c r="C24" i="37"/>
  <c r="B24" i="37"/>
  <c r="A24" i="37"/>
  <c r="P24" i="37" s="1"/>
  <c r="S23" i="37"/>
  <c r="R23" i="37"/>
  <c r="P23" i="37"/>
  <c r="N23" i="37"/>
  <c r="M23" i="37"/>
  <c r="F23" i="37"/>
  <c r="C23" i="37"/>
  <c r="B23" i="37"/>
  <c r="A23" i="37"/>
  <c r="S22" i="37"/>
  <c r="R22" i="37"/>
  <c r="N22" i="37"/>
  <c r="M22" i="37"/>
  <c r="F22" i="37"/>
  <c r="C22" i="37"/>
  <c r="B22" i="37"/>
  <c r="A22" i="37"/>
  <c r="P22" i="37" s="1"/>
  <c r="S21" i="37"/>
  <c r="R21" i="37"/>
  <c r="P21" i="37"/>
  <c r="N21" i="37"/>
  <c r="M21" i="37"/>
  <c r="F21" i="37"/>
  <c r="C21" i="37"/>
  <c r="B21" i="37"/>
  <c r="A21" i="37"/>
  <c r="S20" i="37"/>
  <c r="R20" i="37"/>
  <c r="N20" i="37"/>
  <c r="M20" i="37"/>
  <c r="F20" i="37"/>
  <c r="C20" i="37"/>
  <c r="B20" i="37"/>
  <c r="A20" i="37"/>
  <c r="S19" i="37"/>
  <c r="R19" i="37"/>
  <c r="N19" i="37"/>
  <c r="M19" i="37"/>
  <c r="F19" i="37"/>
  <c r="C19" i="37"/>
  <c r="B19" i="37"/>
  <c r="A19" i="37"/>
  <c r="S18" i="37"/>
  <c r="R18" i="37"/>
  <c r="N18" i="37"/>
  <c r="M18" i="37"/>
  <c r="F18" i="37"/>
  <c r="C18" i="37"/>
  <c r="B18" i="37"/>
  <c r="A18" i="37"/>
  <c r="S17" i="37"/>
  <c r="R17" i="37"/>
  <c r="N17" i="37"/>
  <c r="M17" i="37"/>
  <c r="I15" i="47" s="1"/>
  <c r="F17" i="37"/>
  <c r="C17" i="37"/>
  <c r="B17" i="37"/>
  <c r="A17" i="37"/>
  <c r="S16" i="37"/>
  <c r="R16" i="37"/>
  <c r="N16" i="37"/>
  <c r="M16" i="37"/>
  <c r="F16" i="37"/>
  <c r="C16" i="37"/>
  <c r="B16" i="37"/>
  <c r="A16" i="37"/>
  <c r="S15" i="37"/>
  <c r="R15" i="37"/>
  <c r="N15" i="37"/>
  <c r="M15" i="37"/>
  <c r="I13" i="47" s="1"/>
  <c r="F15" i="37"/>
  <c r="C15" i="37"/>
  <c r="B15" i="37"/>
  <c r="A15" i="37"/>
  <c r="S14" i="37"/>
  <c r="R14" i="37"/>
  <c r="N14" i="37"/>
  <c r="M14" i="37"/>
  <c r="F14" i="37"/>
  <c r="C14" i="37"/>
  <c r="B14" i="37"/>
  <c r="A14" i="37"/>
  <c r="S13" i="37"/>
  <c r="M13" i="37" s="1"/>
  <c r="R13" i="37"/>
  <c r="F13" i="37"/>
  <c r="C13" i="37"/>
  <c r="B13" i="37"/>
  <c r="A13" i="37"/>
  <c r="S12" i="37"/>
  <c r="R12" i="37"/>
  <c r="N12" i="37"/>
  <c r="M12" i="37"/>
  <c r="F12" i="37"/>
  <c r="C12" i="37"/>
  <c r="B12" i="37"/>
  <c r="A12" i="37"/>
  <c r="S11" i="37"/>
  <c r="R11" i="37"/>
  <c r="N11" i="37"/>
  <c r="M11" i="37"/>
  <c r="I9" i="47" s="1"/>
  <c r="F11" i="37"/>
  <c r="C11" i="37"/>
  <c r="B11" i="37"/>
  <c r="A11" i="37"/>
  <c r="O36" i="36"/>
  <c r="K36" i="36"/>
  <c r="J36" i="36"/>
  <c r="H36" i="36"/>
  <c r="G36" i="36"/>
  <c r="S35" i="36"/>
  <c r="R35" i="36"/>
  <c r="P35" i="36"/>
  <c r="N35" i="36"/>
  <c r="M35" i="36"/>
  <c r="F35" i="36"/>
  <c r="C35" i="36"/>
  <c r="B35" i="36"/>
  <c r="A35" i="36"/>
  <c r="S34" i="36"/>
  <c r="R34" i="36"/>
  <c r="N34" i="36"/>
  <c r="M34" i="36"/>
  <c r="F34" i="36"/>
  <c r="C34" i="36"/>
  <c r="B34" i="36"/>
  <c r="A34" i="36"/>
  <c r="P34" i="36" s="1"/>
  <c r="S33" i="36"/>
  <c r="R33" i="36"/>
  <c r="P33" i="36"/>
  <c r="N33" i="36"/>
  <c r="M33" i="36"/>
  <c r="F33" i="36"/>
  <c r="C33" i="36"/>
  <c r="B33" i="36"/>
  <c r="A33" i="36"/>
  <c r="S32" i="36"/>
  <c r="R32" i="36"/>
  <c r="N32" i="36"/>
  <c r="M32" i="36"/>
  <c r="F32" i="36"/>
  <c r="C32" i="36"/>
  <c r="B32" i="36"/>
  <c r="A32" i="36"/>
  <c r="P32" i="36" s="1"/>
  <c r="S31" i="36"/>
  <c r="R31" i="36"/>
  <c r="P31" i="36"/>
  <c r="N31" i="36"/>
  <c r="M31" i="36"/>
  <c r="F31" i="36"/>
  <c r="C31" i="36"/>
  <c r="B31" i="36"/>
  <c r="A31" i="36"/>
  <c r="S30" i="36"/>
  <c r="R30" i="36"/>
  <c r="N30" i="36"/>
  <c r="M30" i="36"/>
  <c r="F30" i="36"/>
  <c r="C30" i="36"/>
  <c r="B30" i="36"/>
  <c r="A30" i="36"/>
  <c r="P30" i="36" s="1"/>
  <c r="S29" i="36"/>
  <c r="R29" i="36"/>
  <c r="N29" i="36"/>
  <c r="M29" i="36"/>
  <c r="F29" i="36"/>
  <c r="C29" i="36"/>
  <c r="B29" i="36"/>
  <c r="A29" i="36"/>
  <c r="P29" i="36" s="1"/>
  <c r="S28" i="36"/>
  <c r="R28" i="36"/>
  <c r="N28" i="36"/>
  <c r="M28" i="36"/>
  <c r="F28" i="36"/>
  <c r="C28" i="36"/>
  <c r="B28" i="36"/>
  <c r="A28" i="36"/>
  <c r="P28" i="36" s="1"/>
  <c r="S27" i="36"/>
  <c r="R27" i="36"/>
  <c r="P27" i="36"/>
  <c r="N27" i="36"/>
  <c r="M27" i="36"/>
  <c r="F27" i="36"/>
  <c r="C27" i="36"/>
  <c r="B27" i="36"/>
  <c r="A27" i="36"/>
  <c r="S26" i="36"/>
  <c r="R26" i="36"/>
  <c r="N26" i="36"/>
  <c r="M26" i="36"/>
  <c r="F26" i="36"/>
  <c r="C26" i="36"/>
  <c r="B26" i="36"/>
  <c r="A26" i="36"/>
  <c r="P26" i="36" s="1"/>
  <c r="S25" i="36"/>
  <c r="R25" i="36"/>
  <c r="P25" i="36"/>
  <c r="N25" i="36"/>
  <c r="M25" i="36"/>
  <c r="F25" i="36"/>
  <c r="C25" i="36"/>
  <c r="B25" i="36"/>
  <c r="A25" i="36"/>
  <c r="S24" i="36"/>
  <c r="R24" i="36"/>
  <c r="N24" i="36"/>
  <c r="M24" i="36"/>
  <c r="F24" i="36"/>
  <c r="C24" i="36"/>
  <c r="B24" i="36"/>
  <c r="A24" i="36"/>
  <c r="P24" i="36" s="1"/>
  <c r="S23" i="36"/>
  <c r="R23" i="36"/>
  <c r="P23" i="36"/>
  <c r="N23" i="36"/>
  <c r="M23" i="36"/>
  <c r="F23" i="36"/>
  <c r="C23" i="36"/>
  <c r="B23" i="36"/>
  <c r="A23" i="36"/>
  <c r="S22" i="36"/>
  <c r="R22" i="36"/>
  <c r="N22" i="36"/>
  <c r="M22" i="36"/>
  <c r="F22" i="36"/>
  <c r="C22" i="36"/>
  <c r="B22" i="36"/>
  <c r="A22" i="36"/>
  <c r="P22" i="36" s="1"/>
  <c r="S21" i="36"/>
  <c r="R21" i="36"/>
  <c r="N21" i="36"/>
  <c r="M21" i="36"/>
  <c r="F21" i="36"/>
  <c r="C21" i="36"/>
  <c r="B21" i="36"/>
  <c r="A21" i="36"/>
  <c r="P21" i="36" s="1"/>
  <c r="S20" i="36"/>
  <c r="R20" i="36"/>
  <c r="N20" i="36"/>
  <c r="M20" i="36"/>
  <c r="F20" i="36"/>
  <c r="C20" i="36"/>
  <c r="B20" i="36"/>
  <c r="A20" i="36"/>
  <c r="S19" i="36"/>
  <c r="M19" i="36" s="1"/>
  <c r="R19" i="36"/>
  <c r="F19" i="36"/>
  <c r="C19" i="36"/>
  <c r="B19" i="36"/>
  <c r="A19" i="36"/>
  <c r="S18" i="36"/>
  <c r="M18" i="36" s="1"/>
  <c r="R18" i="36"/>
  <c r="F18" i="36"/>
  <c r="C18" i="36"/>
  <c r="B18" i="36"/>
  <c r="A18" i="36"/>
  <c r="S17" i="36"/>
  <c r="R17" i="36"/>
  <c r="N17" i="36"/>
  <c r="M17" i="36"/>
  <c r="F17" i="36"/>
  <c r="C17" i="36"/>
  <c r="B17" i="36"/>
  <c r="A17" i="36"/>
  <c r="S16" i="36"/>
  <c r="R16" i="36"/>
  <c r="N16" i="36"/>
  <c r="M16" i="36"/>
  <c r="F16" i="36"/>
  <c r="C16" i="36"/>
  <c r="B16" i="36"/>
  <c r="A16" i="36"/>
  <c r="S15" i="36"/>
  <c r="R15" i="36"/>
  <c r="N15" i="36"/>
  <c r="M15" i="36"/>
  <c r="F15" i="36"/>
  <c r="C15" i="36"/>
  <c r="B15" i="36"/>
  <c r="A15" i="36"/>
  <c r="S14" i="36"/>
  <c r="R14" i="36"/>
  <c r="N14" i="36"/>
  <c r="M14" i="36"/>
  <c r="F14" i="36"/>
  <c r="C14" i="36"/>
  <c r="B14" i="36"/>
  <c r="A14" i="36"/>
  <c r="S13" i="36"/>
  <c r="R13" i="36"/>
  <c r="N13" i="36"/>
  <c r="M13" i="36"/>
  <c r="F13" i="36"/>
  <c r="C13" i="36"/>
  <c r="B13" i="36"/>
  <c r="A13" i="36"/>
  <c r="S12" i="36"/>
  <c r="R12" i="36"/>
  <c r="N12" i="36"/>
  <c r="M12" i="36"/>
  <c r="F12" i="36"/>
  <c r="C12" i="36"/>
  <c r="B12" i="36"/>
  <c r="A12" i="36"/>
  <c r="S11" i="36"/>
  <c r="R11" i="36"/>
  <c r="N11" i="36"/>
  <c r="M11" i="36"/>
  <c r="F11" i="36"/>
  <c r="C11" i="36"/>
  <c r="B11" i="36"/>
  <c r="A11" i="36"/>
  <c r="O36" i="35"/>
  <c r="K36" i="35"/>
  <c r="J36" i="35"/>
  <c r="H36" i="35"/>
  <c r="G36" i="35"/>
  <c r="S35" i="35"/>
  <c r="R35" i="35"/>
  <c r="P35" i="35"/>
  <c r="N35" i="35"/>
  <c r="M35" i="35"/>
  <c r="F35" i="35"/>
  <c r="C35" i="35"/>
  <c r="B35" i="35"/>
  <c r="A35" i="35"/>
  <c r="S34" i="35"/>
  <c r="R34" i="35"/>
  <c r="N34" i="35"/>
  <c r="M34" i="35"/>
  <c r="F34" i="35"/>
  <c r="C34" i="35"/>
  <c r="B34" i="35"/>
  <c r="A34" i="35"/>
  <c r="P34" i="35" s="1"/>
  <c r="S33" i="35"/>
  <c r="R33" i="35"/>
  <c r="P33" i="35"/>
  <c r="N33" i="35"/>
  <c r="M33" i="35"/>
  <c r="F33" i="35"/>
  <c r="C33" i="35"/>
  <c r="B33" i="35"/>
  <c r="A33" i="35"/>
  <c r="S32" i="35"/>
  <c r="R32" i="35"/>
  <c r="N32" i="35"/>
  <c r="M32" i="35"/>
  <c r="F32" i="35"/>
  <c r="C32" i="35"/>
  <c r="B32" i="35"/>
  <c r="A32" i="35"/>
  <c r="P32" i="35" s="1"/>
  <c r="S31" i="35"/>
  <c r="R31" i="35"/>
  <c r="N31" i="35"/>
  <c r="M31" i="35"/>
  <c r="F31" i="35"/>
  <c r="C31" i="35"/>
  <c r="B31" i="35"/>
  <c r="A31" i="35"/>
  <c r="P31" i="35" s="1"/>
  <c r="S30" i="35"/>
  <c r="R30" i="35"/>
  <c r="N30" i="35"/>
  <c r="M30" i="35"/>
  <c r="F30" i="35"/>
  <c r="C30" i="35"/>
  <c r="B30" i="35"/>
  <c r="A30" i="35"/>
  <c r="P30" i="35" s="1"/>
  <c r="S29" i="35"/>
  <c r="R29" i="35"/>
  <c r="P29" i="35"/>
  <c r="N29" i="35"/>
  <c r="M29" i="35"/>
  <c r="F29" i="35"/>
  <c r="C29" i="35"/>
  <c r="B29" i="35"/>
  <c r="A29" i="35"/>
  <c r="S28" i="35"/>
  <c r="R28" i="35"/>
  <c r="N28" i="35"/>
  <c r="M28" i="35"/>
  <c r="F28" i="35"/>
  <c r="C28" i="35"/>
  <c r="B28" i="35"/>
  <c r="A28" i="35"/>
  <c r="P28" i="35" s="1"/>
  <c r="S27" i="35"/>
  <c r="R27" i="35"/>
  <c r="P27" i="35"/>
  <c r="N27" i="35"/>
  <c r="M27" i="35"/>
  <c r="F27" i="35"/>
  <c r="C27" i="35"/>
  <c r="B27" i="35"/>
  <c r="A27" i="35"/>
  <c r="S26" i="35"/>
  <c r="R26" i="35"/>
  <c r="N26" i="35"/>
  <c r="M26" i="35"/>
  <c r="F26" i="35"/>
  <c r="C26" i="35"/>
  <c r="B26" i="35"/>
  <c r="A26" i="35"/>
  <c r="P26" i="35" s="1"/>
  <c r="S25" i="35"/>
  <c r="R25" i="35"/>
  <c r="P25" i="35"/>
  <c r="N25" i="35"/>
  <c r="M25" i="35"/>
  <c r="F25" i="35"/>
  <c r="C25" i="35"/>
  <c r="B25" i="35"/>
  <c r="A25" i="35"/>
  <c r="S24" i="35"/>
  <c r="R24" i="35"/>
  <c r="N24" i="35"/>
  <c r="M24" i="35"/>
  <c r="F24" i="35"/>
  <c r="C24" i="35"/>
  <c r="B24" i="35"/>
  <c r="A24" i="35"/>
  <c r="P24" i="35" s="1"/>
  <c r="S23" i="35"/>
  <c r="R23" i="35"/>
  <c r="N23" i="35"/>
  <c r="M23" i="35"/>
  <c r="F23" i="35"/>
  <c r="C23" i="35"/>
  <c r="B23" i="35"/>
  <c r="A23" i="35"/>
  <c r="P23" i="35" s="1"/>
  <c r="S22" i="35"/>
  <c r="R22" i="35"/>
  <c r="N22" i="35"/>
  <c r="M22" i="35"/>
  <c r="F22" i="35"/>
  <c r="C22" i="35"/>
  <c r="B22" i="35"/>
  <c r="A22" i="35"/>
  <c r="P22" i="35" s="1"/>
  <c r="S21" i="35"/>
  <c r="R21" i="35"/>
  <c r="P21" i="35"/>
  <c r="N21" i="35"/>
  <c r="M21" i="35"/>
  <c r="F21" i="35"/>
  <c r="C21" i="35"/>
  <c r="B21" i="35"/>
  <c r="A21" i="35"/>
  <c r="S20" i="35"/>
  <c r="R20" i="35"/>
  <c r="N20" i="35"/>
  <c r="M20" i="35"/>
  <c r="F20" i="35"/>
  <c r="C20" i="35"/>
  <c r="B20" i="35"/>
  <c r="A20" i="35"/>
  <c r="S19" i="35"/>
  <c r="R19" i="35"/>
  <c r="N19" i="35"/>
  <c r="M19" i="35"/>
  <c r="F19" i="35"/>
  <c r="C19" i="35"/>
  <c r="B19" i="35"/>
  <c r="A19" i="35"/>
  <c r="S18" i="35"/>
  <c r="R18" i="35"/>
  <c r="N18" i="35"/>
  <c r="M18" i="35"/>
  <c r="F18" i="35"/>
  <c r="C18" i="35"/>
  <c r="B18" i="35"/>
  <c r="A18" i="35"/>
  <c r="S17" i="35"/>
  <c r="R17" i="35"/>
  <c r="N17" i="35"/>
  <c r="M17" i="35"/>
  <c r="F17" i="35"/>
  <c r="C17" i="35"/>
  <c r="B17" i="35"/>
  <c r="A17" i="35"/>
  <c r="S16" i="35"/>
  <c r="R16" i="35"/>
  <c r="N16" i="35"/>
  <c r="M16" i="35"/>
  <c r="F16" i="35"/>
  <c r="C16" i="35"/>
  <c r="B16" i="35"/>
  <c r="A16" i="35"/>
  <c r="S15" i="35"/>
  <c r="R15" i="35"/>
  <c r="N15" i="35"/>
  <c r="N36" i="35" s="1"/>
  <c r="M15" i="35"/>
  <c r="F15" i="35"/>
  <c r="C15" i="35"/>
  <c r="B15" i="35"/>
  <c r="A15" i="35"/>
  <c r="S14" i="35"/>
  <c r="R14" i="35"/>
  <c r="N14" i="35"/>
  <c r="M14" i="35"/>
  <c r="F14" i="35"/>
  <c r="C14" i="35"/>
  <c r="B14" i="35"/>
  <c r="A14" i="35"/>
  <c r="S13" i="35"/>
  <c r="R13" i="35"/>
  <c r="N13" i="35"/>
  <c r="M13" i="35"/>
  <c r="M36" i="35" s="1"/>
  <c r="F13" i="35"/>
  <c r="C13" i="35"/>
  <c r="B13" i="35"/>
  <c r="A13" i="35"/>
  <c r="S12" i="35"/>
  <c r="R12" i="35"/>
  <c r="N12" i="35"/>
  <c r="M12" i="35"/>
  <c r="F12" i="35"/>
  <c r="C12" i="35"/>
  <c r="B12" i="35"/>
  <c r="A12" i="35"/>
  <c r="S11" i="35"/>
  <c r="R11" i="35"/>
  <c r="N11" i="35"/>
  <c r="M11" i="35"/>
  <c r="F11" i="35"/>
  <c r="C11" i="35"/>
  <c r="B11" i="35"/>
  <c r="A11" i="35"/>
  <c r="O36" i="34"/>
  <c r="K36" i="34"/>
  <c r="J36" i="34"/>
  <c r="H36" i="34"/>
  <c r="G36" i="34"/>
  <c r="F36" i="34"/>
  <c r="S35" i="34"/>
  <c r="R35" i="34"/>
  <c r="P35" i="34"/>
  <c r="N35" i="34"/>
  <c r="M35" i="34"/>
  <c r="F35" i="34"/>
  <c r="C35" i="34"/>
  <c r="B35" i="34"/>
  <c r="A35" i="34"/>
  <c r="S34" i="34"/>
  <c r="R34" i="34"/>
  <c r="N34" i="34"/>
  <c r="M34" i="34"/>
  <c r="F34" i="34"/>
  <c r="C34" i="34"/>
  <c r="B34" i="34"/>
  <c r="A34" i="34"/>
  <c r="P34" i="34" s="1"/>
  <c r="S33" i="34"/>
  <c r="R33" i="34"/>
  <c r="N33" i="34"/>
  <c r="M33" i="34"/>
  <c r="F33" i="34"/>
  <c r="C33" i="34"/>
  <c r="B33" i="34"/>
  <c r="A33" i="34"/>
  <c r="P33" i="34" s="1"/>
  <c r="S32" i="34"/>
  <c r="R32" i="34"/>
  <c r="N32" i="34"/>
  <c r="M32" i="34"/>
  <c r="F32" i="34"/>
  <c r="C32" i="34"/>
  <c r="B32" i="34"/>
  <c r="A32" i="34"/>
  <c r="P32" i="34" s="1"/>
  <c r="S31" i="34"/>
  <c r="R31" i="34"/>
  <c r="P31" i="34"/>
  <c r="N31" i="34"/>
  <c r="M31" i="34"/>
  <c r="F31" i="34"/>
  <c r="C31" i="34"/>
  <c r="B31" i="34"/>
  <c r="A31" i="34"/>
  <c r="S30" i="34"/>
  <c r="R30" i="34"/>
  <c r="N30" i="34"/>
  <c r="M30" i="34"/>
  <c r="F30" i="34"/>
  <c r="C30" i="34"/>
  <c r="B30" i="34"/>
  <c r="A30" i="34"/>
  <c r="P30" i="34" s="1"/>
  <c r="S29" i="34"/>
  <c r="R29" i="34"/>
  <c r="P29" i="34"/>
  <c r="N29" i="34"/>
  <c r="M29" i="34"/>
  <c r="F29" i="34"/>
  <c r="C29" i="34"/>
  <c r="B29" i="34"/>
  <c r="A29" i="34"/>
  <c r="S28" i="34"/>
  <c r="R28" i="34"/>
  <c r="N28" i="34"/>
  <c r="M28" i="34"/>
  <c r="F28" i="34"/>
  <c r="C28" i="34"/>
  <c r="B28" i="34"/>
  <c r="A28" i="34"/>
  <c r="P28" i="34" s="1"/>
  <c r="S27" i="34"/>
  <c r="R27" i="34"/>
  <c r="P27" i="34"/>
  <c r="N27" i="34"/>
  <c r="M27" i="34"/>
  <c r="F27" i="34"/>
  <c r="C27" i="34"/>
  <c r="B27" i="34"/>
  <c r="A27" i="34"/>
  <c r="S26" i="34"/>
  <c r="R26" i="34"/>
  <c r="N26" i="34"/>
  <c r="M26" i="34"/>
  <c r="F26" i="34"/>
  <c r="C26" i="34"/>
  <c r="B26" i="34"/>
  <c r="A26" i="34"/>
  <c r="P26" i="34" s="1"/>
  <c r="S25" i="34"/>
  <c r="R25" i="34"/>
  <c r="N25" i="34"/>
  <c r="M25" i="34"/>
  <c r="F25" i="34"/>
  <c r="C25" i="34"/>
  <c r="B25" i="34"/>
  <c r="A25" i="34"/>
  <c r="P25" i="34" s="1"/>
  <c r="S24" i="34"/>
  <c r="R24" i="34"/>
  <c r="N24" i="34"/>
  <c r="M24" i="34"/>
  <c r="F24" i="34"/>
  <c r="C24" i="34"/>
  <c r="B24" i="34"/>
  <c r="A24" i="34"/>
  <c r="P24" i="34" s="1"/>
  <c r="S23" i="34"/>
  <c r="R23" i="34"/>
  <c r="P23" i="34"/>
  <c r="N23" i="34"/>
  <c r="M23" i="34"/>
  <c r="F23" i="34"/>
  <c r="C23" i="34"/>
  <c r="B23" i="34"/>
  <c r="A23" i="34"/>
  <c r="S22" i="34"/>
  <c r="R22" i="34"/>
  <c r="N22" i="34"/>
  <c r="M22" i="34"/>
  <c r="F22" i="34"/>
  <c r="C22" i="34"/>
  <c r="B22" i="34"/>
  <c r="A22" i="34"/>
  <c r="P22" i="34" s="1"/>
  <c r="S21" i="34"/>
  <c r="R21" i="34"/>
  <c r="P21" i="34"/>
  <c r="N21" i="34"/>
  <c r="M21" i="34"/>
  <c r="F21" i="34"/>
  <c r="C21" i="34"/>
  <c r="B21" i="34"/>
  <c r="A21" i="34"/>
  <c r="S20" i="34"/>
  <c r="R20" i="34"/>
  <c r="N20" i="34"/>
  <c r="M20" i="34"/>
  <c r="F20" i="34"/>
  <c r="C20" i="34"/>
  <c r="B20" i="34"/>
  <c r="A20" i="34"/>
  <c r="S19" i="34"/>
  <c r="R19" i="34"/>
  <c r="N19" i="34"/>
  <c r="M19" i="34"/>
  <c r="F19" i="34"/>
  <c r="C19" i="34"/>
  <c r="B19" i="34"/>
  <c r="A19" i="34"/>
  <c r="S18" i="34"/>
  <c r="R18" i="34"/>
  <c r="N18" i="34"/>
  <c r="M18" i="34"/>
  <c r="F18" i="34"/>
  <c r="C18" i="34"/>
  <c r="B18" i="34"/>
  <c r="A18" i="34"/>
  <c r="S17" i="34"/>
  <c r="R17" i="34"/>
  <c r="N17" i="34"/>
  <c r="M17" i="34"/>
  <c r="F17" i="34"/>
  <c r="C17" i="34"/>
  <c r="B17" i="34"/>
  <c r="A17" i="34"/>
  <c r="S16" i="34"/>
  <c r="R16" i="34"/>
  <c r="N16" i="34"/>
  <c r="M16" i="34"/>
  <c r="F16" i="34"/>
  <c r="C16" i="34"/>
  <c r="B16" i="34"/>
  <c r="A16" i="34"/>
  <c r="S15" i="34"/>
  <c r="R15" i="34"/>
  <c r="N15" i="34"/>
  <c r="M15" i="34"/>
  <c r="F15" i="34"/>
  <c r="C15" i="34"/>
  <c r="B15" i="34"/>
  <c r="A15" i="34"/>
  <c r="S14" i="34"/>
  <c r="R14" i="34"/>
  <c r="N14" i="34"/>
  <c r="M14" i="34"/>
  <c r="M36" i="34" s="1"/>
  <c r="F14" i="34"/>
  <c r="C14" i="34"/>
  <c r="B14" i="34"/>
  <c r="A14" i="34"/>
  <c r="S13" i="34"/>
  <c r="R13" i="34"/>
  <c r="N13" i="34"/>
  <c r="M13" i="34"/>
  <c r="F13" i="34"/>
  <c r="C13" i="34"/>
  <c r="B13" i="34"/>
  <c r="A13" i="34"/>
  <c r="S12" i="34"/>
  <c r="R12" i="34"/>
  <c r="N12" i="34"/>
  <c r="M12" i="34"/>
  <c r="F12" i="34"/>
  <c r="C12" i="34"/>
  <c r="B12" i="34"/>
  <c r="A12" i="34"/>
  <c r="S11" i="34"/>
  <c r="R11" i="34"/>
  <c r="N11" i="34"/>
  <c r="N36" i="34" s="1"/>
  <c r="M11" i="34"/>
  <c r="F11" i="34"/>
  <c r="C11" i="34"/>
  <c r="B11" i="34"/>
  <c r="A11" i="34"/>
  <c r="O36" i="33"/>
  <c r="K36" i="33"/>
  <c r="J36" i="33"/>
  <c r="H36" i="33"/>
  <c r="G36" i="33"/>
  <c r="S35" i="33"/>
  <c r="R35" i="33"/>
  <c r="N35" i="33"/>
  <c r="M35" i="33"/>
  <c r="F35" i="33"/>
  <c r="C35" i="33"/>
  <c r="B35" i="33"/>
  <c r="A35" i="33"/>
  <c r="P35" i="33" s="1"/>
  <c r="S34" i="33"/>
  <c r="R34" i="33"/>
  <c r="N34" i="33"/>
  <c r="M34" i="33"/>
  <c r="F34" i="33"/>
  <c r="C34" i="33"/>
  <c r="B34" i="33"/>
  <c r="A34" i="33"/>
  <c r="P34" i="33" s="1"/>
  <c r="S33" i="33"/>
  <c r="R33" i="33"/>
  <c r="P33" i="33"/>
  <c r="N33" i="33"/>
  <c r="M33" i="33"/>
  <c r="F33" i="33"/>
  <c r="C33" i="33"/>
  <c r="B33" i="33"/>
  <c r="A33" i="33"/>
  <c r="S32" i="33"/>
  <c r="R32" i="33"/>
  <c r="N32" i="33"/>
  <c r="M32" i="33"/>
  <c r="F32" i="33"/>
  <c r="C32" i="33"/>
  <c r="B32" i="33"/>
  <c r="A32" i="33"/>
  <c r="P32" i="33" s="1"/>
  <c r="S31" i="33"/>
  <c r="R31" i="33"/>
  <c r="P31" i="33"/>
  <c r="N31" i="33"/>
  <c r="M31" i="33"/>
  <c r="F31" i="33"/>
  <c r="C31" i="33"/>
  <c r="B31" i="33"/>
  <c r="A31" i="33"/>
  <c r="S30" i="33"/>
  <c r="R30" i="33"/>
  <c r="N30" i="33"/>
  <c r="M30" i="33"/>
  <c r="F30" i="33"/>
  <c r="C30" i="33"/>
  <c r="B30" i="33"/>
  <c r="A30" i="33"/>
  <c r="P30" i="33" s="1"/>
  <c r="S29" i="33"/>
  <c r="R29" i="33"/>
  <c r="P29" i="33"/>
  <c r="N29" i="33"/>
  <c r="M29" i="33"/>
  <c r="F29" i="33"/>
  <c r="C29" i="33"/>
  <c r="B29" i="33"/>
  <c r="A29" i="33"/>
  <c r="S28" i="33"/>
  <c r="R28" i="33"/>
  <c r="N28" i="33"/>
  <c r="M28" i="33"/>
  <c r="F28" i="33"/>
  <c r="C28" i="33"/>
  <c r="B28" i="33"/>
  <c r="A28" i="33"/>
  <c r="P28" i="33" s="1"/>
  <c r="S27" i="33"/>
  <c r="R27" i="33"/>
  <c r="N27" i="33"/>
  <c r="M27" i="33"/>
  <c r="F27" i="33"/>
  <c r="C27" i="33"/>
  <c r="B27" i="33"/>
  <c r="A27" i="33"/>
  <c r="P27" i="33" s="1"/>
  <c r="S26" i="33"/>
  <c r="R26" i="33"/>
  <c r="N26" i="33"/>
  <c r="M26" i="33"/>
  <c r="F26" i="33"/>
  <c r="C26" i="33"/>
  <c r="B26" i="33"/>
  <c r="A26" i="33"/>
  <c r="P26" i="33" s="1"/>
  <c r="S25" i="33"/>
  <c r="R25" i="33"/>
  <c r="P25" i="33"/>
  <c r="N25" i="33"/>
  <c r="M25" i="33"/>
  <c r="F25" i="33"/>
  <c r="C25" i="33"/>
  <c r="B25" i="33"/>
  <c r="A25" i="33"/>
  <c r="S24" i="33"/>
  <c r="R24" i="33"/>
  <c r="N24" i="33"/>
  <c r="M24" i="33"/>
  <c r="F24" i="33"/>
  <c r="C24" i="33"/>
  <c r="B24" i="33"/>
  <c r="A24" i="33"/>
  <c r="P24" i="33" s="1"/>
  <c r="S23" i="33"/>
  <c r="R23" i="33"/>
  <c r="P23" i="33"/>
  <c r="N23" i="33"/>
  <c r="M23" i="33"/>
  <c r="F23" i="33"/>
  <c r="C23" i="33"/>
  <c r="B23" i="33"/>
  <c r="A23" i="33"/>
  <c r="S22" i="33"/>
  <c r="R22" i="33"/>
  <c r="N22" i="33"/>
  <c r="M22" i="33"/>
  <c r="F22" i="33"/>
  <c r="C22" i="33"/>
  <c r="B22" i="33"/>
  <c r="A22" i="33"/>
  <c r="P22" i="33" s="1"/>
  <c r="S21" i="33"/>
  <c r="R21" i="33"/>
  <c r="P21" i="33"/>
  <c r="N21" i="33"/>
  <c r="M21" i="33"/>
  <c r="F21" i="33"/>
  <c r="C21" i="33"/>
  <c r="B21" i="33"/>
  <c r="A21" i="33"/>
  <c r="S20" i="33"/>
  <c r="R20" i="33"/>
  <c r="N20" i="33"/>
  <c r="M20" i="33"/>
  <c r="F20" i="33"/>
  <c r="C20" i="33"/>
  <c r="B20" i="33"/>
  <c r="A20" i="33"/>
  <c r="S19" i="33"/>
  <c r="R19" i="33"/>
  <c r="N19" i="33"/>
  <c r="M19" i="33"/>
  <c r="F19" i="33"/>
  <c r="C19" i="33"/>
  <c r="B19" i="33"/>
  <c r="A19" i="33"/>
  <c r="S18" i="33"/>
  <c r="R18" i="33"/>
  <c r="N18" i="33"/>
  <c r="M18" i="33"/>
  <c r="F18" i="33"/>
  <c r="C18" i="33"/>
  <c r="B18" i="33"/>
  <c r="A18" i="33"/>
  <c r="S17" i="33"/>
  <c r="R17" i="33"/>
  <c r="N17" i="33"/>
  <c r="M17" i="33"/>
  <c r="F17" i="33"/>
  <c r="C17" i="33"/>
  <c r="B17" i="33"/>
  <c r="A17" i="33"/>
  <c r="S16" i="33"/>
  <c r="R16" i="33"/>
  <c r="N16" i="33"/>
  <c r="M16" i="33"/>
  <c r="F16" i="33"/>
  <c r="C16" i="33"/>
  <c r="B16" i="33"/>
  <c r="A16" i="33"/>
  <c r="S15" i="33"/>
  <c r="M15" i="33" s="1"/>
  <c r="N15" i="33" s="1"/>
  <c r="R15" i="33"/>
  <c r="F15" i="33"/>
  <c r="C15" i="33"/>
  <c r="B15" i="33"/>
  <c r="A15" i="33"/>
  <c r="S14" i="33"/>
  <c r="R14" i="33"/>
  <c r="N14" i="33"/>
  <c r="M14" i="33"/>
  <c r="F14" i="33"/>
  <c r="C14" i="33"/>
  <c r="B14" i="33"/>
  <c r="A14" i="33"/>
  <c r="S13" i="33"/>
  <c r="R13" i="33"/>
  <c r="N13" i="33"/>
  <c r="M13" i="33"/>
  <c r="F13" i="33"/>
  <c r="C13" i="33"/>
  <c r="B13" i="33"/>
  <c r="A13" i="33"/>
  <c r="S12" i="33"/>
  <c r="R12" i="33"/>
  <c r="N12" i="33"/>
  <c r="M12" i="33"/>
  <c r="F12" i="33"/>
  <c r="C12" i="33"/>
  <c r="B12" i="33"/>
  <c r="A12" i="33"/>
  <c r="S11" i="33"/>
  <c r="R11" i="33"/>
  <c r="N11" i="33"/>
  <c r="M11" i="33"/>
  <c r="F11" i="33"/>
  <c r="C11" i="33"/>
  <c r="B11" i="33"/>
  <c r="A11" i="33"/>
  <c r="O36" i="32"/>
  <c r="K36" i="32"/>
  <c r="J36" i="32"/>
  <c r="H36" i="32"/>
  <c r="G36" i="32"/>
  <c r="S35" i="32"/>
  <c r="R35" i="32"/>
  <c r="P35" i="32"/>
  <c r="N35" i="32"/>
  <c r="M35" i="32"/>
  <c r="F35" i="32"/>
  <c r="C35" i="32"/>
  <c r="B35" i="32"/>
  <c r="A35" i="32"/>
  <c r="S34" i="32"/>
  <c r="R34" i="32"/>
  <c r="N34" i="32"/>
  <c r="M34" i="32"/>
  <c r="F34" i="32"/>
  <c r="C34" i="32"/>
  <c r="B34" i="32"/>
  <c r="A34" i="32"/>
  <c r="P34" i="32" s="1"/>
  <c r="S33" i="32"/>
  <c r="R33" i="32"/>
  <c r="N33" i="32"/>
  <c r="M33" i="32"/>
  <c r="F33" i="32"/>
  <c r="C33" i="32"/>
  <c r="B33" i="32"/>
  <c r="A33" i="32"/>
  <c r="P33" i="32" s="1"/>
  <c r="S32" i="32"/>
  <c r="R32" i="32"/>
  <c r="N32" i="32"/>
  <c r="M32" i="32"/>
  <c r="F32" i="32"/>
  <c r="C32" i="32"/>
  <c r="B32" i="32"/>
  <c r="A32" i="32"/>
  <c r="P32" i="32" s="1"/>
  <c r="S31" i="32"/>
  <c r="R31" i="32"/>
  <c r="P31" i="32"/>
  <c r="N31" i="32"/>
  <c r="M31" i="32"/>
  <c r="F31" i="32"/>
  <c r="C31" i="32"/>
  <c r="B31" i="32"/>
  <c r="A31" i="32"/>
  <c r="S30" i="32"/>
  <c r="R30" i="32"/>
  <c r="N30" i="32"/>
  <c r="M30" i="32"/>
  <c r="F30" i="32"/>
  <c r="C30" i="32"/>
  <c r="B30" i="32"/>
  <c r="A30" i="32"/>
  <c r="P30" i="32" s="1"/>
  <c r="S29" i="32"/>
  <c r="R29" i="32"/>
  <c r="P29" i="32"/>
  <c r="N29" i="32"/>
  <c r="M29" i="32"/>
  <c r="F29" i="32"/>
  <c r="C29" i="32"/>
  <c r="B29" i="32"/>
  <c r="A29" i="32"/>
  <c r="S28" i="32"/>
  <c r="R28" i="32"/>
  <c r="N28" i="32"/>
  <c r="M28" i="32"/>
  <c r="F28" i="32"/>
  <c r="C28" i="32"/>
  <c r="B28" i="32"/>
  <c r="A28" i="32"/>
  <c r="P28" i="32" s="1"/>
  <c r="S27" i="32"/>
  <c r="R27" i="32"/>
  <c r="P27" i="32"/>
  <c r="N27" i="32"/>
  <c r="M27" i="32"/>
  <c r="F27" i="32"/>
  <c r="C27" i="32"/>
  <c r="B27" i="32"/>
  <c r="A27" i="32"/>
  <c r="S26" i="32"/>
  <c r="R26" i="32"/>
  <c r="N26" i="32"/>
  <c r="M26" i="32"/>
  <c r="F26" i="32"/>
  <c r="C26" i="32"/>
  <c r="B26" i="32"/>
  <c r="A26" i="32"/>
  <c r="P26" i="32" s="1"/>
  <c r="S25" i="32"/>
  <c r="R25" i="32"/>
  <c r="N25" i="32"/>
  <c r="M25" i="32"/>
  <c r="F25" i="32"/>
  <c r="C25" i="32"/>
  <c r="B25" i="32"/>
  <c r="A25" i="32"/>
  <c r="P25" i="32" s="1"/>
  <c r="S24" i="32"/>
  <c r="R24" i="32"/>
  <c r="N24" i="32"/>
  <c r="M24" i="32"/>
  <c r="F24" i="32"/>
  <c r="C24" i="32"/>
  <c r="B24" i="32"/>
  <c r="A24" i="32"/>
  <c r="P24" i="32" s="1"/>
  <c r="S23" i="32"/>
  <c r="R23" i="32"/>
  <c r="P23" i="32"/>
  <c r="N23" i="32"/>
  <c r="M23" i="32"/>
  <c r="F23" i="32"/>
  <c r="C23" i="32"/>
  <c r="B23" i="32"/>
  <c r="A23" i="32"/>
  <c r="S22" i="32"/>
  <c r="R22" i="32"/>
  <c r="N22" i="32"/>
  <c r="M22" i="32"/>
  <c r="F22" i="32"/>
  <c r="C22" i="32"/>
  <c r="B22" i="32"/>
  <c r="A22" i="32"/>
  <c r="P22" i="32" s="1"/>
  <c r="S21" i="32"/>
  <c r="R21" i="32"/>
  <c r="P21" i="32"/>
  <c r="N21" i="32"/>
  <c r="M21" i="32"/>
  <c r="F21" i="32"/>
  <c r="C21" i="32"/>
  <c r="B21" i="32"/>
  <c r="A21" i="32"/>
  <c r="S20" i="32"/>
  <c r="R20" i="32"/>
  <c r="N20" i="32"/>
  <c r="M20" i="32"/>
  <c r="F20" i="32"/>
  <c r="C20" i="32"/>
  <c r="B20" i="32"/>
  <c r="A20" i="32"/>
  <c r="S19" i="32"/>
  <c r="R19" i="32"/>
  <c r="N19" i="32"/>
  <c r="M19" i="32"/>
  <c r="F19" i="32"/>
  <c r="C19" i="32"/>
  <c r="B19" i="32"/>
  <c r="A19" i="32"/>
  <c r="S18" i="32"/>
  <c r="R18" i="32"/>
  <c r="N18" i="32"/>
  <c r="M18" i="32"/>
  <c r="F18" i="32"/>
  <c r="C18" i="32"/>
  <c r="B18" i="32"/>
  <c r="A18" i="32"/>
  <c r="S17" i="32"/>
  <c r="R17" i="32"/>
  <c r="N17" i="32"/>
  <c r="M17" i="32"/>
  <c r="F17" i="32"/>
  <c r="C17" i="32"/>
  <c r="B17" i="32"/>
  <c r="A17" i="32"/>
  <c r="S16" i="32"/>
  <c r="R16" i="32"/>
  <c r="N16" i="32"/>
  <c r="M16" i="32"/>
  <c r="F16" i="32"/>
  <c r="C16" i="32"/>
  <c r="B16" i="32"/>
  <c r="A16" i="32"/>
  <c r="S15" i="32"/>
  <c r="R15" i="32"/>
  <c r="N15" i="32"/>
  <c r="M15" i="32"/>
  <c r="I13" i="44" s="1"/>
  <c r="F15" i="32"/>
  <c r="C15" i="32"/>
  <c r="B15" i="32"/>
  <c r="A15" i="32"/>
  <c r="S14" i="32"/>
  <c r="R14" i="32"/>
  <c r="N14" i="32"/>
  <c r="M14" i="32"/>
  <c r="F14" i="32"/>
  <c r="C14" i="32"/>
  <c r="B14" i="32"/>
  <c r="A14" i="32"/>
  <c r="S13" i="32"/>
  <c r="R13" i="32"/>
  <c r="N13" i="32"/>
  <c r="M13" i="32"/>
  <c r="F13" i="32"/>
  <c r="C13" i="32"/>
  <c r="B13" i="32"/>
  <c r="A13" i="32"/>
  <c r="S12" i="32"/>
  <c r="R12" i="32"/>
  <c r="N12" i="32"/>
  <c r="M12" i="32"/>
  <c r="F12" i="32"/>
  <c r="C12" i="32"/>
  <c r="B12" i="32"/>
  <c r="A12" i="32"/>
  <c r="S11" i="32"/>
  <c r="R11" i="32"/>
  <c r="N11" i="32"/>
  <c r="N36" i="32" s="1"/>
  <c r="M11" i="32"/>
  <c r="F11" i="32"/>
  <c r="C11" i="32"/>
  <c r="B11" i="32"/>
  <c r="A11" i="32"/>
  <c r="I17" i="44" l="1"/>
  <c r="N19" i="36"/>
  <c r="N18" i="36"/>
  <c r="I16" i="44"/>
  <c r="F36" i="33"/>
  <c r="N36" i="33"/>
  <c r="M36" i="33"/>
  <c r="M27" i="65"/>
  <c r="M19" i="99"/>
  <c r="M31" i="67"/>
  <c r="M33" i="83"/>
  <c r="M25" i="83"/>
  <c r="M25" i="67"/>
  <c r="M21" i="49"/>
  <c r="M26" i="49"/>
  <c r="M27" i="50"/>
  <c r="M28" i="50"/>
  <c r="M24" i="99"/>
  <c r="M30" i="67"/>
  <c r="M19" i="97"/>
  <c r="M33" i="47"/>
  <c r="M24" i="66"/>
  <c r="M24" i="83"/>
  <c r="M32" i="66"/>
  <c r="M26" i="67"/>
  <c r="M24" i="68"/>
  <c r="M21" i="98"/>
  <c r="M26" i="99"/>
  <c r="M28" i="100"/>
  <c r="M26" i="84"/>
  <c r="M22" i="81"/>
  <c r="M24" i="81"/>
  <c r="M25" i="81"/>
  <c r="M26" i="81"/>
  <c r="M27" i="81"/>
  <c r="M31" i="98"/>
  <c r="M22" i="97"/>
  <c r="M31" i="97"/>
  <c r="M24" i="97"/>
  <c r="M30" i="98"/>
  <c r="M26" i="98"/>
  <c r="M25" i="98"/>
  <c r="M29" i="99"/>
  <c r="M24" i="100"/>
  <c r="M30" i="100"/>
  <c r="M29" i="100"/>
  <c r="M28" i="67"/>
  <c r="M29" i="84"/>
  <c r="M30" i="84"/>
  <c r="M26" i="100"/>
  <c r="M30" i="49"/>
  <c r="M31" i="49"/>
  <c r="M32" i="84"/>
  <c r="M22" i="99"/>
  <c r="M33" i="100"/>
  <c r="M29" i="49"/>
  <c r="M22" i="83"/>
  <c r="M27" i="84"/>
  <c r="M21" i="84"/>
  <c r="M27" i="97"/>
  <c r="M22" i="84"/>
  <c r="M22" i="98"/>
  <c r="M22" i="100"/>
  <c r="M19" i="50"/>
  <c r="M25" i="68"/>
  <c r="M32" i="49"/>
  <c r="M21" i="68"/>
  <c r="M23" i="84"/>
  <c r="M29" i="98"/>
  <c r="M31" i="100"/>
  <c r="M19" i="100"/>
  <c r="M32" i="50"/>
  <c r="M27" i="82"/>
  <c r="M31" i="99"/>
  <c r="M32" i="99"/>
  <c r="M25" i="100"/>
  <c r="M31" i="47"/>
  <c r="M25" i="49"/>
  <c r="M33" i="65"/>
  <c r="M32" i="67"/>
  <c r="M32" i="100"/>
  <c r="M20" i="49"/>
  <c r="M20" i="50"/>
  <c r="M21" i="50"/>
  <c r="M26" i="50"/>
  <c r="M19" i="51"/>
  <c r="M21" i="83"/>
  <c r="M23" i="100"/>
  <c r="M27" i="100"/>
  <c r="M33" i="68"/>
  <c r="M28" i="82"/>
  <c r="M32" i="98"/>
  <c r="M33" i="98"/>
  <c r="M26" i="83"/>
  <c r="M33" i="97"/>
  <c r="M19" i="98"/>
  <c r="M27" i="99"/>
  <c r="M23" i="98"/>
  <c r="M28" i="98"/>
  <c r="M30" i="99"/>
  <c r="M25" i="99"/>
  <c r="K13" i="14"/>
  <c r="G15" i="14"/>
  <c r="I23" i="14"/>
  <c r="K28" i="14"/>
  <c r="K16" i="14"/>
  <c r="I19" i="14"/>
  <c r="K24" i="14"/>
  <c r="I31" i="14"/>
  <c r="I10" i="14"/>
  <c r="K20" i="14"/>
  <c r="I27" i="14"/>
  <c r="K32" i="14"/>
  <c r="G18" i="14"/>
  <c r="G12" i="14"/>
  <c r="I15" i="14"/>
  <c r="G34" i="14"/>
  <c r="I18" i="14"/>
  <c r="K23" i="14"/>
  <c r="K31" i="14"/>
  <c r="G25" i="14"/>
  <c r="I14" i="14"/>
  <c r="I21" i="14"/>
  <c r="K26" i="14"/>
  <c r="I11" i="14"/>
  <c r="K14" i="14"/>
  <c r="G16" i="14"/>
  <c r="G20" i="14"/>
  <c r="G24" i="14"/>
  <c r="J25" i="14"/>
  <c r="G28" i="14"/>
  <c r="J29" i="14"/>
  <c r="G32" i="14"/>
  <c r="J33" i="14"/>
  <c r="K10" i="14"/>
  <c r="G22" i="14"/>
  <c r="G26" i="14"/>
  <c r="G30" i="14"/>
  <c r="J31" i="14"/>
  <c r="I34" i="98"/>
  <c r="K15" i="14"/>
  <c r="I22" i="14"/>
  <c r="K27" i="14"/>
  <c r="I34" i="14"/>
  <c r="L34" i="98"/>
  <c r="K12" i="14"/>
  <c r="G17" i="14"/>
  <c r="G21" i="14"/>
  <c r="G29" i="14"/>
  <c r="G33" i="14"/>
  <c r="H34" i="99"/>
  <c r="I17" i="14"/>
  <c r="K22" i="14"/>
  <c r="I29" i="14"/>
  <c r="K34" i="14"/>
  <c r="K11" i="14"/>
  <c r="G13" i="14"/>
  <c r="I16" i="14"/>
  <c r="K17" i="14"/>
  <c r="I20" i="14"/>
  <c r="K21" i="14"/>
  <c r="I24" i="14"/>
  <c r="K25" i="14"/>
  <c r="I28" i="14"/>
  <c r="K29" i="14"/>
  <c r="I32" i="14"/>
  <c r="K33" i="14"/>
  <c r="I12" i="14"/>
  <c r="K19" i="14"/>
  <c r="I26" i="14"/>
  <c r="I30" i="14"/>
  <c r="G14" i="14"/>
  <c r="J22" i="14"/>
  <c r="J26" i="14"/>
  <c r="J30" i="14"/>
  <c r="G11" i="14"/>
  <c r="K18" i="14"/>
  <c r="I25" i="14"/>
  <c r="K30" i="14"/>
  <c r="I33" i="14"/>
  <c r="G10" i="14"/>
  <c r="I13" i="14"/>
  <c r="G19" i="14"/>
  <c r="J20" i="14"/>
  <c r="G23" i="14"/>
  <c r="J24" i="14"/>
  <c r="G27" i="14"/>
  <c r="G31" i="14"/>
  <c r="J32" i="14"/>
  <c r="M23" i="47"/>
  <c r="M33" i="49"/>
  <c r="M25" i="51"/>
  <c r="M30" i="51"/>
  <c r="M28" i="65"/>
  <c r="M22" i="66"/>
  <c r="M23" i="66"/>
  <c r="M28" i="66"/>
  <c r="M33" i="66"/>
  <c r="M32" i="68"/>
  <c r="M20" i="81"/>
  <c r="M19" i="82"/>
  <c r="M20" i="82"/>
  <c r="M21" i="82"/>
  <c r="M23" i="97"/>
  <c r="M20" i="47"/>
  <c r="M27" i="47"/>
  <c r="M28" i="49"/>
  <c r="M33" i="52"/>
  <c r="M23" i="82"/>
  <c r="M24" i="82"/>
  <c r="M19" i="83"/>
  <c r="M20" i="83"/>
  <c r="M23" i="83"/>
  <c r="M27" i="83"/>
  <c r="M28" i="83"/>
  <c r="M31" i="84"/>
  <c r="M20" i="84"/>
  <c r="M25" i="84"/>
  <c r="M26" i="97"/>
  <c r="M32" i="97"/>
  <c r="M28" i="97"/>
  <c r="M29" i="97"/>
  <c r="M32" i="82"/>
  <c r="M30" i="83"/>
  <c r="M19" i="81"/>
  <c r="M33" i="81"/>
  <c r="M33" i="84"/>
  <c r="M21" i="97"/>
  <c r="M19" i="49"/>
  <c r="M27" i="49"/>
  <c r="M25" i="50"/>
  <c r="M23" i="50"/>
  <c r="M31" i="51"/>
  <c r="M21" i="51"/>
  <c r="F34" i="97"/>
  <c r="M30" i="50"/>
  <c r="M19" i="52"/>
  <c r="M30" i="52"/>
  <c r="M21" i="65"/>
  <c r="M19" i="67"/>
  <c r="M19" i="68"/>
  <c r="M31" i="68"/>
  <c r="M30" i="68"/>
  <c r="F34" i="82"/>
  <c r="H34" i="97"/>
  <c r="I34" i="99"/>
  <c r="M20" i="51"/>
  <c r="M27" i="51"/>
  <c r="M28" i="51"/>
  <c r="M29" i="52"/>
  <c r="M24" i="65"/>
  <c r="M20" i="66"/>
  <c r="M25" i="66"/>
  <c r="M29" i="66"/>
  <c r="M30" i="66"/>
  <c r="M22" i="67"/>
  <c r="M29" i="67"/>
  <c r="M23" i="67"/>
  <c r="M28" i="68"/>
  <c r="H34" i="83"/>
  <c r="F34" i="84"/>
  <c r="M31" i="81"/>
  <c r="L34" i="97"/>
  <c r="L34" i="99"/>
  <c r="L34" i="100"/>
  <c r="M19" i="48"/>
  <c r="M22" i="50"/>
  <c r="M20" i="65"/>
  <c r="M26" i="66"/>
  <c r="M19" i="66"/>
  <c r="M21" i="66"/>
  <c r="M24" i="67"/>
  <c r="M21" i="67"/>
  <c r="M22" i="68"/>
  <c r="M29" i="68"/>
  <c r="M22" i="47"/>
  <c r="M29" i="47"/>
  <c r="M26" i="68"/>
  <c r="M27" i="68"/>
  <c r="M20" i="68"/>
  <c r="F34" i="98"/>
  <c r="F34" i="100"/>
  <c r="M20" i="97"/>
  <c r="M20" i="98"/>
  <c r="M25" i="82"/>
  <c r="H34" i="98"/>
  <c r="F36" i="101"/>
  <c r="M20" i="67"/>
  <c r="M19" i="84"/>
  <c r="F34" i="99"/>
  <c r="I34" i="97"/>
  <c r="M36" i="104"/>
  <c r="M28" i="81"/>
  <c r="M24" i="84"/>
  <c r="M28" i="84"/>
  <c r="H34" i="100"/>
  <c r="N36" i="101"/>
  <c r="M30" i="81"/>
  <c r="I34" i="100"/>
  <c r="N36" i="104"/>
  <c r="F34" i="83"/>
  <c r="M23" i="81"/>
  <c r="M29" i="81"/>
  <c r="M22" i="82"/>
  <c r="M31" i="83"/>
  <c r="M32" i="83"/>
  <c r="N36" i="102"/>
  <c r="F36" i="103"/>
  <c r="N36" i="107"/>
  <c r="M36" i="102"/>
  <c r="M36" i="103"/>
  <c r="M36" i="108"/>
  <c r="F36" i="104"/>
  <c r="F36" i="106"/>
  <c r="F36" i="111"/>
  <c r="N36" i="105"/>
  <c r="M36" i="106"/>
  <c r="F36" i="107"/>
  <c r="N36" i="108"/>
  <c r="N36" i="106"/>
  <c r="F36" i="105"/>
  <c r="F36" i="112"/>
  <c r="F36" i="109"/>
  <c r="M36" i="109"/>
  <c r="F36" i="110"/>
  <c r="M36" i="111"/>
  <c r="M36" i="110"/>
  <c r="N36" i="111"/>
  <c r="H34" i="84"/>
  <c r="M21" i="52"/>
  <c r="H34" i="68"/>
  <c r="M23" i="52"/>
  <c r="M22" i="52"/>
  <c r="M27" i="52"/>
  <c r="L34" i="83"/>
  <c r="N36" i="88"/>
  <c r="M29" i="50"/>
  <c r="F34" i="81"/>
  <c r="M23" i="48"/>
  <c r="M23" i="65"/>
  <c r="I34" i="68"/>
  <c r="M25" i="65"/>
  <c r="M36" i="85"/>
  <c r="I26" i="82"/>
  <c r="J27" i="14" s="1"/>
  <c r="M28" i="47"/>
  <c r="M31" i="48"/>
  <c r="M33" i="50"/>
  <c r="H34" i="81"/>
  <c r="I34" i="83"/>
  <c r="N36" i="85"/>
  <c r="M33" i="82"/>
  <c r="N36" i="89"/>
  <c r="L34" i="84"/>
  <c r="M26" i="48"/>
  <c r="H34" i="51"/>
  <c r="F34" i="65"/>
  <c r="M32" i="65"/>
  <c r="M27" i="67"/>
  <c r="I9" i="81"/>
  <c r="N36" i="93"/>
  <c r="N36" i="96"/>
  <c r="M19" i="47"/>
  <c r="M20" i="48"/>
  <c r="M30" i="48"/>
  <c r="H34" i="65"/>
  <c r="L34" i="81"/>
  <c r="F36" i="87"/>
  <c r="M36" i="90"/>
  <c r="I9" i="82"/>
  <c r="L34" i="82"/>
  <c r="F36" i="85"/>
  <c r="F36" i="92"/>
  <c r="M36" i="94"/>
  <c r="M33" i="67"/>
  <c r="M26" i="51"/>
  <c r="M29" i="51"/>
  <c r="M22" i="51"/>
  <c r="M26" i="52"/>
  <c r="M31" i="52"/>
  <c r="L34" i="67"/>
  <c r="M29" i="65"/>
  <c r="M30" i="65"/>
  <c r="M31" i="65"/>
  <c r="M19" i="65"/>
  <c r="M26" i="65"/>
  <c r="M31" i="66"/>
  <c r="F36" i="86"/>
  <c r="I27" i="82"/>
  <c r="J28" i="14" s="1"/>
  <c r="M29" i="82"/>
  <c r="M30" i="82"/>
  <c r="M36" i="86"/>
  <c r="F36" i="91"/>
  <c r="H34" i="82"/>
  <c r="N36" i="87"/>
  <c r="F36" i="88"/>
  <c r="M29" i="83"/>
  <c r="M36" i="92"/>
  <c r="I33" i="81"/>
  <c r="J34" i="14" s="1"/>
  <c r="I20" i="82"/>
  <c r="J21" i="14" s="1"/>
  <c r="M36" i="91"/>
  <c r="I22" i="84"/>
  <c r="I34" i="84" s="1"/>
  <c r="N36" i="86"/>
  <c r="M36" i="88"/>
  <c r="N36" i="92"/>
  <c r="F36" i="89"/>
  <c r="F36" i="90"/>
  <c r="F36" i="93"/>
  <c r="F36" i="96"/>
  <c r="M36" i="93"/>
  <c r="M36" i="96"/>
  <c r="F36" i="95"/>
  <c r="M36" i="95"/>
  <c r="N36" i="95"/>
  <c r="F36" i="94"/>
  <c r="I34" i="67"/>
  <c r="M36" i="69"/>
  <c r="M24" i="47"/>
  <c r="M25" i="47"/>
  <c r="M26" i="47"/>
  <c r="M24" i="48"/>
  <c r="M25" i="48"/>
  <c r="M29" i="48"/>
  <c r="F34" i="52"/>
  <c r="M33" i="51"/>
  <c r="M22" i="48"/>
  <c r="N36" i="71"/>
  <c r="F34" i="66"/>
  <c r="N36" i="70"/>
  <c r="H34" i="50"/>
  <c r="M30" i="47"/>
  <c r="L34" i="50"/>
  <c r="L34" i="65"/>
  <c r="H34" i="66"/>
  <c r="F34" i="68"/>
  <c r="M22" i="65"/>
  <c r="M32" i="47"/>
  <c r="F34" i="49"/>
  <c r="M31" i="50"/>
  <c r="M32" i="52"/>
  <c r="M25" i="52"/>
  <c r="I34" i="66"/>
  <c r="F34" i="67"/>
  <c r="F36" i="72"/>
  <c r="L34" i="68"/>
  <c r="M28" i="48"/>
  <c r="M21" i="47"/>
  <c r="M21" i="48"/>
  <c r="M32" i="48"/>
  <c r="M33" i="48"/>
  <c r="M27" i="48"/>
  <c r="L34" i="66"/>
  <c r="H34" i="67"/>
  <c r="F36" i="71"/>
  <c r="M36" i="71"/>
  <c r="I34" i="52"/>
  <c r="M23" i="51"/>
  <c r="M24" i="51"/>
  <c r="I9" i="65"/>
  <c r="I34" i="65" s="1"/>
  <c r="M36" i="73"/>
  <c r="M32" i="51"/>
  <c r="M20" i="52"/>
  <c r="M24" i="52"/>
  <c r="M28" i="52"/>
  <c r="F36" i="70"/>
  <c r="M22" i="49"/>
  <c r="M23" i="49"/>
  <c r="M24" i="49"/>
  <c r="M24" i="50"/>
  <c r="F36" i="77"/>
  <c r="L34" i="51"/>
  <c r="M36" i="70"/>
  <c r="M36" i="75"/>
  <c r="F36" i="76"/>
  <c r="M36" i="72"/>
  <c r="M36" i="80"/>
  <c r="N36" i="72"/>
  <c r="N36" i="76"/>
  <c r="N36" i="80"/>
  <c r="F36" i="73"/>
  <c r="N36" i="75"/>
  <c r="F36" i="80"/>
  <c r="F36" i="74"/>
  <c r="F36" i="79"/>
  <c r="M36" i="79"/>
  <c r="N36" i="79"/>
  <c r="F36" i="78"/>
  <c r="M36" i="78"/>
  <c r="N36" i="78"/>
  <c r="H34" i="49"/>
  <c r="I34" i="49"/>
  <c r="L34" i="49"/>
  <c r="M36" i="54"/>
  <c r="M36" i="61"/>
  <c r="I9" i="51"/>
  <c r="I34" i="51" s="1"/>
  <c r="F34" i="50"/>
  <c r="M25" i="44"/>
  <c r="F36" i="53"/>
  <c r="H34" i="52"/>
  <c r="M24" i="44"/>
  <c r="F34" i="51"/>
  <c r="N36" i="53"/>
  <c r="M29" i="44"/>
  <c r="I9" i="50"/>
  <c r="I34" i="50" s="1"/>
  <c r="L34" i="52"/>
  <c r="N36" i="56"/>
  <c r="N36" i="59"/>
  <c r="M36" i="55"/>
  <c r="F36" i="54"/>
  <c r="F36" i="56"/>
  <c r="M36" i="57"/>
  <c r="M36" i="56"/>
  <c r="N36" i="57"/>
  <c r="N36" i="54"/>
  <c r="N36" i="58"/>
  <c r="M36" i="60"/>
  <c r="F36" i="57"/>
  <c r="F36" i="58"/>
  <c r="M36" i="59"/>
  <c r="F36" i="60"/>
  <c r="N36" i="61"/>
  <c r="N36" i="60"/>
  <c r="F36" i="61"/>
  <c r="F36" i="37"/>
  <c r="M36" i="32"/>
  <c r="I11" i="48"/>
  <c r="I34" i="48" s="1"/>
  <c r="F36" i="41"/>
  <c r="N13" i="37"/>
  <c r="I11" i="47"/>
  <c r="I34" i="47" s="1"/>
  <c r="M36" i="37"/>
  <c r="F36" i="32"/>
  <c r="F34" i="48"/>
  <c r="L34" i="48"/>
  <c r="H34" i="48"/>
  <c r="M28" i="44"/>
  <c r="M26" i="44"/>
  <c r="M21" i="44"/>
  <c r="M20" i="44"/>
  <c r="M22" i="44"/>
  <c r="H34" i="43"/>
  <c r="H34" i="47"/>
  <c r="L34" i="47"/>
  <c r="L34" i="44"/>
  <c r="F34" i="47"/>
  <c r="M33" i="44"/>
  <c r="M30" i="44"/>
  <c r="M31" i="44"/>
  <c r="M32" i="44"/>
  <c r="M19" i="44"/>
  <c r="M23" i="44"/>
  <c r="M27" i="44"/>
  <c r="F34" i="44"/>
  <c r="L34" i="43"/>
  <c r="H34" i="44"/>
  <c r="F34" i="43"/>
  <c r="M36" i="41"/>
  <c r="N36" i="41"/>
  <c r="F36" i="39"/>
  <c r="F36" i="42"/>
  <c r="N36" i="42"/>
  <c r="M36" i="39"/>
  <c r="F36" i="40"/>
  <c r="N36" i="39"/>
  <c r="M36" i="40"/>
  <c r="F36" i="38"/>
  <c r="N36" i="38"/>
  <c r="F36" i="36"/>
  <c r="N36" i="37"/>
  <c r="M36" i="36"/>
  <c r="F36" i="35"/>
  <c r="N36" i="36" l="1"/>
  <c r="I34" i="44"/>
  <c r="J23" i="14"/>
  <c r="I34" i="82"/>
  <c r="I34" i="81"/>
  <c r="C35" i="19"/>
  <c r="B35" i="19"/>
  <c r="A35" i="19"/>
  <c r="C34" i="19"/>
  <c r="B34" i="19"/>
  <c r="A34" i="19"/>
  <c r="C33" i="19"/>
  <c r="B33" i="19"/>
  <c r="A33" i="19"/>
  <c r="C32" i="19"/>
  <c r="B32" i="19"/>
  <c r="A32" i="19"/>
  <c r="P32" i="19" s="1"/>
  <c r="M30" i="43" s="1"/>
  <c r="L31" i="14" s="1"/>
  <c r="C31" i="19"/>
  <c r="B31" i="19"/>
  <c r="A31" i="19"/>
  <c r="C30" i="19"/>
  <c r="B30" i="19"/>
  <c r="A30" i="19"/>
  <c r="C29" i="19"/>
  <c r="B29" i="19"/>
  <c r="A29" i="19"/>
  <c r="P29" i="19" s="1"/>
  <c r="M27" i="43" s="1"/>
  <c r="L28" i="14" s="1"/>
  <c r="C28" i="19"/>
  <c r="B28" i="19"/>
  <c r="A28" i="19"/>
  <c r="C27" i="19"/>
  <c r="B27" i="19"/>
  <c r="A27" i="19"/>
  <c r="C26" i="19"/>
  <c r="B26" i="19"/>
  <c r="A26" i="19"/>
  <c r="C25" i="19"/>
  <c r="B25" i="19"/>
  <c r="A25" i="19"/>
  <c r="C24" i="19"/>
  <c r="B24" i="19"/>
  <c r="A24" i="19"/>
  <c r="P24" i="19" s="1"/>
  <c r="M22" i="43" s="1"/>
  <c r="L23" i="14" s="1"/>
  <c r="C23" i="19"/>
  <c r="B23" i="19"/>
  <c r="A23" i="19"/>
  <c r="C22" i="19"/>
  <c r="B22" i="19"/>
  <c r="A22" i="19"/>
  <c r="C21" i="19"/>
  <c r="B21" i="19"/>
  <c r="A21" i="19"/>
  <c r="P21" i="19" s="1"/>
  <c r="M19" i="43" s="1"/>
  <c r="L20" i="14" s="1"/>
  <c r="C20" i="19"/>
  <c r="B20" i="19"/>
  <c r="A20" i="19"/>
  <c r="C19" i="19"/>
  <c r="B19" i="19"/>
  <c r="A19" i="19"/>
  <c r="C18" i="19"/>
  <c r="B18" i="19"/>
  <c r="A18" i="19"/>
  <c r="C17" i="19"/>
  <c r="B17" i="19"/>
  <c r="A17" i="19"/>
  <c r="C16" i="19"/>
  <c r="B16" i="19"/>
  <c r="A16" i="19"/>
  <c r="C15" i="19"/>
  <c r="B15" i="19"/>
  <c r="A15" i="19"/>
  <c r="C14" i="19"/>
  <c r="B14" i="19"/>
  <c r="A14" i="19"/>
  <c r="C13" i="19"/>
  <c r="B13" i="19"/>
  <c r="A13" i="19"/>
  <c r="C12" i="19"/>
  <c r="B12" i="19"/>
  <c r="A12" i="19"/>
  <c r="C11" i="19"/>
  <c r="B11" i="19"/>
  <c r="A11" i="19"/>
  <c r="O36" i="19"/>
  <c r="K36" i="19"/>
  <c r="J36" i="19"/>
  <c r="H36" i="19"/>
  <c r="G36" i="19"/>
  <c r="S35" i="19"/>
  <c r="R35" i="19"/>
  <c r="N35" i="19"/>
  <c r="M35" i="19"/>
  <c r="F35" i="19"/>
  <c r="P35" i="19"/>
  <c r="M33" i="43" s="1"/>
  <c r="L34" i="14" s="1"/>
  <c r="S34" i="19"/>
  <c r="R34" i="19"/>
  <c r="N34" i="19"/>
  <c r="M34" i="19"/>
  <c r="F34" i="19"/>
  <c r="P34" i="19"/>
  <c r="M32" i="43" s="1"/>
  <c r="L33" i="14" s="1"/>
  <c r="S33" i="19"/>
  <c r="R33" i="19"/>
  <c r="N33" i="19"/>
  <c r="M33" i="19"/>
  <c r="F33" i="19"/>
  <c r="P33" i="19"/>
  <c r="M31" i="43" s="1"/>
  <c r="L32" i="14" s="1"/>
  <c r="S32" i="19"/>
  <c r="R32" i="19"/>
  <c r="N32" i="19"/>
  <c r="M32" i="19"/>
  <c r="F32" i="19"/>
  <c r="S31" i="19"/>
  <c r="R31" i="19"/>
  <c r="N31" i="19"/>
  <c r="M31" i="19"/>
  <c r="F31" i="19"/>
  <c r="P31" i="19"/>
  <c r="M29" i="43" s="1"/>
  <c r="L30" i="14" s="1"/>
  <c r="S30" i="19"/>
  <c r="R30" i="19"/>
  <c r="N30" i="19"/>
  <c r="M30" i="19"/>
  <c r="F30" i="19"/>
  <c r="P30" i="19"/>
  <c r="M28" i="43" s="1"/>
  <c r="L29" i="14" s="1"/>
  <c r="S29" i="19"/>
  <c r="R29" i="19"/>
  <c r="N29" i="19"/>
  <c r="M29" i="19"/>
  <c r="F29" i="19"/>
  <c r="S28" i="19"/>
  <c r="R28" i="19"/>
  <c r="N28" i="19"/>
  <c r="M28" i="19"/>
  <c r="F28" i="19"/>
  <c r="P28" i="19"/>
  <c r="M26" i="43" s="1"/>
  <c r="L27" i="14" s="1"/>
  <c r="S27" i="19"/>
  <c r="R27" i="19"/>
  <c r="N27" i="19"/>
  <c r="M27" i="19"/>
  <c r="F27" i="19"/>
  <c r="P27" i="19"/>
  <c r="M25" i="43" s="1"/>
  <c r="L26" i="14" s="1"/>
  <c r="S26" i="19"/>
  <c r="R26" i="19"/>
  <c r="N26" i="19"/>
  <c r="M26" i="19"/>
  <c r="F26" i="19"/>
  <c r="P26" i="19"/>
  <c r="M24" i="43" s="1"/>
  <c r="L25" i="14" s="1"/>
  <c r="S25" i="19"/>
  <c r="R25" i="19"/>
  <c r="N25" i="19"/>
  <c r="M25" i="19"/>
  <c r="F25" i="19"/>
  <c r="P25" i="19"/>
  <c r="M23" i="43" s="1"/>
  <c r="L24" i="14" s="1"/>
  <c r="S24" i="19"/>
  <c r="R24" i="19"/>
  <c r="N24" i="19"/>
  <c r="M24" i="19"/>
  <c r="F24" i="19"/>
  <c r="S23" i="19"/>
  <c r="R23" i="19"/>
  <c r="N23" i="19"/>
  <c r="M23" i="19"/>
  <c r="F23" i="19"/>
  <c r="P23" i="19"/>
  <c r="M21" i="43" s="1"/>
  <c r="L22" i="14" s="1"/>
  <c r="S22" i="19"/>
  <c r="R22" i="19"/>
  <c r="N22" i="19"/>
  <c r="M22" i="19"/>
  <c r="F22" i="19"/>
  <c r="P22" i="19"/>
  <c r="M20" i="43" s="1"/>
  <c r="L21" i="14" s="1"/>
  <c r="S21" i="19"/>
  <c r="R21" i="19"/>
  <c r="N21" i="19"/>
  <c r="M21" i="19"/>
  <c r="F21" i="19"/>
  <c r="S20" i="19"/>
  <c r="R20" i="19"/>
  <c r="N20" i="19"/>
  <c r="M20" i="19"/>
  <c r="I18" i="43" s="1"/>
  <c r="J19" i="14" s="1"/>
  <c r="F20" i="19"/>
  <c r="S19" i="19"/>
  <c r="M19" i="19" s="1"/>
  <c r="R19" i="19"/>
  <c r="F19" i="19"/>
  <c r="S18" i="19"/>
  <c r="R18" i="19"/>
  <c r="M18" i="19"/>
  <c r="I16" i="43" s="1"/>
  <c r="J17" i="14" s="1"/>
  <c r="F18" i="19"/>
  <c r="S17" i="19"/>
  <c r="M17" i="19" s="1"/>
  <c r="R17" i="19"/>
  <c r="F17" i="19"/>
  <c r="S16" i="19"/>
  <c r="M16" i="19" s="1"/>
  <c r="R16" i="19"/>
  <c r="F16" i="19"/>
  <c r="S15" i="19"/>
  <c r="M15" i="19" s="1"/>
  <c r="R15" i="19"/>
  <c r="F15" i="19"/>
  <c r="S14" i="19"/>
  <c r="M14" i="19" s="1"/>
  <c r="I12" i="43" s="1"/>
  <c r="J13" i="14" s="1"/>
  <c r="R14" i="19"/>
  <c r="F14" i="19"/>
  <c r="S13" i="19"/>
  <c r="R13" i="19"/>
  <c r="N13" i="19"/>
  <c r="M13" i="19"/>
  <c r="I11" i="43" s="1"/>
  <c r="J12" i="14" s="1"/>
  <c r="F13" i="19"/>
  <c r="S12" i="19"/>
  <c r="R12" i="19"/>
  <c r="N12" i="19"/>
  <c r="M12" i="19"/>
  <c r="I10" i="43" s="1"/>
  <c r="J11" i="14" s="1"/>
  <c r="F12" i="19"/>
  <c r="S11" i="19"/>
  <c r="R11" i="19"/>
  <c r="N11" i="19"/>
  <c r="M11" i="19"/>
  <c r="I9" i="43" s="1"/>
  <c r="J10" i="14" s="1"/>
  <c r="F11" i="19"/>
  <c r="AG579" i="14"/>
  <c r="AF579" i="14"/>
  <c r="AG575" i="14"/>
  <c r="AF575" i="14"/>
  <c r="AJ569" i="14"/>
  <c r="V532" i="14"/>
  <c r="V531" i="14"/>
  <c r="F34" i="14"/>
  <c r="D34" i="14"/>
  <c r="F33" i="14"/>
  <c r="D33" i="14"/>
  <c r="F32" i="14"/>
  <c r="D32" i="14"/>
  <c r="F31" i="14"/>
  <c r="D31" i="14"/>
  <c r="F30" i="14"/>
  <c r="D30" i="14"/>
  <c r="F29" i="14"/>
  <c r="D29" i="14"/>
  <c r="F28" i="14"/>
  <c r="D28" i="14"/>
  <c r="F27" i="14"/>
  <c r="D27" i="14"/>
  <c r="F26" i="14"/>
  <c r="D26" i="14"/>
  <c r="F25" i="14"/>
  <c r="D25" i="14"/>
  <c r="F24" i="14"/>
  <c r="D24" i="14"/>
  <c r="F23" i="14"/>
  <c r="D23" i="14"/>
  <c r="F22" i="14"/>
  <c r="D22" i="14"/>
  <c r="F21" i="14"/>
  <c r="D21" i="14"/>
  <c r="F20" i="14"/>
  <c r="D20" i="14"/>
  <c r="D19" i="14"/>
  <c r="D18" i="14"/>
  <c r="D17" i="14"/>
  <c r="D16" i="14"/>
  <c r="D15" i="14"/>
  <c r="D14" i="14"/>
  <c r="D13" i="14"/>
  <c r="D12" i="14"/>
  <c r="D11" i="14"/>
  <c r="D10" i="14"/>
  <c r="T3" i="14"/>
  <c r="V41" i="13"/>
  <c r="U41" i="13"/>
  <c r="S41" i="13"/>
  <c r="R41" i="13"/>
  <c r="Q41" i="13"/>
  <c r="P41" i="13"/>
  <c r="O41" i="13"/>
  <c r="H41" i="13"/>
  <c r="V16" i="13"/>
  <c r="U16" i="13"/>
  <c r="D25" i="12"/>
  <c r="D24" i="12"/>
  <c r="D23" i="12"/>
  <c r="C25" i="12"/>
  <c r="C24" i="12"/>
  <c r="C23" i="12"/>
  <c r="D20" i="12"/>
  <c r="D19" i="12"/>
  <c r="D18" i="12"/>
  <c r="D17" i="12"/>
  <c r="D16" i="12"/>
  <c r="D15" i="12"/>
  <c r="C20" i="12"/>
  <c r="E20" i="12" s="1"/>
  <c r="C19" i="12"/>
  <c r="E19" i="12" s="1"/>
  <c r="C18" i="12"/>
  <c r="C17" i="12"/>
  <c r="C16" i="12"/>
  <c r="C15" i="12"/>
  <c r="D11" i="12"/>
  <c r="D10" i="12"/>
  <c r="D9" i="12"/>
  <c r="D8" i="12"/>
  <c r="G13" i="10"/>
  <c r="G12" i="10"/>
  <c r="G11" i="10"/>
  <c r="G10" i="10"/>
  <c r="G9" i="10"/>
  <c r="G8" i="10"/>
  <c r="C13" i="10"/>
  <c r="F13" i="10" s="1"/>
  <c r="C12" i="10"/>
  <c r="F12" i="10" s="1"/>
  <c r="C11" i="10"/>
  <c r="E11" i="10" s="1"/>
  <c r="C10" i="10"/>
  <c r="F10" i="10" s="1"/>
  <c r="C9" i="10"/>
  <c r="F9" i="10" s="1"/>
  <c r="C8" i="10"/>
  <c r="H7" i="10"/>
  <c r="G7" i="10"/>
  <c r="C7" i="10"/>
  <c r="F7" i="10" s="1"/>
  <c r="F5907" i="11"/>
  <c r="E5907" i="11"/>
  <c r="F5906" i="11"/>
  <c r="E5906" i="11"/>
  <c r="F5905" i="11"/>
  <c r="E5905" i="11"/>
  <c r="F5904" i="11"/>
  <c r="E5904" i="11"/>
  <c r="F5903" i="11"/>
  <c r="E5903" i="11"/>
  <c r="F5902" i="11"/>
  <c r="E5902" i="11"/>
  <c r="F5901" i="11"/>
  <c r="E5901" i="11"/>
  <c r="F5900" i="11"/>
  <c r="E5900" i="11"/>
  <c r="F5899" i="11"/>
  <c r="E5899" i="11"/>
  <c r="F5898" i="11"/>
  <c r="E5898" i="11"/>
  <c r="F5897" i="11"/>
  <c r="E5897" i="11"/>
  <c r="F5896" i="11"/>
  <c r="E5896" i="11"/>
  <c r="F5895" i="11"/>
  <c r="E5895" i="11"/>
  <c r="F5894" i="11"/>
  <c r="E5894" i="11"/>
  <c r="F5893" i="11"/>
  <c r="E5893" i="11"/>
  <c r="F5892" i="11"/>
  <c r="E5892" i="11"/>
  <c r="F5891" i="11"/>
  <c r="E5891" i="11"/>
  <c r="F5890" i="11"/>
  <c r="E5890" i="11"/>
  <c r="F5889" i="11"/>
  <c r="E5889" i="11"/>
  <c r="F5888" i="11"/>
  <c r="E5888" i="11"/>
  <c r="F5887" i="11"/>
  <c r="E5887" i="11"/>
  <c r="F5886" i="11"/>
  <c r="E5886" i="11"/>
  <c r="F5825" i="11"/>
  <c r="E5825" i="11"/>
  <c r="F7" i="11"/>
  <c r="E7" i="11"/>
  <c r="AQ13" i="10"/>
  <c r="AP13" i="10"/>
  <c r="AQ12" i="10"/>
  <c r="AP12" i="10"/>
  <c r="AQ11" i="10"/>
  <c r="AP11" i="10"/>
  <c r="F11" i="10"/>
  <c r="AQ10" i="10"/>
  <c r="AP10" i="10"/>
  <c r="AQ9" i="10"/>
  <c r="AP9" i="10"/>
  <c r="AQ8" i="10"/>
  <c r="AP8" i="10"/>
  <c r="F8" i="10"/>
  <c r="AQ7" i="10"/>
  <c r="AP7" i="10"/>
  <c r="F48" i="9"/>
  <c r="F47" i="9"/>
  <c r="F46" i="9"/>
  <c r="F45" i="9"/>
  <c r="F44" i="9"/>
  <c r="F43" i="9"/>
  <c r="F42" i="9"/>
  <c r="F41" i="9"/>
  <c r="F40" i="9"/>
  <c r="O48" i="9"/>
  <c r="O47" i="9"/>
  <c r="O46" i="9"/>
  <c r="H13" i="10"/>
  <c r="O45" i="9"/>
  <c r="H12" i="10"/>
  <c r="O44" i="9"/>
  <c r="H11" i="10"/>
  <c r="O43" i="9"/>
  <c r="H10" i="10"/>
  <c r="O42" i="9"/>
  <c r="H9" i="10"/>
  <c r="O41" i="9"/>
  <c r="H8" i="10"/>
  <c r="O40" i="9"/>
  <c r="X39" i="9"/>
  <c r="Z28" i="9" s="1"/>
  <c r="AD33" i="9"/>
  <c r="X33" i="9"/>
  <c r="D33" i="9"/>
  <c r="AD32" i="9"/>
  <c r="X32" i="9"/>
  <c r="D32" i="9"/>
  <c r="AD31" i="9"/>
  <c r="X31" i="9"/>
  <c r="D31" i="9"/>
  <c r="AD30" i="9"/>
  <c r="X30" i="9"/>
  <c r="D30" i="9"/>
  <c r="AD28" i="9"/>
  <c r="X28" i="9"/>
  <c r="D28" i="9"/>
  <c r="AD27" i="9"/>
  <c r="X27" i="9"/>
  <c r="D27" i="9"/>
  <c r="AD26" i="9"/>
  <c r="X26" i="9"/>
  <c r="D26" i="9"/>
  <c r="AD25" i="9"/>
  <c r="X25" i="9"/>
  <c r="D25" i="9"/>
  <c r="AD24" i="9"/>
  <c r="X24" i="9"/>
  <c r="D24" i="9"/>
  <c r="AD23" i="9"/>
  <c r="X23" i="9"/>
  <c r="D23" i="9"/>
  <c r="AD22" i="9"/>
  <c r="X22" i="9"/>
  <c r="D22" i="9"/>
  <c r="AD21" i="9"/>
  <c r="X21" i="9"/>
  <c r="D21" i="9"/>
  <c r="AD20" i="9"/>
  <c r="X20" i="9"/>
  <c r="D20" i="9"/>
  <c r="AD19" i="9"/>
  <c r="X19" i="9"/>
  <c r="D19" i="9"/>
  <c r="AD18" i="9"/>
  <c r="X18" i="9"/>
  <c r="D18" i="9"/>
  <c r="AD17" i="9"/>
  <c r="X17" i="9"/>
  <c r="D17" i="9"/>
  <c r="AD16" i="9"/>
  <c r="X16" i="9"/>
  <c r="D16" i="9"/>
  <c r="AD15" i="9"/>
  <c r="X15" i="9"/>
  <c r="D15" i="9"/>
  <c r="AD14" i="9"/>
  <c r="X14" i="9"/>
  <c r="D14" i="9"/>
  <c r="AD13" i="9"/>
  <c r="X13" i="9"/>
  <c r="D13" i="9"/>
  <c r="AG490" i="8"/>
  <c r="AG488" i="8"/>
  <c r="AG491" i="8" s="1"/>
  <c r="AE434" i="8" a="1"/>
  <c r="AE434" i="8" s="1"/>
  <c r="AE433" i="8" a="1"/>
  <c r="AE433" i="8" s="1"/>
  <c r="AE432" i="8" a="1"/>
  <c r="AE432" i="8" s="1"/>
  <c r="AE320" i="8" a="1"/>
  <c r="AE320" i="8" s="1"/>
  <c r="AC320" i="8" a="1"/>
  <c r="AC320" i="8" s="1"/>
  <c r="AE319" i="8" a="1"/>
  <c r="AE319" i="8" s="1"/>
  <c r="AC319" i="8" a="1"/>
  <c r="AC319" i="8" s="1"/>
  <c r="AE318" i="8" a="1"/>
  <c r="AE318" i="8" s="1"/>
  <c r="AC318" i="8" a="1"/>
  <c r="AC318" i="8" s="1"/>
  <c r="Q31" i="8"/>
  <c r="U30" i="8"/>
  <c r="R30" i="8"/>
  <c r="P30" i="8"/>
  <c r="N30" i="8"/>
  <c r="K30" i="8"/>
  <c r="Q30" i="8" s="1"/>
  <c r="J30" i="8"/>
  <c r="F30" i="8"/>
  <c r="E30" i="8"/>
  <c r="O30" i="8" s="1"/>
  <c r="U29" i="8"/>
  <c r="R29" i="8"/>
  <c r="Q29" i="8"/>
  <c r="P29" i="8"/>
  <c r="N29" i="8"/>
  <c r="K29" i="8"/>
  <c r="J29" i="8"/>
  <c r="F29" i="8"/>
  <c r="E29" i="8"/>
  <c r="O29" i="8" s="1"/>
  <c r="U28" i="8"/>
  <c r="R28" i="8"/>
  <c r="P28" i="8"/>
  <c r="S28" i="8" s="1"/>
  <c r="N28" i="8"/>
  <c r="K28" i="8"/>
  <c r="Q28" i="8" s="1"/>
  <c r="J28" i="8"/>
  <c r="F28" i="8"/>
  <c r="E28" i="8"/>
  <c r="O28" i="8" s="1"/>
  <c r="U27" i="8"/>
  <c r="R27" i="8"/>
  <c r="Q27" i="8"/>
  <c r="P27" i="8"/>
  <c r="N27" i="8"/>
  <c r="K27" i="8"/>
  <c r="J27" i="8"/>
  <c r="F27" i="8"/>
  <c r="E27" i="8"/>
  <c r="O27" i="8" s="1"/>
  <c r="U26" i="8"/>
  <c r="R26" i="8"/>
  <c r="P26" i="8"/>
  <c r="N26" i="8"/>
  <c r="K26" i="8"/>
  <c r="Q26" i="8" s="1"/>
  <c r="J26" i="8"/>
  <c r="F26" i="8"/>
  <c r="E26" i="8"/>
  <c r="O26" i="8" s="1"/>
  <c r="U25" i="8"/>
  <c r="R25" i="8"/>
  <c r="Q25" i="8"/>
  <c r="P25" i="8"/>
  <c r="N25" i="8"/>
  <c r="K25" i="8"/>
  <c r="J25" i="8"/>
  <c r="F25" i="8"/>
  <c r="E25" i="8"/>
  <c r="O25" i="8" s="1"/>
  <c r="U24" i="8"/>
  <c r="R24" i="8"/>
  <c r="P24" i="8"/>
  <c r="V24" i="8" s="1"/>
  <c r="N24" i="8"/>
  <c r="K24" i="8"/>
  <c r="Q24" i="8" s="1"/>
  <c r="J24" i="8"/>
  <c r="F24" i="8"/>
  <c r="E24" i="8"/>
  <c r="O24" i="8" s="1"/>
  <c r="U23" i="8"/>
  <c r="R23" i="8"/>
  <c r="P23" i="8"/>
  <c r="V23" i="8" s="1"/>
  <c r="N23" i="8"/>
  <c r="K23" i="8"/>
  <c r="Q23" i="8" s="1"/>
  <c r="J23" i="8"/>
  <c r="F23" i="8"/>
  <c r="E23" i="8"/>
  <c r="O23" i="8" s="1"/>
  <c r="U22" i="8"/>
  <c r="R22" i="8"/>
  <c r="P22" i="8"/>
  <c r="N22" i="8"/>
  <c r="K22" i="8"/>
  <c r="Q22" i="8" s="1"/>
  <c r="J22" i="8"/>
  <c r="F22" i="8"/>
  <c r="E22" i="8"/>
  <c r="O22" i="8" s="1"/>
  <c r="U21" i="8"/>
  <c r="R21" i="8"/>
  <c r="P21" i="8"/>
  <c r="N21" i="8"/>
  <c r="K21" i="8"/>
  <c r="Q21" i="8" s="1"/>
  <c r="J21" i="8"/>
  <c r="F21" i="8"/>
  <c r="E21" i="8"/>
  <c r="O21" i="8" s="1"/>
  <c r="U20" i="8"/>
  <c r="R20" i="8"/>
  <c r="P20" i="8"/>
  <c r="V20" i="8" s="1"/>
  <c r="N20" i="8"/>
  <c r="K20" i="8"/>
  <c r="Q20" i="8" s="1"/>
  <c r="J20" i="8"/>
  <c r="F20" i="8"/>
  <c r="E20" i="8"/>
  <c r="O20" i="8" s="1"/>
  <c r="U19" i="8"/>
  <c r="R19" i="8"/>
  <c r="P19" i="8"/>
  <c r="V19" i="8" s="1"/>
  <c r="N19" i="8"/>
  <c r="K19" i="8"/>
  <c r="Q19" i="8" s="1"/>
  <c r="J19" i="8"/>
  <c r="F19" i="8"/>
  <c r="E19" i="8"/>
  <c r="O19" i="8" s="1"/>
  <c r="U18" i="8"/>
  <c r="R18" i="8"/>
  <c r="Q18" i="8"/>
  <c r="P18" i="8"/>
  <c r="N18" i="8"/>
  <c r="K18" i="8"/>
  <c r="J18" i="8"/>
  <c r="F18" i="8"/>
  <c r="E18" i="8"/>
  <c r="O18" i="8" s="1"/>
  <c r="U17" i="8"/>
  <c r="R17" i="8"/>
  <c r="P17" i="8"/>
  <c r="N17" i="8"/>
  <c r="J17" i="8"/>
  <c r="K17" i="8" s="1"/>
  <c r="Q17" i="8" s="1"/>
  <c r="F17" i="8"/>
  <c r="E17" i="8"/>
  <c r="O17" i="8" s="1"/>
  <c r="U16" i="8"/>
  <c r="R16" i="8"/>
  <c r="P16" i="8"/>
  <c r="N16" i="8"/>
  <c r="J16" i="8" s="1"/>
  <c r="K16" i="8" s="1"/>
  <c r="Q16" i="8" s="1"/>
  <c r="F16" i="8"/>
  <c r="E16" i="8"/>
  <c r="O16" i="8" s="1"/>
  <c r="U15" i="8"/>
  <c r="R15" i="8"/>
  <c r="P15" i="8"/>
  <c r="N15" i="8"/>
  <c r="J15" i="8" s="1"/>
  <c r="K15" i="8" s="1"/>
  <c r="Q15" i="8" s="1"/>
  <c r="F15" i="8"/>
  <c r="E15" i="8"/>
  <c r="O15" i="8" s="1"/>
  <c r="U14" i="8"/>
  <c r="R14" i="8"/>
  <c r="N14" i="8"/>
  <c r="J14" i="8" s="1"/>
  <c r="K14" i="8" s="1"/>
  <c r="Q14" i="8" s="1"/>
  <c r="F14" i="8"/>
  <c r="E14" i="8"/>
  <c r="O14" i="8" s="1"/>
  <c r="P14" i="8" s="1"/>
  <c r="U13" i="8"/>
  <c r="R13" i="8"/>
  <c r="N13" i="8"/>
  <c r="J13" i="8" s="1"/>
  <c r="K13" i="8" s="1"/>
  <c r="Q13" i="8" s="1"/>
  <c r="F13" i="8"/>
  <c r="E13" i="8"/>
  <c r="O13" i="8" s="1"/>
  <c r="P13" i="8" s="1"/>
  <c r="U12" i="8"/>
  <c r="R12" i="8"/>
  <c r="P12" i="8"/>
  <c r="N12" i="8"/>
  <c r="J12" i="8" s="1"/>
  <c r="K12" i="8" s="1"/>
  <c r="Q12" i="8" s="1"/>
  <c r="F12" i="8"/>
  <c r="E12" i="8"/>
  <c r="O12" i="8" s="1"/>
  <c r="U11" i="8"/>
  <c r="R11" i="8"/>
  <c r="N11" i="8"/>
  <c r="J11" i="8" s="1"/>
  <c r="K11" i="8" s="1"/>
  <c r="Q11" i="8" s="1"/>
  <c r="F11" i="8"/>
  <c r="E11" i="8"/>
  <c r="O11" i="8" s="1"/>
  <c r="P11" i="8" s="1"/>
  <c r="U10" i="8"/>
  <c r="R10" i="8"/>
  <c r="P10" i="8"/>
  <c r="N10" i="8"/>
  <c r="J10" i="8"/>
  <c r="K10" i="8" s="1"/>
  <c r="Q10" i="8" s="1"/>
  <c r="F10" i="8"/>
  <c r="E10" i="8"/>
  <c r="O10" i="8" s="1"/>
  <c r="U9" i="8"/>
  <c r="R9" i="8"/>
  <c r="P9" i="8"/>
  <c r="N9" i="8"/>
  <c r="J9" i="8"/>
  <c r="K9" i="8" s="1"/>
  <c r="Q9" i="8" s="1"/>
  <c r="F9" i="8"/>
  <c r="E9" i="8"/>
  <c r="O9" i="8" s="1"/>
  <c r="U8" i="8"/>
  <c r="R8" i="8"/>
  <c r="P8" i="8"/>
  <c r="N8" i="8"/>
  <c r="J8" i="8"/>
  <c r="K8" i="8" s="1"/>
  <c r="Q8" i="8" s="1"/>
  <c r="F8" i="8"/>
  <c r="E8" i="8"/>
  <c r="O8" i="8" s="1"/>
  <c r="U7" i="8"/>
  <c r="R7" i="8"/>
  <c r="P7" i="8"/>
  <c r="N7" i="8"/>
  <c r="J7" i="8"/>
  <c r="K7" i="8" s="1"/>
  <c r="Q7" i="8" s="1"/>
  <c r="F7" i="8"/>
  <c r="E7" i="8"/>
  <c r="F37" i="7"/>
  <c r="F27" i="7"/>
  <c r="D16" i="7"/>
  <c r="F16" i="7" s="1"/>
  <c r="D5" i="7"/>
  <c r="F5" i="7" s="1"/>
  <c r="C9" i="1"/>
  <c r="AB28" i="9" l="1"/>
  <c r="E9" i="10"/>
  <c r="E13" i="10"/>
  <c r="I17" i="43"/>
  <c r="J18" i="14" s="1"/>
  <c r="N19" i="19"/>
  <c r="N18" i="19"/>
  <c r="I15" i="43"/>
  <c r="J16" i="14" s="1"/>
  <c r="N17" i="19"/>
  <c r="I13" i="43"/>
  <c r="J14" i="14" s="1"/>
  <c r="N15" i="19"/>
  <c r="V12" i="8"/>
  <c r="V11" i="8"/>
  <c r="V9" i="8"/>
  <c r="I14" i="43"/>
  <c r="J15" i="14" s="1"/>
  <c r="N16" i="19"/>
  <c r="D24" i="111"/>
  <c r="T24" i="111" s="1"/>
  <c r="I24" i="111" s="1"/>
  <c r="D24" i="110"/>
  <c r="T24" i="110" s="1"/>
  <c r="I24" i="110" s="1"/>
  <c r="D24" i="112"/>
  <c r="T24" i="112" s="1"/>
  <c r="I24" i="112" s="1"/>
  <c r="D24" i="106"/>
  <c r="T24" i="106" s="1"/>
  <c r="I24" i="106" s="1"/>
  <c r="D24" i="105"/>
  <c r="T24" i="105" s="1"/>
  <c r="I24" i="105" s="1"/>
  <c r="D24" i="109"/>
  <c r="T24" i="109" s="1"/>
  <c r="I24" i="109" s="1"/>
  <c r="D24" i="107"/>
  <c r="T24" i="107" s="1"/>
  <c r="I24" i="107" s="1"/>
  <c r="D24" i="108"/>
  <c r="T24" i="108" s="1"/>
  <c r="I24" i="108" s="1"/>
  <c r="D24" i="102"/>
  <c r="T24" i="102" s="1"/>
  <c r="I24" i="102" s="1"/>
  <c r="D24" i="104"/>
  <c r="T24" i="104" s="1"/>
  <c r="I24" i="104" s="1"/>
  <c r="D24" i="101"/>
  <c r="T24" i="101" s="1"/>
  <c r="I24" i="101" s="1"/>
  <c r="C22" i="99"/>
  <c r="C22" i="100"/>
  <c r="C22" i="98"/>
  <c r="C22" i="97"/>
  <c r="D24" i="103"/>
  <c r="T24" i="103" s="1"/>
  <c r="I24" i="103" s="1"/>
  <c r="D15" i="112"/>
  <c r="T15" i="112" s="1"/>
  <c r="D15" i="111"/>
  <c r="T15" i="111" s="1"/>
  <c r="D15" i="110"/>
  <c r="T15" i="110" s="1"/>
  <c r="D15" i="108"/>
  <c r="T15" i="108" s="1"/>
  <c r="D15" i="109"/>
  <c r="T15" i="109" s="1"/>
  <c r="D15" i="107"/>
  <c r="T15" i="107" s="1"/>
  <c r="D15" i="106"/>
  <c r="T15" i="106" s="1"/>
  <c r="D15" i="104"/>
  <c r="T15" i="104" s="1"/>
  <c r="D15" i="103"/>
  <c r="T15" i="103" s="1"/>
  <c r="D15" i="105"/>
  <c r="T15" i="105" s="1"/>
  <c r="C13" i="100"/>
  <c r="D15" i="102"/>
  <c r="T15" i="102" s="1"/>
  <c r="C13" i="98"/>
  <c r="C13" i="97"/>
  <c r="C13" i="99"/>
  <c r="D15" i="101"/>
  <c r="T15" i="101" s="1"/>
  <c r="D23" i="112"/>
  <c r="T23" i="112" s="1"/>
  <c r="I23" i="112" s="1"/>
  <c r="D23" i="111"/>
  <c r="T23" i="111" s="1"/>
  <c r="I23" i="111" s="1"/>
  <c r="D23" i="108"/>
  <c r="T23" i="108" s="1"/>
  <c r="I23" i="108" s="1"/>
  <c r="D23" i="110"/>
  <c r="T23" i="110" s="1"/>
  <c r="I23" i="110" s="1"/>
  <c r="D23" i="107"/>
  <c r="T23" i="107" s="1"/>
  <c r="I23" i="107" s="1"/>
  <c r="D23" i="106"/>
  <c r="T23" i="106" s="1"/>
  <c r="I23" i="106" s="1"/>
  <c r="D23" i="109"/>
  <c r="T23" i="109" s="1"/>
  <c r="I23" i="109" s="1"/>
  <c r="D23" i="104"/>
  <c r="T23" i="104" s="1"/>
  <c r="I23" i="104" s="1"/>
  <c r="D23" i="105"/>
  <c r="T23" i="105" s="1"/>
  <c r="I23" i="105" s="1"/>
  <c r="D23" i="103"/>
  <c r="T23" i="103" s="1"/>
  <c r="I23" i="103" s="1"/>
  <c r="C21" i="100"/>
  <c r="D23" i="102"/>
  <c r="T23" i="102" s="1"/>
  <c r="I23" i="102" s="1"/>
  <c r="C21" i="98"/>
  <c r="D23" i="101"/>
  <c r="T23" i="101" s="1"/>
  <c r="I23" i="101" s="1"/>
  <c r="C21" i="97"/>
  <c r="C21" i="99"/>
  <c r="D31" i="109"/>
  <c r="T31" i="109" s="1"/>
  <c r="I31" i="109" s="1"/>
  <c r="D31" i="112"/>
  <c r="T31" i="112" s="1"/>
  <c r="I31" i="112" s="1"/>
  <c r="D31" i="111"/>
  <c r="T31" i="111" s="1"/>
  <c r="I31" i="111" s="1"/>
  <c r="D31" i="108"/>
  <c r="T31" i="108" s="1"/>
  <c r="I31" i="108" s="1"/>
  <c r="D31" i="110"/>
  <c r="T31" i="110" s="1"/>
  <c r="I31" i="110" s="1"/>
  <c r="D31" i="107"/>
  <c r="T31" i="107" s="1"/>
  <c r="I31" i="107" s="1"/>
  <c r="D31" i="106"/>
  <c r="T31" i="106" s="1"/>
  <c r="I31" i="106" s="1"/>
  <c r="D31" i="105"/>
  <c r="T31" i="105" s="1"/>
  <c r="I31" i="105" s="1"/>
  <c r="D31" i="104"/>
  <c r="T31" i="104" s="1"/>
  <c r="I31" i="104" s="1"/>
  <c r="D31" i="103"/>
  <c r="T31" i="103" s="1"/>
  <c r="I31" i="103" s="1"/>
  <c r="C29" i="100"/>
  <c r="D31" i="102"/>
  <c r="T31" i="102" s="1"/>
  <c r="I31" i="102" s="1"/>
  <c r="C29" i="98"/>
  <c r="C29" i="97"/>
  <c r="D31" i="101"/>
  <c r="T31" i="101" s="1"/>
  <c r="I31" i="101" s="1"/>
  <c r="C29" i="99"/>
  <c r="D14" i="112"/>
  <c r="T14" i="112" s="1"/>
  <c r="D14" i="111"/>
  <c r="T14" i="111" s="1"/>
  <c r="D14" i="110"/>
  <c r="T14" i="110" s="1"/>
  <c r="D14" i="109"/>
  <c r="T14" i="109" s="1"/>
  <c r="D14" i="107"/>
  <c r="T14" i="107" s="1"/>
  <c r="D14" i="106"/>
  <c r="T14" i="106" s="1"/>
  <c r="D14" i="108"/>
  <c r="T14" i="108" s="1"/>
  <c r="D14" i="105"/>
  <c r="T14" i="105" s="1"/>
  <c r="D14" i="104"/>
  <c r="T14" i="104" s="1"/>
  <c r="D14" i="102"/>
  <c r="T14" i="102" s="1"/>
  <c r="D14" i="103"/>
  <c r="T14" i="103" s="1"/>
  <c r="C12" i="99"/>
  <c r="D14" i="101"/>
  <c r="T14" i="101" s="1"/>
  <c r="C12" i="100"/>
  <c r="C12" i="98"/>
  <c r="C12" i="97"/>
  <c r="D22" i="112"/>
  <c r="T22" i="112" s="1"/>
  <c r="I22" i="112" s="1"/>
  <c r="D22" i="111"/>
  <c r="T22" i="111" s="1"/>
  <c r="I22" i="111" s="1"/>
  <c r="D22" i="110"/>
  <c r="T22" i="110" s="1"/>
  <c r="I22" i="110" s="1"/>
  <c r="D22" i="109"/>
  <c r="T22" i="109" s="1"/>
  <c r="I22" i="109" s="1"/>
  <c r="D22" i="107"/>
  <c r="T22" i="107" s="1"/>
  <c r="I22" i="107" s="1"/>
  <c r="D22" i="106"/>
  <c r="T22" i="106" s="1"/>
  <c r="I22" i="106" s="1"/>
  <c r="D22" i="105"/>
  <c r="T22" i="105" s="1"/>
  <c r="I22" i="105" s="1"/>
  <c r="D22" i="108"/>
  <c r="T22" i="108" s="1"/>
  <c r="I22" i="108" s="1"/>
  <c r="D22" i="104"/>
  <c r="T22" i="104" s="1"/>
  <c r="I22" i="104" s="1"/>
  <c r="D22" i="102"/>
  <c r="T22" i="102" s="1"/>
  <c r="I22" i="102" s="1"/>
  <c r="C20" i="100"/>
  <c r="D22" i="103"/>
  <c r="T22" i="103" s="1"/>
  <c r="I22" i="103" s="1"/>
  <c r="C20" i="99"/>
  <c r="C20" i="98"/>
  <c r="C20" i="97"/>
  <c r="D22" i="101"/>
  <c r="T22" i="101" s="1"/>
  <c r="I22" i="101" s="1"/>
  <c r="D30" i="112"/>
  <c r="T30" i="112" s="1"/>
  <c r="I30" i="112" s="1"/>
  <c r="D30" i="111"/>
  <c r="T30" i="111" s="1"/>
  <c r="I30" i="111" s="1"/>
  <c r="D30" i="110"/>
  <c r="T30" i="110" s="1"/>
  <c r="I30" i="110" s="1"/>
  <c r="D30" i="109"/>
  <c r="T30" i="109" s="1"/>
  <c r="I30" i="109" s="1"/>
  <c r="D30" i="107"/>
  <c r="T30" i="107" s="1"/>
  <c r="I30" i="107" s="1"/>
  <c r="D30" i="106"/>
  <c r="T30" i="106" s="1"/>
  <c r="I30" i="106" s="1"/>
  <c r="D30" i="108"/>
  <c r="T30" i="108" s="1"/>
  <c r="I30" i="108" s="1"/>
  <c r="D30" i="103"/>
  <c r="T30" i="103" s="1"/>
  <c r="I30" i="103" s="1"/>
  <c r="D30" i="105"/>
  <c r="T30" i="105" s="1"/>
  <c r="I30" i="105" s="1"/>
  <c r="D30" i="102"/>
  <c r="T30" i="102" s="1"/>
  <c r="I30" i="102" s="1"/>
  <c r="D30" i="104"/>
  <c r="T30" i="104" s="1"/>
  <c r="I30" i="104" s="1"/>
  <c r="D30" i="101"/>
  <c r="T30" i="101" s="1"/>
  <c r="I30" i="101" s="1"/>
  <c r="C28" i="99"/>
  <c r="C28" i="98"/>
  <c r="C28" i="100"/>
  <c r="C28" i="97"/>
  <c r="D32" i="111"/>
  <c r="T32" i="111" s="1"/>
  <c r="I32" i="111" s="1"/>
  <c r="D32" i="110"/>
  <c r="T32" i="110" s="1"/>
  <c r="I32" i="110" s="1"/>
  <c r="D32" i="112"/>
  <c r="T32" i="112" s="1"/>
  <c r="I32" i="112" s="1"/>
  <c r="D32" i="106"/>
  <c r="T32" i="106" s="1"/>
  <c r="I32" i="106" s="1"/>
  <c r="D32" i="105"/>
  <c r="T32" i="105" s="1"/>
  <c r="I32" i="105" s="1"/>
  <c r="D32" i="109"/>
  <c r="T32" i="109" s="1"/>
  <c r="I32" i="109" s="1"/>
  <c r="D32" i="107"/>
  <c r="T32" i="107" s="1"/>
  <c r="I32" i="107" s="1"/>
  <c r="D32" i="108"/>
  <c r="T32" i="108" s="1"/>
  <c r="I32" i="108" s="1"/>
  <c r="D32" i="104"/>
  <c r="T32" i="104" s="1"/>
  <c r="I32" i="104" s="1"/>
  <c r="D32" i="102"/>
  <c r="T32" i="102" s="1"/>
  <c r="I32" i="102" s="1"/>
  <c r="D32" i="101"/>
  <c r="T32" i="101" s="1"/>
  <c r="I32" i="101" s="1"/>
  <c r="D32" i="103"/>
  <c r="T32" i="103" s="1"/>
  <c r="I32" i="103" s="1"/>
  <c r="C30" i="100"/>
  <c r="C30" i="99"/>
  <c r="C30" i="98"/>
  <c r="C30" i="97"/>
  <c r="D13" i="110"/>
  <c r="T13" i="110" s="1"/>
  <c r="D13" i="109"/>
  <c r="T13" i="109" s="1"/>
  <c r="D13" i="112"/>
  <c r="T13" i="112" s="1"/>
  <c r="D13" i="111"/>
  <c r="T13" i="111" s="1"/>
  <c r="D13" i="108"/>
  <c r="T13" i="108" s="1"/>
  <c r="D13" i="107"/>
  <c r="T13" i="107" s="1"/>
  <c r="D13" i="106"/>
  <c r="T13" i="106" s="1"/>
  <c r="D13" i="105"/>
  <c r="T13" i="105" s="1"/>
  <c r="D13" i="104"/>
  <c r="T13" i="104" s="1"/>
  <c r="D13" i="102"/>
  <c r="T13" i="102" s="1"/>
  <c r="D13" i="103"/>
  <c r="T13" i="103" s="1"/>
  <c r="D13" i="101"/>
  <c r="T13" i="101" s="1"/>
  <c r="C11" i="99"/>
  <c r="C11" i="100"/>
  <c r="C11" i="97"/>
  <c r="C11" i="98"/>
  <c r="D21" i="110"/>
  <c r="T21" i="110" s="1"/>
  <c r="I21" i="110" s="1"/>
  <c r="D21" i="109"/>
  <c r="T21" i="109" s="1"/>
  <c r="I21" i="109" s="1"/>
  <c r="D21" i="112"/>
  <c r="T21" i="112" s="1"/>
  <c r="I21" i="112" s="1"/>
  <c r="D21" i="108"/>
  <c r="T21" i="108" s="1"/>
  <c r="I21" i="108" s="1"/>
  <c r="D21" i="107"/>
  <c r="T21" i="107" s="1"/>
  <c r="I21" i="107" s="1"/>
  <c r="D21" i="106"/>
  <c r="T21" i="106" s="1"/>
  <c r="I21" i="106" s="1"/>
  <c r="D21" i="111"/>
  <c r="T21" i="111" s="1"/>
  <c r="I21" i="111" s="1"/>
  <c r="D21" i="104"/>
  <c r="T21" i="104" s="1"/>
  <c r="I21" i="104" s="1"/>
  <c r="D21" i="103"/>
  <c r="T21" i="103" s="1"/>
  <c r="I21" i="103" s="1"/>
  <c r="D21" i="102"/>
  <c r="T21" i="102" s="1"/>
  <c r="I21" i="102" s="1"/>
  <c r="D21" i="101"/>
  <c r="T21" i="101" s="1"/>
  <c r="I21" i="101" s="1"/>
  <c r="D21" i="105"/>
  <c r="T21" i="105" s="1"/>
  <c r="I21" i="105" s="1"/>
  <c r="C19" i="100"/>
  <c r="C19" i="99"/>
  <c r="C19" i="98"/>
  <c r="C19" i="97"/>
  <c r="D29" i="110"/>
  <c r="T29" i="110" s="1"/>
  <c r="I29" i="110" s="1"/>
  <c r="D29" i="109"/>
  <c r="T29" i="109" s="1"/>
  <c r="I29" i="109" s="1"/>
  <c r="D29" i="112"/>
  <c r="T29" i="112" s="1"/>
  <c r="I29" i="112" s="1"/>
  <c r="D29" i="105"/>
  <c r="T29" i="105" s="1"/>
  <c r="I29" i="105" s="1"/>
  <c r="D29" i="108"/>
  <c r="T29" i="108" s="1"/>
  <c r="I29" i="108" s="1"/>
  <c r="D29" i="107"/>
  <c r="T29" i="107" s="1"/>
  <c r="I29" i="107" s="1"/>
  <c r="D29" i="104"/>
  <c r="T29" i="104" s="1"/>
  <c r="I29" i="104" s="1"/>
  <c r="D29" i="103"/>
  <c r="T29" i="103" s="1"/>
  <c r="I29" i="103" s="1"/>
  <c r="D29" i="102"/>
  <c r="T29" i="102" s="1"/>
  <c r="I29" i="102" s="1"/>
  <c r="D29" i="101"/>
  <c r="T29" i="101" s="1"/>
  <c r="I29" i="101" s="1"/>
  <c r="D29" i="106"/>
  <c r="T29" i="106" s="1"/>
  <c r="I29" i="106" s="1"/>
  <c r="D29" i="111"/>
  <c r="T29" i="111" s="1"/>
  <c r="I29" i="111" s="1"/>
  <c r="C27" i="99"/>
  <c r="C27" i="100"/>
  <c r="C27" i="98"/>
  <c r="C27" i="97"/>
  <c r="D12" i="109"/>
  <c r="T12" i="109" s="1"/>
  <c r="D12" i="112"/>
  <c r="T12" i="112" s="1"/>
  <c r="D12" i="111"/>
  <c r="T12" i="111" s="1"/>
  <c r="D12" i="110"/>
  <c r="T12" i="110" s="1"/>
  <c r="D12" i="108"/>
  <c r="T12" i="108" s="1"/>
  <c r="D12" i="107"/>
  <c r="T12" i="107" s="1"/>
  <c r="D12" i="104"/>
  <c r="T12" i="104" s="1"/>
  <c r="D12" i="106"/>
  <c r="T12" i="106" s="1"/>
  <c r="D12" i="103"/>
  <c r="T12" i="103" s="1"/>
  <c r="C10" i="99"/>
  <c r="D12" i="102"/>
  <c r="T12" i="102" s="1"/>
  <c r="C10" i="98"/>
  <c r="C10" i="97"/>
  <c r="D12" i="105"/>
  <c r="T12" i="105" s="1"/>
  <c r="D12" i="101"/>
  <c r="T12" i="101" s="1"/>
  <c r="C10" i="100"/>
  <c r="D20" i="109"/>
  <c r="T20" i="109" s="1"/>
  <c r="D20" i="112"/>
  <c r="T20" i="112" s="1"/>
  <c r="D20" i="111"/>
  <c r="T20" i="111" s="1"/>
  <c r="D20" i="110"/>
  <c r="T20" i="110" s="1"/>
  <c r="D20" i="108"/>
  <c r="T20" i="108" s="1"/>
  <c r="D20" i="107"/>
  <c r="T20" i="107" s="1"/>
  <c r="D20" i="106"/>
  <c r="T20" i="106" s="1"/>
  <c r="D20" i="104"/>
  <c r="T20" i="104" s="1"/>
  <c r="D20" i="105"/>
  <c r="T20" i="105" s="1"/>
  <c r="D20" i="103"/>
  <c r="T20" i="103" s="1"/>
  <c r="C18" i="100"/>
  <c r="C18" i="98"/>
  <c r="D20" i="101"/>
  <c r="T20" i="101" s="1"/>
  <c r="C18" i="97"/>
  <c r="C18" i="99"/>
  <c r="D20" i="102"/>
  <c r="T20" i="102" s="1"/>
  <c r="D28" i="109"/>
  <c r="T28" i="109" s="1"/>
  <c r="I28" i="109" s="1"/>
  <c r="D28" i="112"/>
  <c r="T28" i="112" s="1"/>
  <c r="I28" i="112" s="1"/>
  <c r="D28" i="111"/>
  <c r="T28" i="111" s="1"/>
  <c r="I28" i="111" s="1"/>
  <c r="D28" i="110"/>
  <c r="T28" i="110" s="1"/>
  <c r="I28" i="110" s="1"/>
  <c r="D28" i="108"/>
  <c r="T28" i="108" s="1"/>
  <c r="I28" i="108" s="1"/>
  <c r="D28" i="107"/>
  <c r="T28" i="107" s="1"/>
  <c r="I28" i="107" s="1"/>
  <c r="D28" i="106"/>
  <c r="T28" i="106" s="1"/>
  <c r="I28" i="106" s="1"/>
  <c r="D28" i="104"/>
  <c r="T28" i="104" s="1"/>
  <c r="I28" i="104" s="1"/>
  <c r="D28" i="105"/>
  <c r="T28" i="105" s="1"/>
  <c r="I28" i="105" s="1"/>
  <c r="D28" i="103"/>
  <c r="T28" i="103" s="1"/>
  <c r="I28" i="103" s="1"/>
  <c r="C26" i="100"/>
  <c r="C26" i="98"/>
  <c r="D28" i="102"/>
  <c r="T28" i="102" s="1"/>
  <c r="I28" i="102" s="1"/>
  <c r="C26" i="97"/>
  <c r="D28" i="101"/>
  <c r="T28" i="101" s="1"/>
  <c r="I28" i="101" s="1"/>
  <c r="C26" i="99"/>
  <c r="D11" i="111"/>
  <c r="T11" i="111" s="1"/>
  <c r="D11" i="110"/>
  <c r="T11" i="110" s="1"/>
  <c r="D11" i="106"/>
  <c r="T11" i="106" s="1"/>
  <c r="D11" i="108"/>
  <c r="T11" i="108" s="1"/>
  <c r="D11" i="109"/>
  <c r="T11" i="109" s="1"/>
  <c r="D11" i="105"/>
  <c r="T11" i="105" s="1"/>
  <c r="D11" i="103"/>
  <c r="T11" i="103" s="1"/>
  <c r="D11" i="112"/>
  <c r="T11" i="112" s="1"/>
  <c r="D11" i="102"/>
  <c r="T11" i="102" s="1"/>
  <c r="D11" i="101"/>
  <c r="T11" i="101" s="1"/>
  <c r="D11" i="104"/>
  <c r="T11" i="104" s="1"/>
  <c r="C9" i="100"/>
  <c r="C9" i="99"/>
  <c r="C9" i="98"/>
  <c r="C9" i="97"/>
  <c r="D11" i="107"/>
  <c r="T11" i="107" s="1"/>
  <c r="D19" i="111"/>
  <c r="T19" i="111" s="1"/>
  <c r="D19" i="110"/>
  <c r="T19" i="110" s="1"/>
  <c r="D19" i="109"/>
  <c r="T19" i="109" s="1"/>
  <c r="D19" i="106"/>
  <c r="T19" i="106" s="1"/>
  <c r="D19" i="108"/>
  <c r="T19" i="108" s="1"/>
  <c r="D19" i="112"/>
  <c r="T19" i="112" s="1"/>
  <c r="D19" i="103"/>
  <c r="T19" i="103" s="1"/>
  <c r="D19" i="107"/>
  <c r="T19" i="107" s="1"/>
  <c r="D19" i="102"/>
  <c r="T19" i="102" s="1"/>
  <c r="C17" i="100"/>
  <c r="C17" i="99"/>
  <c r="D19" i="101"/>
  <c r="T19" i="101" s="1"/>
  <c r="C17" i="98"/>
  <c r="D19" i="105"/>
  <c r="T19" i="105" s="1"/>
  <c r="D19" i="104"/>
  <c r="T19" i="104" s="1"/>
  <c r="C17" i="97"/>
  <c r="D27" i="111"/>
  <c r="T27" i="111" s="1"/>
  <c r="I27" i="111" s="1"/>
  <c r="D27" i="110"/>
  <c r="T27" i="110" s="1"/>
  <c r="I27" i="110" s="1"/>
  <c r="D27" i="109"/>
  <c r="T27" i="109" s="1"/>
  <c r="I27" i="109" s="1"/>
  <c r="D27" i="106"/>
  <c r="T27" i="106" s="1"/>
  <c r="I27" i="106" s="1"/>
  <c r="D27" i="108"/>
  <c r="T27" i="108" s="1"/>
  <c r="I27" i="108" s="1"/>
  <c r="D27" i="103"/>
  <c r="T27" i="103" s="1"/>
  <c r="I27" i="103" s="1"/>
  <c r="D27" i="112"/>
  <c r="T27" i="112" s="1"/>
  <c r="I27" i="112" s="1"/>
  <c r="D27" i="105"/>
  <c r="T27" i="105" s="1"/>
  <c r="I27" i="105" s="1"/>
  <c r="D27" i="102"/>
  <c r="T27" i="102" s="1"/>
  <c r="I27" i="102" s="1"/>
  <c r="D27" i="107"/>
  <c r="T27" i="107" s="1"/>
  <c r="I27" i="107" s="1"/>
  <c r="C25" i="100"/>
  <c r="C25" i="99"/>
  <c r="C25" i="98"/>
  <c r="C25" i="97"/>
  <c r="D27" i="101"/>
  <c r="T27" i="101" s="1"/>
  <c r="I27" i="101" s="1"/>
  <c r="D27" i="104"/>
  <c r="T27" i="104" s="1"/>
  <c r="I27" i="104" s="1"/>
  <c r="D35" i="111"/>
  <c r="T35" i="111" s="1"/>
  <c r="I35" i="111" s="1"/>
  <c r="D35" i="110"/>
  <c r="T35" i="110" s="1"/>
  <c r="I35" i="110" s="1"/>
  <c r="D35" i="109"/>
  <c r="T35" i="109" s="1"/>
  <c r="I35" i="109" s="1"/>
  <c r="D35" i="108"/>
  <c r="T35" i="108" s="1"/>
  <c r="I35" i="108" s="1"/>
  <c r="D35" i="106"/>
  <c r="T35" i="106" s="1"/>
  <c r="I35" i="106" s="1"/>
  <c r="D35" i="103"/>
  <c r="T35" i="103" s="1"/>
  <c r="I35" i="103" s="1"/>
  <c r="D35" i="105"/>
  <c r="T35" i="105" s="1"/>
  <c r="I35" i="105" s="1"/>
  <c r="D35" i="102"/>
  <c r="T35" i="102" s="1"/>
  <c r="I35" i="102" s="1"/>
  <c r="D35" i="112"/>
  <c r="T35" i="112" s="1"/>
  <c r="I35" i="112" s="1"/>
  <c r="D35" i="107"/>
  <c r="T35" i="107" s="1"/>
  <c r="I35" i="107" s="1"/>
  <c r="C33" i="100"/>
  <c r="D35" i="104"/>
  <c r="T35" i="104" s="1"/>
  <c r="I35" i="104" s="1"/>
  <c r="D35" i="101"/>
  <c r="T35" i="101" s="1"/>
  <c r="I35" i="101" s="1"/>
  <c r="C33" i="99"/>
  <c r="C33" i="98"/>
  <c r="C33" i="97"/>
  <c r="D18" i="110"/>
  <c r="T18" i="110" s="1"/>
  <c r="D18" i="109"/>
  <c r="T18" i="109" s="1"/>
  <c r="D18" i="112"/>
  <c r="T18" i="112" s="1"/>
  <c r="D18" i="111"/>
  <c r="T18" i="111" s="1"/>
  <c r="D18" i="108"/>
  <c r="T18" i="108" s="1"/>
  <c r="D18" i="107"/>
  <c r="T18" i="107" s="1"/>
  <c r="D18" i="105"/>
  <c r="T18" i="105" s="1"/>
  <c r="D18" i="104"/>
  <c r="T18" i="104" s="1"/>
  <c r="D18" i="106"/>
  <c r="T18" i="106" s="1"/>
  <c r="D18" i="103"/>
  <c r="T18" i="103" s="1"/>
  <c r="D18" i="102"/>
  <c r="T18" i="102" s="1"/>
  <c r="D18" i="101"/>
  <c r="T18" i="101" s="1"/>
  <c r="C16" i="97"/>
  <c r="C16" i="99"/>
  <c r="C16" i="100"/>
  <c r="C16" i="98"/>
  <c r="D26" i="110"/>
  <c r="T26" i="110" s="1"/>
  <c r="I26" i="110" s="1"/>
  <c r="D26" i="109"/>
  <c r="T26" i="109" s="1"/>
  <c r="I26" i="109" s="1"/>
  <c r="D26" i="112"/>
  <c r="T26" i="112" s="1"/>
  <c r="I26" i="112" s="1"/>
  <c r="D26" i="111"/>
  <c r="T26" i="111" s="1"/>
  <c r="I26" i="111" s="1"/>
  <c r="D26" i="108"/>
  <c r="T26" i="108" s="1"/>
  <c r="I26" i="108" s="1"/>
  <c r="D26" i="107"/>
  <c r="T26" i="107" s="1"/>
  <c r="I26" i="107" s="1"/>
  <c r="D26" i="105"/>
  <c r="T26" i="105" s="1"/>
  <c r="I26" i="105" s="1"/>
  <c r="D26" i="106"/>
  <c r="T26" i="106" s="1"/>
  <c r="I26" i="106" s="1"/>
  <c r="D26" i="104"/>
  <c r="T26" i="104" s="1"/>
  <c r="I26" i="104" s="1"/>
  <c r="D26" i="102"/>
  <c r="T26" i="102" s="1"/>
  <c r="I26" i="102" s="1"/>
  <c r="D26" i="101"/>
  <c r="T26" i="101" s="1"/>
  <c r="I26" i="101" s="1"/>
  <c r="D26" i="103"/>
  <c r="T26" i="103" s="1"/>
  <c r="I26" i="103" s="1"/>
  <c r="C24" i="97"/>
  <c r="C24" i="100"/>
  <c r="C24" i="99"/>
  <c r="C24" i="98"/>
  <c r="D34" i="110"/>
  <c r="T34" i="110" s="1"/>
  <c r="I34" i="110" s="1"/>
  <c r="D34" i="109"/>
  <c r="T34" i="109" s="1"/>
  <c r="I34" i="109" s="1"/>
  <c r="D34" i="112"/>
  <c r="T34" i="112" s="1"/>
  <c r="I34" i="112" s="1"/>
  <c r="D34" i="111"/>
  <c r="T34" i="111" s="1"/>
  <c r="I34" i="111" s="1"/>
  <c r="D34" i="108"/>
  <c r="T34" i="108" s="1"/>
  <c r="I34" i="108" s="1"/>
  <c r="D34" i="106"/>
  <c r="T34" i="106" s="1"/>
  <c r="I34" i="106" s="1"/>
  <c r="D34" i="104"/>
  <c r="T34" i="104" s="1"/>
  <c r="I34" i="104" s="1"/>
  <c r="D34" i="102"/>
  <c r="T34" i="102" s="1"/>
  <c r="I34" i="102" s="1"/>
  <c r="D34" i="103"/>
  <c r="T34" i="103" s="1"/>
  <c r="I34" i="103" s="1"/>
  <c r="D34" i="101"/>
  <c r="T34" i="101" s="1"/>
  <c r="I34" i="101" s="1"/>
  <c r="D34" i="107"/>
  <c r="T34" i="107" s="1"/>
  <c r="I34" i="107" s="1"/>
  <c r="C32" i="100"/>
  <c r="C32" i="97"/>
  <c r="C32" i="99"/>
  <c r="C32" i="98"/>
  <c r="D34" i="105"/>
  <c r="T34" i="105" s="1"/>
  <c r="I34" i="105" s="1"/>
  <c r="D16" i="111"/>
  <c r="T16" i="111" s="1"/>
  <c r="D16" i="110"/>
  <c r="T16" i="110" s="1"/>
  <c r="D16" i="112"/>
  <c r="T16" i="112" s="1"/>
  <c r="D16" i="106"/>
  <c r="T16" i="106" s="1"/>
  <c r="D16" i="109"/>
  <c r="T16" i="109" s="1"/>
  <c r="D16" i="105"/>
  <c r="T16" i="105" s="1"/>
  <c r="D16" i="108"/>
  <c r="T16" i="108" s="1"/>
  <c r="D16" i="107"/>
  <c r="T16" i="107" s="1"/>
  <c r="D16" i="102"/>
  <c r="T16" i="102" s="1"/>
  <c r="D16" i="104"/>
  <c r="T16" i="104" s="1"/>
  <c r="D16" i="101"/>
  <c r="T16" i="101" s="1"/>
  <c r="D16" i="103"/>
  <c r="T16" i="103" s="1"/>
  <c r="C14" i="100"/>
  <c r="C14" i="99"/>
  <c r="C14" i="98"/>
  <c r="C14" i="97"/>
  <c r="D17" i="112"/>
  <c r="T17" i="112" s="1"/>
  <c r="D17" i="111"/>
  <c r="T17" i="111" s="1"/>
  <c r="D17" i="110"/>
  <c r="T17" i="110" s="1"/>
  <c r="D17" i="107"/>
  <c r="T17" i="107" s="1"/>
  <c r="D17" i="106"/>
  <c r="T17" i="106" s="1"/>
  <c r="D17" i="109"/>
  <c r="T17" i="109" s="1"/>
  <c r="D17" i="104"/>
  <c r="T17" i="104" s="1"/>
  <c r="D17" i="103"/>
  <c r="T17" i="103" s="1"/>
  <c r="D17" i="105"/>
  <c r="T17" i="105" s="1"/>
  <c r="D17" i="108"/>
  <c r="T17" i="108" s="1"/>
  <c r="D17" i="101"/>
  <c r="T17" i="101" s="1"/>
  <c r="C15" i="100"/>
  <c r="C15" i="99"/>
  <c r="C15" i="98"/>
  <c r="D17" i="102"/>
  <c r="T17" i="102" s="1"/>
  <c r="C15" i="97"/>
  <c r="D25" i="112"/>
  <c r="T25" i="112" s="1"/>
  <c r="I25" i="112" s="1"/>
  <c r="D25" i="111"/>
  <c r="T25" i="111" s="1"/>
  <c r="I25" i="111" s="1"/>
  <c r="D25" i="110"/>
  <c r="T25" i="110" s="1"/>
  <c r="I25" i="110" s="1"/>
  <c r="D25" i="107"/>
  <c r="T25" i="107" s="1"/>
  <c r="I25" i="107" s="1"/>
  <c r="D25" i="109"/>
  <c r="T25" i="109" s="1"/>
  <c r="I25" i="109" s="1"/>
  <c r="D25" i="106"/>
  <c r="T25" i="106" s="1"/>
  <c r="I25" i="106" s="1"/>
  <c r="D25" i="105"/>
  <c r="T25" i="105" s="1"/>
  <c r="I25" i="105" s="1"/>
  <c r="D25" i="104"/>
  <c r="T25" i="104" s="1"/>
  <c r="I25" i="104" s="1"/>
  <c r="D25" i="103"/>
  <c r="T25" i="103" s="1"/>
  <c r="I25" i="103" s="1"/>
  <c r="D25" i="108"/>
  <c r="T25" i="108" s="1"/>
  <c r="I25" i="108" s="1"/>
  <c r="D25" i="101"/>
  <c r="T25" i="101" s="1"/>
  <c r="I25" i="101" s="1"/>
  <c r="C23" i="99"/>
  <c r="C23" i="98"/>
  <c r="C23" i="100"/>
  <c r="C23" i="97"/>
  <c r="D25" i="102"/>
  <c r="T25" i="102" s="1"/>
  <c r="I25" i="102" s="1"/>
  <c r="D33" i="112"/>
  <c r="T33" i="112" s="1"/>
  <c r="I33" i="112" s="1"/>
  <c r="D33" i="111"/>
  <c r="T33" i="111" s="1"/>
  <c r="I33" i="111" s="1"/>
  <c r="D33" i="110"/>
  <c r="T33" i="110" s="1"/>
  <c r="I33" i="110" s="1"/>
  <c r="D33" i="108"/>
  <c r="T33" i="108" s="1"/>
  <c r="I33" i="108" s="1"/>
  <c r="D33" i="107"/>
  <c r="T33" i="107" s="1"/>
  <c r="I33" i="107" s="1"/>
  <c r="D33" i="106"/>
  <c r="T33" i="106" s="1"/>
  <c r="I33" i="106" s="1"/>
  <c r="D33" i="109"/>
  <c r="T33" i="109" s="1"/>
  <c r="I33" i="109" s="1"/>
  <c r="D33" i="105"/>
  <c r="T33" i="105" s="1"/>
  <c r="I33" i="105" s="1"/>
  <c r="D33" i="104"/>
  <c r="T33" i="104" s="1"/>
  <c r="I33" i="104" s="1"/>
  <c r="D33" i="103"/>
  <c r="T33" i="103" s="1"/>
  <c r="I33" i="103" s="1"/>
  <c r="D33" i="102"/>
  <c r="T33" i="102" s="1"/>
  <c r="I33" i="102" s="1"/>
  <c r="D33" i="101"/>
  <c r="T33" i="101" s="1"/>
  <c r="I33" i="101" s="1"/>
  <c r="C31" i="99"/>
  <c r="C31" i="100"/>
  <c r="C31" i="98"/>
  <c r="C31" i="97"/>
  <c r="D13" i="94"/>
  <c r="T13" i="94" s="1"/>
  <c r="D13" i="95"/>
  <c r="T13" i="95" s="1"/>
  <c r="D13" i="92"/>
  <c r="T13" i="92" s="1"/>
  <c r="D13" i="90"/>
  <c r="T13" i="90" s="1"/>
  <c r="D13" i="85"/>
  <c r="T13" i="85" s="1"/>
  <c r="D13" i="88"/>
  <c r="T13" i="88" s="1"/>
  <c r="D13" i="86"/>
  <c r="T13" i="86" s="1"/>
  <c r="C11" i="82"/>
  <c r="D13" i="91"/>
  <c r="T13" i="91" s="1"/>
  <c r="C11" i="84"/>
  <c r="D13" i="87"/>
  <c r="T13" i="87" s="1"/>
  <c r="C11" i="81"/>
  <c r="D13" i="96"/>
  <c r="T13" i="96" s="1"/>
  <c r="D13" i="93"/>
  <c r="T13" i="93" s="1"/>
  <c r="C11" i="83"/>
  <c r="D13" i="89"/>
  <c r="T13" i="89" s="1"/>
  <c r="D21" i="94"/>
  <c r="T21" i="94" s="1"/>
  <c r="I21" i="94" s="1"/>
  <c r="D21" i="92"/>
  <c r="T21" i="92" s="1"/>
  <c r="I21" i="92" s="1"/>
  <c r="D21" i="95"/>
  <c r="T21" i="95" s="1"/>
  <c r="I21" i="95" s="1"/>
  <c r="D21" i="93"/>
  <c r="T21" i="93" s="1"/>
  <c r="I21" i="93" s="1"/>
  <c r="D21" i="90"/>
  <c r="T21" i="90" s="1"/>
  <c r="I21" i="90" s="1"/>
  <c r="D21" i="91"/>
  <c r="T21" i="91" s="1"/>
  <c r="I21" i="91" s="1"/>
  <c r="D21" i="85"/>
  <c r="T21" i="85" s="1"/>
  <c r="I21" i="85" s="1"/>
  <c r="D21" i="96"/>
  <c r="T21" i="96" s="1"/>
  <c r="I21" i="96" s="1"/>
  <c r="D21" i="88"/>
  <c r="T21" i="88" s="1"/>
  <c r="I21" i="88" s="1"/>
  <c r="D21" i="89"/>
  <c r="T21" i="89" s="1"/>
  <c r="I21" i="89" s="1"/>
  <c r="C19" i="84"/>
  <c r="C19" i="82"/>
  <c r="C19" i="81"/>
  <c r="D21" i="87"/>
  <c r="T21" i="87" s="1"/>
  <c r="I21" i="87" s="1"/>
  <c r="D21" i="86"/>
  <c r="T21" i="86" s="1"/>
  <c r="I21" i="86" s="1"/>
  <c r="C19" i="83"/>
  <c r="D29" i="94"/>
  <c r="T29" i="94" s="1"/>
  <c r="I29" i="94" s="1"/>
  <c r="D29" i="92"/>
  <c r="T29" i="92" s="1"/>
  <c r="I29" i="92" s="1"/>
  <c r="D29" i="96"/>
  <c r="T29" i="96" s="1"/>
  <c r="I29" i="96" s="1"/>
  <c r="D29" i="91"/>
  <c r="T29" i="91" s="1"/>
  <c r="I29" i="91" s="1"/>
  <c r="D29" i="90"/>
  <c r="T29" i="90" s="1"/>
  <c r="I29" i="90" s="1"/>
  <c r="D29" i="89"/>
  <c r="T29" i="89" s="1"/>
  <c r="I29" i="89" s="1"/>
  <c r="D29" i="85"/>
  <c r="T29" i="85" s="1"/>
  <c r="I29" i="85" s="1"/>
  <c r="D29" i="88"/>
  <c r="T29" i="88" s="1"/>
  <c r="I29" i="88" s="1"/>
  <c r="C27" i="82"/>
  <c r="D29" i="87"/>
  <c r="T29" i="87" s="1"/>
  <c r="I29" i="87" s="1"/>
  <c r="C27" i="81"/>
  <c r="D29" i="95"/>
  <c r="T29" i="95" s="1"/>
  <c r="I29" i="95" s="1"/>
  <c r="C27" i="83"/>
  <c r="D29" i="86"/>
  <c r="T29" i="86" s="1"/>
  <c r="I29" i="86" s="1"/>
  <c r="D29" i="93"/>
  <c r="T29" i="93" s="1"/>
  <c r="I29" i="93" s="1"/>
  <c r="C27" i="84"/>
  <c r="D12" i="93"/>
  <c r="T12" i="93" s="1"/>
  <c r="D12" i="96"/>
  <c r="T12" i="96" s="1"/>
  <c r="D12" i="89"/>
  <c r="T12" i="89" s="1"/>
  <c r="D12" i="88"/>
  <c r="T12" i="88" s="1"/>
  <c r="D12" i="90"/>
  <c r="T12" i="90" s="1"/>
  <c r="D12" i="92"/>
  <c r="T12" i="92" s="1"/>
  <c r="D12" i="87"/>
  <c r="T12" i="87" s="1"/>
  <c r="C10" i="84"/>
  <c r="C10" i="83"/>
  <c r="D12" i="91"/>
  <c r="T12" i="91" s="1"/>
  <c r="D12" i="86"/>
  <c r="T12" i="86" s="1"/>
  <c r="C10" i="82"/>
  <c r="C10" i="81"/>
  <c r="D12" i="94"/>
  <c r="T12" i="94" s="1"/>
  <c r="D12" i="95"/>
  <c r="T12" i="95" s="1"/>
  <c r="D12" i="85"/>
  <c r="T12" i="85" s="1"/>
  <c r="D20" i="93"/>
  <c r="T20" i="93" s="1"/>
  <c r="D20" i="96"/>
  <c r="T20" i="96" s="1"/>
  <c r="D20" i="94"/>
  <c r="T20" i="94" s="1"/>
  <c r="D20" i="89"/>
  <c r="T20" i="89" s="1"/>
  <c r="D20" i="92"/>
  <c r="T20" i="92" s="1"/>
  <c r="D20" i="90"/>
  <c r="T20" i="90" s="1"/>
  <c r="D20" i="88"/>
  <c r="T20" i="88" s="1"/>
  <c r="D20" i="86"/>
  <c r="T20" i="86" s="1"/>
  <c r="D20" i="95"/>
  <c r="T20" i="95" s="1"/>
  <c r="C18" i="84"/>
  <c r="C18" i="82"/>
  <c r="D20" i="91"/>
  <c r="T20" i="91" s="1"/>
  <c r="C18" i="81"/>
  <c r="C18" i="83"/>
  <c r="D20" i="85"/>
  <c r="T20" i="85" s="1"/>
  <c r="D20" i="87"/>
  <c r="T20" i="87" s="1"/>
  <c r="D28" i="93"/>
  <c r="T28" i="93" s="1"/>
  <c r="I28" i="93" s="1"/>
  <c r="D28" i="96"/>
  <c r="T28" i="96" s="1"/>
  <c r="I28" i="96" s="1"/>
  <c r="D28" i="91"/>
  <c r="T28" i="91" s="1"/>
  <c r="I28" i="91" s="1"/>
  <c r="D28" i="95"/>
  <c r="T28" i="95" s="1"/>
  <c r="I28" i="95" s="1"/>
  <c r="D28" i="89"/>
  <c r="T28" i="89" s="1"/>
  <c r="I28" i="89" s="1"/>
  <c r="D28" i="88"/>
  <c r="T28" i="88" s="1"/>
  <c r="I28" i="88" s="1"/>
  <c r="D28" i="94"/>
  <c r="T28" i="94" s="1"/>
  <c r="I28" i="94" s="1"/>
  <c r="D28" i="92"/>
  <c r="T28" i="92" s="1"/>
  <c r="I28" i="92" s="1"/>
  <c r="D28" i="86"/>
  <c r="T28" i="86" s="1"/>
  <c r="I28" i="86" s="1"/>
  <c r="C26" i="84"/>
  <c r="D28" i="85"/>
  <c r="T28" i="85" s="1"/>
  <c r="I28" i="85" s="1"/>
  <c r="C26" i="83"/>
  <c r="D28" i="90"/>
  <c r="T28" i="90" s="1"/>
  <c r="I28" i="90" s="1"/>
  <c r="C26" i="82"/>
  <c r="C26" i="81"/>
  <c r="D28" i="87"/>
  <c r="T28" i="87" s="1"/>
  <c r="I28" i="87" s="1"/>
  <c r="D11" i="95"/>
  <c r="T11" i="95" s="1"/>
  <c r="D11" i="92"/>
  <c r="T11" i="92" s="1"/>
  <c r="D11" i="96"/>
  <c r="T11" i="96" s="1"/>
  <c r="D11" i="91"/>
  <c r="T11" i="91" s="1"/>
  <c r="D11" i="90"/>
  <c r="T11" i="90" s="1"/>
  <c r="D11" i="86"/>
  <c r="T11" i="86" s="1"/>
  <c r="D11" i="94"/>
  <c r="T11" i="94" s="1"/>
  <c r="C9" i="82"/>
  <c r="D11" i="93"/>
  <c r="T11" i="93" s="1"/>
  <c r="D11" i="85"/>
  <c r="T11" i="85" s="1"/>
  <c r="D11" i="89"/>
  <c r="T11" i="89" s="1"/>
  <c r="C9" i="84"/>
  <c r="C9" i="83"/>
  <c r="D11" i="88"/>
  <c r="T11" i="88" s="1"/>
  <c r="D11" i="87"/>
  <c r="T11" i="87" s="1"/>
  <c r="C9" i="81"/>
  <c r="D19" i="95"/>
  <c r="T19" i="95" s="1"/>
  <c r="D19" i="96"/>
  <c r="T19" i="96" s="1"/>
  <c r="D19" i="93"/>
  <c r="T19" i="93" s="1"/>
  <c r="D19" i="92"/>
  <c r="T19" i="92" s="1"/>
  <c r="D19" i="91"/>
  <c r="T19" i="91" s="1"/>
  <c r="D19" i="90"/>
  <c r="T19" i="90" s="1"/>
  <c r="D19" i="86"/>
  <c r="T19" i="86" s="1"/>
  <c r="D19" i="94"/>
  <c r="T19" i="94" s="1"/>
  <c r="D19" i="89"/>
  <c r="T19" i="89" s="1"/>
  <c r="C17" i="81"/>
  <c r="D19" i="88"/>
  <c r="T19" i="88" s="1"/>
  <c r="D19" i="87"/>
  <c r="T19" i="87" s="1"/>
  <c r="D19" i="85"/>
  <c r="T19" i="85" s="1"/>
  <c r="C17" i="84"/>
  <c r="C17" i="83"/>
  <c r="C17" i="82"/>
  <c r="D35" i="95"/>
  <c r="T35" i="95" s="1"/>
  <c r="I35" i="95" s="1"/>
  <c r="D35" i="94"/>
  <c r="T35" i="94" s="1"/>
  <c r="I35" i="94" s="1"/>
  <c r="D35" i="96"/>
  <c r="T35" i="96" s="1"/>
  <c r="I35" i="96" s="1"/>
  <c r="D35" i="91"/>
  <c r="T35" i="91" s="1"/>
  <c r="I35" i="91" s="1"/>
  <c r="D35" i="90"/>
  <c r="T35" i="90" s="1"/>
  <c r="I35" i="90" s="1"/>
  <c r="D35" i="93"/>
  <c r="T35" i="93" s="1"/>
  <c r="I35" i="93" s="1"/>
  <c r="D35" i="88"/>
  <c r="T35" i="88" s="1"/>
  <c r="I35" i="88" s="1"/>
  <c r="D35" i="89"/>
  <c r="T35" i="89" s="1"/>
  <c r="I35" i="89" s="1"/>
  <c r="D35" i="86"/>
  <c r="T35" i="86" s="1"/>
  <c r="I35" i="86" s="1"/>
  <c r="D35" i="92"/>
  <c r="T35" i="92" s="1"/>
  <c r="I35" i="92" s="1"/>
  <c r="C33" i="84"/>
  <c r="D35" i="87"/>
  <c r="T35" i="87" s="1"/>
  <c r="I35" i="87" s="1"/>
  <c r="C33" i="81"/>
  <c r="C33" i="82"/>
  <c r="C33" i="83"/>
  <c r="D35" i="85"/>
  <c r="T35" i="85" s="1"/>
  <c r="I35" i="85" s="1"/>
  <c r="D18" i="94"/>
  <c r="T18" i="94" s="1"/>
  <c r="D18" i="93"/>
  <c r="T18" i="93" s="1"/>
  <c r="D18" i="92"/>
  <c r="T18" i="92" s="1"/>
  <c r="D18" i="90"/>
  <c r="T18" i="90" s="1"/>
  <c r="D18" i="96"/>
  <c r="T18" i="96" s="1"/>
  <c r="D18" i="95"/>
  <c r="T18" i="95" s="1"/>
  <c r="D18" i="85"/>
  <c r="T18" i="85" s="1"/>
  <c r="C16" i="84"/>
  <c r="C16" i="83"/>
  <c r="D18" i="91"/>
  <c r="T18" i="91" s="1"/>
  <c r="C16" i="81"/>
  <c r="D18" i="87"/>
  <c r="T18" i="87" s="1"/>
  <c r="D18" i="86"/>
  <c r="T18" i="86" s="1"/>
  <c r="D18" i="89"/>
  <c r="T18" i="89" s="1"/>
  <c r="D18" i="88"/>
  <c r="T18" i="88" s="1"/>
  <c r="C16" i="82"/>
  <c r="D26" i="94"/>
  <c r="T26" i="94" s="1"/>
  <c r="I26" i="94" s="1"/>
  <c r="D26" i="92"/>
  <c r="T26" i="92" s="1"/>
  <c r="I26" i="92" s="1"/>
  <c r="D26" i="96"/>
  <c r="T26" i="96" s="1"/>
  <c r="I26" i="96" s="1"/>
  <c r="D26" i="90"/>
  <c r="T26" i="90" s="1"/>
  <c r="I26" i="90" s="1"/>
  <c r="D26" i="93"/>
  <c r="T26" i="93" s="1"/>
  <c r="I26" i="93" s="1"/>
  <c r="D26" i="95"/>
  <c r="T26" i="95" s="1"/>
  <c r="I26" i="95" s="1"/>
  <c r="D26" i="85"/>
  <c r="T26" i="85" s="1"/>
  <c r="I26" i="85" s="1"/>
  <c r="C24" i="84"/>
  <c r="C24" i="83"/>
  <c r="D26" i="87"/>
  <c r="T26" i="87" s="1"/>
  <c r="I26" i="87" s="1"/>
  <c r="D26" i="91"/>
  <c r="T26" i="91" s="1"/>
  <c r="I26" i="91" s="1"/>
  <c r="D26" i="89"/>
  <c r="T26" i="89" s="1"/>
  <c r="I26" i="89" s="1"/>
  <c r="D26" i="88"/>
  <c r="T26" i="88" s="1"/>
  <c r="I26" i="88" s="1"/>
  <c r="C24" i="81"/>
  <c r="D26" i="86"/>
  <c r="T26" i="86" s="1"/>
  <c r="I26" i="86" s="1"/>
  <c r="C24" i="82"/>
  <c r="D34" i="94"/>
  <c r="T34" i="94" s="1"/>
  <c r="I34" i="94" s="1"/>
  <c r="D34" i="92"/>
  <c r="T34" i="92" s="1"/>
  <c r="I34" i="92" s="1"/>
  <c r="D34" i="95"/>
  <c r="T34" i="95" s="1"/>
  <c r="I34" i="95" s="1"/>
  <c r="D34" i="96"/>
  <c r="T34" i="96" s="1"/>
  <c r="I34" i="96" s="1"/>
  <c r="D34" i="90"/>
  <c r="T34" i="90" s="1"/>
  <c r="I34" i="90" s="1"/>
  <c r="D34" i="93"/>
  <c r="T34" i="93" s="1"/>
  <c r="I34" i="93" s="1"/>
  <c r="D34" i="85"/>
  <c r="T34" i="85" s="1"/>
  <c r="I34" i="85" s="1"/>
  <c r="C32" i="84"/>
  <c r="D34" i="91"/>
  <c r="T34" i="91" s="1"/>
  <c r="I34" i="91" s="1"/>
  <c r="C32" i="83"/>
  <c r="D34" i="86"/>
  <c r="T34" i="86" s="1"/>
  <c r="I34" i="86" s="1"/>
  <c r="D34" i="87"/>
  <c r="T34" i="87" s="1"/>
  <c r="I34" i="87" s="1"/>
  <c r="C32" i="81"/>
  <c r="C32" i="82"/>
  <c r="D34" i="89"/>
  <c r="T34" i="89" s="1"/>
  <c r="I34" i="89" s="1"/>
  <c r="D34" i="88"/>
  <c r="T34" i="88" s="1"/>
  <c r="I34" i="88" s="1"/>
  <c r="D27" i="95"/>
  <c r="T27" i="95" s="1"/>
  <c r="I27" i="95" s="1"/>
  <c r="D27" i="93"/>
  <c r="T27" i="93" s="1"/>
  <c r="I27" i="93" s="1"/>
  <c r="D27" i="92"/>
  <c r="T27" i="92" s="1"/>
  <c r="I27" i="92" s="1"/>
  <c r="D27" i="91"/>
  <c r="T27" i="91" s="1"/>
  <c r="I27" i="91" s="1"/>
  <c r="D27" i="90"/>
  <c r="T27" i="90" s="1"/>
  <c r="I27" i="90" s="1"/>
  <c r="D27" i="96"/>
  <c r="T27" i="96" s="1"/>
  <c r="I27" i="96" s="1"/>
  <c r="D27" i="86"/>
  <c r="T27" i="86" s="1"/>
  <c r="I27" i="86" s="1"/>
  <c r="C25" i="81"/>
  <c r="C25" i="84"/>
  <c r="D27" i="89"/>
  <c r="T27" i="89" s="1"/>
  <c r="I27" i="89" s="1"/>
  <c r="C25" i="82"/>
  <c r="D27" i="87"/>
  <c r="T27" i="87" s="1"/>
  <c r="I27" i="87" s="1"/>
  <c r="C25" i="83"/>
  <c r="D27" i="85"/>
  <c r="T27" i="85" s="1"/>
  <c r="I27" i="85" s="1"/>
  <c r="D27" i="94"/>
  <c r="T27" i="94" s="1"/>
  <c r="I27" i="94" s="1"/>
  <c r="D27" i="88"/>
  <c r="T27" i="88" s="1"/>
  <c r="I27" i="88" s="1"/>
  <c r="D17" i="96"/>
  <c r="T17" i="96" s="1"/>
  <c r="D17" i="95"/>
  <c r="T17" i="95" s="1"/>
  <c r="D17" i="91"/>
  <c r="T17" i="91" s="1"/>
  <c r="D17" i="87"/>
  <c r="T17" i="87" s="1"/>
  <c r="D17" i="93"/>
  <c r="T17" i="93" s="1"/>
  <c r="D17" i="86"/>
  <c r="T17" i="86" s="1"/>
  <c r="C15" i="84"/>
  <c r="D17" i="94"/>
  <c r="T17" i="94" s="1"/>
  <c r="C15" i="83"/>
  <c r="C15" i="82"/>
  <c r="D17" i="90"/>
  <c r="T17" i="90" s="1"/>
  <c r="D17" i="88"/>
  <c r="T17" i="88" s="1"/>
  <c r="D17" i="89"/>
  <c r="T17" i="89" s="1"/>
  <c r="C15" i="81"/>
  <c r="D17" i="92"/>
  <c r="T17" i="92" s="1"/>
  <c r="D17" i="85"/>
  <c r="T17" i="85" s="1"/>
  <c r="D25" i="96"/>
  <c r="T25" i="96" s="1"/>
  <c r="I25" i="96" s="1"/>
  <c r="D25" i="92"/>
  <c r="T25" i="92" s="1"/>
  <c r="I25" i="92" s="1"/>
  <c r="D25" i="91"/>
  <c r="T25" i="91" s="1"/>
  <c r="I25" i="91" s="1"/>
  <c r="D25" i="89"/>
  <c r="T25" i="89" s="1"/>
  <c r="I25" i="89" s="1"/>
  <c r="D25" i="87"/>
  <c r="T25" i="87" s="1"/>
  <c r="I25" i="87" s="1"/>
  <c r="D25" i="90"/>
  <c r="T25" i="90" s="1"/>
  <c r="I25" i="90" s="1"/>
  <c r="D25" i="88"/>
  <c r="T25" i="88" s="1"/>
  <c r="I25" i="88" s="1"/>
  <c r="C23" i="83"/>
  <c r="D25" i="94"/>
  <c r="T25" i="94" s="1"/>
  <c r="I25" i="94" s="1"/>
  <c r="C23" i="84"/>
  <c r="C23" i="82"/>
  <c r="D25" i="93"/>
  <c r="T25" i="93" s="1"/>
  <c r="I25" i="93" s="1"/>
  <c r="D25" i="86"/>
  <c r="T25" i="86" s="1"/>
  <c r="I25" i="86" s="1"/>
  <c r="D25" i="85"/>
  <c r="T25" i="85" s="1"/>
  <c r="I25" i="85" s="1"/>
  <c r="C23" i="81"/>
  <c r="D25" i="95"/>
  <c r="T25" i="95" s="1"/>
  <c r="I25" i="95" s="1"/>
  <c r="D33" i="96"/>
  <c r="T33" i="96" s="1"/>
  <c r="I33" i="96" s="1"/>
  <c r="D33" i="94"/>
  <c r="T33" i="94" s="1"/>
  <c r="I33" i="94" s="1"/>
  <c r="D33" i="92"/>
  <c r="T33" i="92" s="1"/>
  <c r="I33" i="92" s="1"/>
  <c r="D33" i="89"/>
  <c r="T33" i="89" s="1"/>
  <c r="I33" i="89" s="1"/>
  <c r="D33" i="88"/>
  <c r="T33" i="88" s="1"/>
  <c r="I33" i="88" s="1"/>
  <c r="D33" i="87"/>
  <c r="T33" i="87" s="1"/>
  <c r="I33" i="87" s="1"/>
  <c r="D33" i="86"/>
  <c r="T33" i="86" s="1"/>
  <c r="I33" i="86" s="1"/>
  <c r="D33" i="90"/>
  <c r="T33" i="90" s="1"/>
  <c r="I33" i="90" s="1"/>
  <c r="D33" i="85"/>
  <c r="T33" i="85" s="1"/>
  <c r="I33" i="85" s="1"/>
  <c r="C31" i="83"/>
  <c r="D33" i="93"/>
  <c r="T33" i="93" s="1"/>
  <c r="I33" i="93" s="1"/>
  <c r="C31" i="82"/>
  <c r="C31" i="84"/>
  <c r="D33" i="91"/>
  <c r="T33" i="91" s="1"/>
  <c r="I33" i="91" s="1"/>
  <c r="C31" i="81"/>
  <c r="D33" i="95"/>
  <c r="T33" i="95" s="1"/>
  <c r="I33" i="95" s="1"/>
  <c r="D16" i="95"/>
  <c r="T16" i="95" s="1"/>
  <c r="D16" i="94"/>
  <c r="T16" i="94" s="1"/>
  <c r="D16" i="92"/>
  <c r="T16" i="92" s="1"/>
  <c r="D16" i="91"/>
  <c r="T16" i="91" s="1"/>
  <c r="D16" i="86"/>
  <c r="T16" i="86" s="1"/>
  <c r="D16" i="89"/>
  <c r="T16" i="89" s="1"/>
  <c r="C14" i="82"/>
  <c r="D16" i="90"/>
  <c r="T16" i="90" s="1"/>
  <c r="D16" i="87"/>
  <c r="T16" i="87" s="1"/>
  <c r="D16" i="88"/>
  <c r="T16" i="88" s="1"/>
  <c r="D16" i="85"/>
  <c r="T16" i="85" s="1"/>
  <c r="D16" i="96"/>
  <c r="T16" i="96" s="1"/>
  <c r="C14" i="84"/>
  <c r="C14" i="83"/>
  <c r="D16" i="93"/>
  <c r="T16" i="93" s="1"/>
  <c r="C14" i="81"/>
  <c r="D24" i="95"/>
  <c r="T24" i="95" s="1"/>
  <c r="I24" i="95" s="1"/>
  <c r="D24" i="93"/>
  <c r="T24" i="93" s="1"/>
  <c r="I24" i="93" s="1"/>
  <c r="D24" i="91"/>
  <c r="T24" i="91" s="1"/>
  <c r="I24" i="91" s="1"/>
  <c r="D24" i="94"/>
  <c r="T24" i="94" s="1"/>
  <c r="I24" i="94" s="1"/>
  <c r="D24" i="86"/>
  <c r="T24" i="86" s="1"/>
  <c r="I24" i="86" s="1"/>
  <c r="D24" i="90"/>
  <c r="T24" i="90" s="1"/>
  <c r="I24" i="90" s="1"/>
  <c r="D24" i="89"/>
  <c r="T24" i="89" s="1"/>
  <c r="I24" i="89" s="1"/>
  <c r="D24" i="87"/>
  <c r="T24" i="87" s="1"/>
  <c r="I24" i="87" s="1"/>
  <c r="C22" i="82"/>
  <c r="D24" i="85"/>
  <c r="T24" i="85" s="1"/>
  <c r="I24" i="85" s="1"/>
  <c r="C22" i="84"/>
  <c r="D24" i="96"/>
  <c r="T24" i="96" s="1"/>
  <c r="I24" i="96" s="1"/>
  <c r="D24" i="88"/>
  <c r="T24" i="88" s="1"/>
  <c r="I24" i="88" s="1"/>
  <c r="C22" i="83"/>
  <c r="C22" i="81"/>
  <c r="D24" i="92"/>
  <c r="T24" i="92" s="1"/>
  <c r="I24" i="92" s="1"/>
  <c r="D32" i="95"/>
  <c r="T32" i="95" s="1"/>
  <c r="I32" i="95" s="1"/>
  <c r="D32" i="96"/>
  <c r="T32" i="96" s="1"/>
  <c r="I32" i="96" s="1"/>
  <c r="D32" i="86"/>
  <c r="T32" i="86" s="1"/>
  <c r="I32" i="86" s="1"/>
  <c r="D32" i="92"/>
  <c r="T32" i="92" s="1"/>
  <c r="I32" i="92" s="1"/>
  <c r="D32" i="93"/>
  <c r="T32" i="93" s="1"/>
  <c r="I32" i="93" s="1"/>
  <c r="D32" i="89"/>
  <c r="T32" i="89" s="1"/>
  <c r="I32" i="89" s="1"/>
  <c r="C30" i="82"/>
  <c r="D32" i="90"/>
  <c r="T32" i="90" s="1"/>
  <c r="I32" i="90" s="1"/>
  <c r="D32" i="94"/>
  <c r="T32" i="94" s="1"/>
  <c r="I32" i="94" s="1"/>
  <c r="D32" i="85"/>
  <c r="T32" i="85" s="1"/>
  <c r="I32" i="85" s="1"/>
  <c r="C30" i="83"/>
  <c r="D32" i="87"/>
  <c r="T32" i="87" s="1"/>
  <c r="I32" i="87" s="1"/>
  <c r="D32" i="88"/>
  <c r="T32" i="88" s="1"/>
  <c r="I32" i="88" s="1"/>
  <c r="C30" i="81"/>
  <c r="D32" i="91"/>
  <c r="T32" i="91" s="1"/>
  <c r="I32" i="91" s="1"/>
  <c r="C30" i="84"/>
  <c r="D15" i="96"/>
  <c r="T15" i="96" s="1"/>
  <c r="D15" i="89"/>
  <c r="T15" i="89" s="1"/>
  <c r="D15" i="93"/>
  <c r="T15" i="93" s="1"/>
  <c r="D15" i="88"/>
  <c r="T15" i="88" s="1"/>
  <c r="D15" i="91"/>
  <c r="T15" i="91" s="1"/>
  <c r="D15" i="90"/>
  <c r="T15" i="90" s="1"/>
  <c r="D15" i="87"/>
  <c r="T15" i="87" s="1"/>
  <c r="D15" i="92"/>
  <c r="T15" i="92" s="1"/>
  <c r="D15" i="86"/>
  <c r="T15" i="86" s="1"/>
  <c r="C13" i="83"/>
  <c r="D15" i="85"/>
  <c r="T15" i="85" s="1"/>
  <c r="C13" i="82"/>
  <c r="D15" i="94"/>
  <c r="T15" i="94" s="1"/>
  <c r="C13" i="81"/>
  <c r="D15" i="95"/>
  <c r="T15" i="95" s="1"/>
  <c r="C13" i="84"/>
  <c r="D23" i="89"/>
  <c r="T23" i="89" s="1"/>
  <c r="I23" i="89" s="1"/>
  <c r="D23" i="92"/>
  <c r="T23" i="92" s="1"/>
  <c r="I23" i="92" s="1"/>
  <c r="D23" i="91"/>
  <c r="T23" i="91" s="1"/>
  <c r="I23" i="91" s="1"/>
  <c r="D23" i="88"/>
  <c r="T23" i="88" s="1"/>
  <c r="I23" i="88" s="1"/>
  <c r="D23" i="93"/>
  <c r="T23" i="93" s="1"/>
  <c r="I23" i="93" s="1"/>
  <c r="D23" i="87"/>
  <c r="T23" i="87" s="1"/>
  <c r="I23" i="87" s="1"/>
  <c r="C21" i="83"/>
  <c r="D23" i="90"/>
  <c r="T23" i="90" s="1"/>
  <c r="I23" i="90" s="1"/>
  <c r="D23" i="86"/>
  <c r="T23" i="86" s="1"/>
  <c r="I23" i="86" s="1"/>
  <c r="C21" i="84"/>
  <c r="C21" i="82"/>
  <c r="D23" i="96"/>
  <c r="T23" i="96" s="1"/>
  <c r="I23" i="96" s="1"/>
  <c r="D23" i="85"/>
  <c r="T23" i="85" s="1"/>
  <c r="I23" i="85" s="1"/>
  <c r="D23" i="94"/>
  <c r="T23" i="94" s="1"/>
  <c r="I23" i="94" s="1"/>
  <c r="C21" i="81"/>
  <c r="D23" i="95"/>
  <c r="T23" i="95" s="1"/>
  <c r="I23" i="95" s="1"/>
  <c r="D31" i="94"/>
  <c r="T31" i="94" s="1"/>
  <c r="I31" i="94" s="1"/>
  <c r="D31" i="91"/>
  <c r="T31" i="91" s="1"/>
  <c r="I31" i="91" s="1"/>
  <c r="D31" i="95"/>
  <c r="T31" i="95" s="1"/>
  <c r="I31" i="95" s="1"/>
  <c r="D31" i="92"/>
  <c r="T31" i="92" s="1"/>
  <c r="I31" i="92" s="1"/>
  <c r="D31" i="89"/>
  <c r="T31" i="89" s="1"/>
  <c r="I31" i="89" s="1"/>
  <c r="D31" i="93"/>
  <c r="T31" i="93" s="1"/>
  <c r="I31" i="93" s="1"/>
  <c r="D31" i="90"/>
  <c r="T31" i="90" s="1"/>
  <c r="I31" i="90" s="1"/>
  <c r="D31" i="88"/>
  <c r="T31" i="88" s="1"/>
  <c r="I31" i="88" s="1"/>
  <c r="D31" i="96"/>
  <c r="T31" i="96" s="1"/>
  <c r="I31" i="96" s="1"/>
  <c r="D31" i="87"/>
  <c r="T31" i="87" s="1"/>
  <c r="I31" i="87" s="1"/>
  <c r="C29" i="84"/>
  <c r="C29" i="83"/>
  <c r="C29" i="82"/>
  <c r="C29" i="81"/>
  <c r="D31" i="85"/>
  <c r="T31" i="85" s="1"/>
  <c r="I31" i="85" s="1"/>
  <c r="D31" i="86"/>
  <c r="T31" i="86" s="1"/>
  <c r="I31" i="86" s="1"/>
  <c r="D14" i="96"/>
  <c r="T14" i="96" s="1"/>
  <c r="D14" i="94"/>
  <c r="T14" i="94" s="1"/>
  <c r="D14" i="93"/>
  <c r="T14" i="93" s="1"/>
  <c r="D14" i="89"/>
  <c r="T14" i="89" s="1"/>
  <c r="D14" i="87"/>
  <c r="T14" i="87" s="1"/>
  <c r="D14" i="92"/>
  <c r="T14" i="92" s="1"/>
  <c r="D14" i="88"/>
  <c r="T14" i="88" s="1"/>
  <c r="D14" i="95"/>
  <c r="T14" i="95" s="1"/>
  <c r="D14" i="90"/>
  <c r="T14" i="90" s="1"/>
  <c r="C12" i="81"/>
  <c r="C12" i="83"/>
  <c r="D14" i="91"/>
  <c r="T14" i="91" s="1"/>
  <c r="D14" i="85"/>
  <c r="T14" i="85" s="1"/>
  <c r="D14" i="86"/>
  <c r="T14" i="86" s="1"/>
  <c r="C12" i="84"/>
  <c r="C12" i="82"/>
  <c r="D22" i="96"/>
  <c r="T22" i="96" s="1"/>
  <c r="I22" i="96" s="1"/>
  <c r="D22" i="95"/>
  <c r="T22" i="95" s="1"/>
  <c r="I22" i="95" s="1"/>
  <c r="D22" i="94"/>
  <c r="T22" i="94" s="1"/>
  <c r="I22" i="94" s="1"/>
  <c r="D22" i="87"/>
  <c r="T22" i="87" s="1"/>
  <c r="I22" i="87" s="1"/>
  <c r="D22" i="92"/>
  <c r="T22" i="92" s="1"/>
  <c r="I22" i="92" s="1"/>
  <c r="C20" i="81"/>
  <c r="D22" i="93"/>
  <c r="T22" i="93" s="1"/>
  <c r="I22" i="93" s="1"/>
  <c r="D22" i="85"/>
  <c r="T22" i="85" s="1"/>
  <c r="I22" i="85" s="1"/>
  <c r="D22" i="91"/>
  <c r="T22" i="91" s="1"/>
  <c r="I22" i="91" s="1"/>
  <c r="C20" i="84"/>
  <c r="D22" i="86"/>
  <c r="T22" i="86" s="1"/>
  <c r="I22" i="86" s="1"/>
  <c r="C20" i="83"/>
  <c r="D22" i="90"/>
  <c r="T22" i="90" s="1"/>
  <c r="I22" i="90" s="1"/>
  <c r="D22" i="89"/>
  <c r="T22" i="89" s="1"/>
  <c r="I22" i="89" s="1"/>
  <c r="C20" i="82"/>
  <c r="D22" i="88"/>
  <c r="T22" i="88" s="1"/>
  <c r="I22" i="88" s="1"/>
  <c r="D30" i="96"/>
  <c r="T30" i="96" s="1"/>
  <c r="I30" i="96" s="1"/>
  <c r="D30" i="95"/>
  <c r="T30" i="95" s="1"/>
  <c r="I30" i="95" s="1"/>
  <c r="D30" i="93"/>
  <c r="T30" i="93" s="1"/>
  <c r="I30" i="93" s="1"/>
  <c r="D30" i="87"/>
  <c r="T30" i="87" s="1"/>
  <c r="I30" i="87" s="1"/>
  <c r="D30" i="91"/>
  <c r="T30" i="91" s="1"/>
  <c r="I30" i="91" s="1"/>
  <c r="D30" i="90"/>
  <c r="T30" i="90" s="1"/>
  <c r="I30" i="90" s="1"/>
  <c r="D30" i="86"/>
  <c r="T30" i="86" s="1"/>
  <c r="I30" i="86" s="1"/>
  <c r="C28" i="81"/>
  <c r="D30" i="85"/>
  <c r="T30" i="85" s="1"/>
  <c r="I30" i="85" s="1"/>
  <c r="C28" i="84"/>
  <c r="C28" i="83"/>
  <c r="D30" i="89"/>
  <c r="T30" i="89" s="1"/>
  <c r="I30" i="89" s="1"/>
  <c r="D30" i="88"/>
  <c r="T30" i="88" s="1"/>
  <c r="I30" i="88" s="1"/>
  <c r="C28" i="82"/>
  <c r="D30" i="94"/>
  <c r="T30" i="94" s="1"/>
  <c r="I30" i="94" s="1"/>
  <c r="D30" i="92"/>
  <c r="T30" i="92" s="1"/>
  <c r="I30" i="92" s="1"/>
  <c r="D34" i="78"/>
  <c r="T34" i="78" s="1"/>
  <c r="I34" i="78" s="1"/>
  <c r="D34" i="77"/>
  <c r="T34" i="77" s="1"/>
  <c r="I34" i="77" s="1"/>
  <c r="D34" i="80"/>
  <c r="T34" i="80" s="1"/>
  <c r="I34" i="80" s="1"/>
  <c r="D34" i="75"/>
  <c r="T34" i="75" s="1"/>
  <c r="I34" i="75" s="1"/>
  <c r="D34" i="74"/>
  <c r="T34" i="74" s="1"/>
  <c r="I34" i="74" s="1"/>
  <c r="D34" i="79"/>
  <c r="T34" i="79" s="1"/>
  <c r="I34" i="79" s="1"/>
  <c r="D34" i="73"/>
  <c r="T34" i="73" s="1"/>
  <c r="I34" i="73" s="1"/>
  <c r="D34" i="72"/>
  <c r="T34" i="72" s="1"/>
  <c r="I34" i="72" s="1"/>
  <c r="D34" i="76"/>
  <c r="T34" i="76" s="1"/>
  <c r="I34" i="76" s="1"/>
  <c r="D34" i="70"/>
  <c r="T34" i="70" s="1"/>
  <c r="I34" i="70" s="1"/>
  <c r="C32" i="66"/>
  <c r="D34" i="71"/>
  <c r="T34" i="71" s="1"/>
  <c r="I34" i="71" s="1"/>
  <c r="C32" i="65"/>
  <c r="D34" i="69"/>
  <c r="T34" i="69" s="1"/>
  <c r="I34" i="69" s="1"/>
  <c r="C32" i="68"/>
  <c r="C32" i="67"/>
  <c r="D17" i="80"/>
  <c r="T17" i="80" s="1"/>
  <c r="D17" i="79"/>
  <c r="T17" i="79" s="1"/>
  <c r="D17" i="76"/>
  <c r="T17" i="76" s="1"/>
  <c r="D17" i="77"/>
  <c r="T17" i="77" s="1"/>
  <c r="D17" i="73"/>
  <c r="T17" i="73" s="1"/>
  <c r="D17" i="78"/>
  <c r="T17" i="78" s="1"/>
  <c r="D17" i="72"/>
  <c r="T17" i="72" s="1"/>
  <c r="D17" i="71"/>
  <c r="T17" i="71" s="1"/>
  <c r="D17" i="70"/>
  <c r="T17" i="70" s="1"/>
  <c r="C15" i="68"/>
  <c r="D17" i="75"/>
  <c r="T17" i="75" s="1"/>
  <c r="D17" i="74"/>
  <c r="T17" i="74" s="1"/>
  <c r="D17" i="69"/>
  <c r="T17" i="69" s="1"/>
  <c r="C15" i="67"/>
  <c r="C15" i="66"/>
  <c r="C15" i="65"/>
  <c r="D25" i="80"/>
  <c r="T25" i="80" s="1"/>
  <c r="I25" i="80" s="1"/>
  <c r="D25" i="79"/>
  <c r="T25" i="79" s="1"/>
  <c r="I25" i="79" s="1"/>
  <c r="D25" i="77"/>
  <c r="T25" i="77" s="1"/>
  <c r="I25" i="77" s="1"/>
  <c r="D25" i="78"/>
  <c r="T25" i="78" s="1"/>
  <c r="I25" i="78" s="1"/>
  <c r="D25" i="76"/>
  <c r="T25" i="76" s="1"/>
  <c r="I25" i="76" s="1"/>
  <c r="D25" i="75"/>
  <c r="T25" i="75" s="1"/>
  <c r="I25" i="75" s="1"/>
  <c r="D25" i="73"/>
  <c r="T25" i="73" s="1"/>
  <c r="I25" i="73" s="1"/>
  <c r="D25" i="74"/>
  <c r="T25" i="74" s="1"/>
  <c r="I25" i="74" s="1"/>
  <c r="D25" i="71"/>
  <c r="T25" i="71" s="1"/>
  <c r="I25" i="71" s="1"/>
  <c r="D25" i="72"/>
  <c r="T25" i="72" s="1"/>
  <c r="I25" i="72" s="1"/>
  <c r="D25" i="70"/>
  <c r="T25" i="70" s="1"/>
  <c r="I25" i="70" s="1"/>
  <c r="C23" i="68"/>
  <c r="D25" i="69"/>
  <c r="T25" i="69" s="1"/>
  <c r="I25" i="69" s="1"/>
  <c r="C23" i="67"/>
  <c r="C23" i="66"/>
  <c r="C23" i="65"/>
  <c r="D33" i="80"/>
  <c r="T33" i="80" s="1"/>
  <c r="I33" i="80" s="1"/>
  <c r="D33" i="79"/>
  <c r="T33" i="79" s="1"/>
  <c r="I33" i="79" s="1"/>
  <c r="D33" i="77"/>
  <c r="T33" i="77" s="1"/>
  <c r="I33" i="77" s="1"/>
  <c r="D33" i="76"/>
  <c r="T33" i="76" s="1"/>
  <c r="I33" i="76" s="1"/>
  <c r="D33" i="75"/>
  <c r="T33" i="75" s="1"/>
  <c r="I33" i="75" s="1"/>
  <c r="D33" i="74"/>
  <c r="T33" i="74" s="1"/>
  <c r="I33" i="74" s="1"/>
  <c r="D33" i="73"/>
  <c r="T33" i="73" s="1"/>
  <c r="I33" i="73" s="1"/>
  <c r="D33" i="78"/>
  <c r="T33" i="78" s="1"/>
  <c r="I33" i="78" s="1"/>
  <c r="D33" i="72"/>
  <c r="T33" i="72" s="1"/>
  <c r="I33" i="72" s="1"/>
  <c r="D33" i="71"/>
  <c r="T33" i="71" s="1"/>
  <c r="I33" i="71" s="1"/>
  <c r="D33" i="70"/>
  <c r="T33" i="70" s="1"/>
  <c r="I33" i="70" s="1"/>
  <c r="C31" i="68"/>
  <c r="D33" i="69"/>
  <c r="T33" i="69" s="1"/>
  <c r="I33" i="69" s="1"/>
  <c r="C31" i="67"/>
  <c r="C31" i="66"/>
  <c r="C31" i="65"/>
  <c r="D16" i="79"/>
  <c r="T16" i="79" s="1"/>
  <c r="D16" i="78"/>
  <c r="T16" i="78" s="1"/>
  <c r="D16" i="76"/>
  <c r="T16" i="76" s="1"/>
  <c r="D16" i="77"/>
  <c r="T16" i="77" s="1"/>
  <c r="D16" i="75"/>
  <c r="T16" i="75" s="1"/>
  <c r="D16" i="72"/>
  <c r="T16" i="72" s="1"/>
  <c r="D16" i="80"/>
  <c r="T16" i="80" s="1"/>
  <c r="D16" i="74"/>
  <c r="T16" i="74" s="1"/>
  <c r="D16" i="70"/>
  <c r="T16" i="70" s="1"/>
  <c r="D16" i="71"/>
  <c r="T16" i="71" s="1"/>
  <c r="C14" i="65"/>
  <c r="D16" i="73"/>
  <c r="T16" i="73" s="1"/>
  <c r="C14" i="68"/>
  <c r="D16" i="69"/>
  <c r="T16" i="69" s="1"/>
  <c r="C14" i="67"/>
  <c r="C14" i="66"/>
  <c r="D24" i="79"/>
  <c r="T24" i="79" s="1"/>
  <c r="I24" i="79" s="1"/>
  <c r="D24" i="78"/>
  <c r="T24" i="78" s="1"/>
  <c r="I24" i="78" s="1"/>
  <c r="D24" i="76"/>
  <c r="T24" i="76" s="1"/>
  <c r="I24" i="76" s="1"/>
  <c r="D24" i="80"/>
  <c r="T24" i="80" s="1"/>
  <c r="I24" i="80" s="1"/>
  <c r="D24" i="77"/>
  <c r="T24" i="77" s="1"/>
  <c r="I24" i="77" s="1"/>
  <c r="D24" i="75"/>
  <c r="T24" i="75" s="1"/>
  <c r="I24" i="75" s="1"/>
  <c r="D24" i="72"/>
  <c r="T24" i="72" s="1"/>
  <c r="I24" i="72" s="1"/>
  <c r="D24" i="74"/>
  <c r="T24" i="74" s="1"/>
  <c r="I24" i="74" s="1"/>
  <c r="D24" i="70"/>
  <c r="T24" i="70" s="1"/>
  <c r="I24" i="70" s="1"/>
  <c r="C22" i="65"/>
  <c r="C22" i="68"/>
  <c r="D24" i="71"/>
  <c r="T24" i="71" s="1"/>
  <c r="I24" i="71" s="1"/>
  <c r="C22" i="67"/>
  <c r="C22" i="66"/>
  <c r="D24" i="73"/>
  <c r="T24" i="73" s="1"/>
  <c r="I24" i="73" s="1"/>
  <c r="D24" i="69"/>
  <c r="T24" i="69" s="1"/>
  <c r="I24" i="69" s="1"/>
  <c r="D32" i="79"/>
  <c r="T32" i="79" s="1"/>
  <c r="I32" i="79" s="1"/>
  <c r="D32" i="78"/>
  <c r="T32" i="78" s="1"/>
  <c r="I32" i="78" s="1"/>
  <c r="D32" i="76"/>
  <c r="T32" i="76" s="1"/>
  <c r="I32" i="76" s="1"/>
  <c r="D32" i="75"/>
  <c r="T32" i="75" s="1"/>
  <c r="I32" i="75" s="1"/>
  <c r="D32" i="80"/>
  <c r="T32" i="80" s="1"/>
  <c r="I32" i="80" s="1"/>
  <c r="D32" i="72"/>
  <c r="T32" i="72" s="1"/>
  <c r="I32" i="72" s="1"/>
  <c r="D32" i="77"/>
  <c r="T32" i="77" s="1"/>
  <c r="I32" i="77" s="1"/>
  <c r="D32" i="74"/>
  <c r="T32" i="74" s="1"/>
  <c r="I32" i="74" s="1"/>
  <c r="D32" i="73"/>
  <c r="T32" i="73" s="1"/>
  <c r="I32" i="73" s="1"/>
  <c r="D32" i="70"/>
  <c r="T32" i="70" s="1"/>
  <c r="I32" i="70" s="1"/>
  <c r="C30" i="65"/>
  <c r="C30" i="68"/>
  <c r="D32" i="71"/>
  <c r="T32" i="71" s="1"/>
  <c r="I32" i="71" s="1"/>
  <c r="C30" i="66"/>
  <c r="C30" i="67"/>
  <c r="D32" i="69"/>
  <c r="T32" i="69" s="1"/>
  <c r="I32" i="69" s="1"/>
  <c r="D19" i="79"/>
  <c r="T19" i="79" s="1"/>
  <c r="D19" i="78"/>
  <c r="T19" i="78" s="1"/>
  <c r="D19" i="80"/>
  <c r="T19" i="80" s="1"/>
  <c r="D19" i="76"/>
  <c r="T19" i="76" s="1"/>
  <c r="D19" i="75"/>
  <c r="T19" i="75" s="1"/>
  <c r="D19" i="77"/>
  <c r="T19" i="77" s="1"/>
  <c r="D19" i="74"/>
  <c r="T19" i="74" s="1"/>
  <c r="D19" i="71"/>
  <c r="T19" i="71" s="1"/>
  <c r="D19" i="72"/>
  <c r="T19" i="72" s="1"/>
  <c r="D19" i="70"/>
  <c r="T19" i="70" s="1"/>
  <c r="D19" i="73"/>
  <c r="T19" i="73" s="1"/>
  <c r="D19" i="69"/>
  <c r="T19" i="69" s="1"/>
  <c r="C17" i="65"/>
  <c r="C17" i="68"/>
  <c r="C17" i="67"/>
  <c r="C17" i="66"/>
  <c r="D15" i="77"/>
  <c r="T15" i="77" s="1"/>
  <c r="D15" i="80"/>
  <c r="T15" i="80" s="1"/>
  <c r="D15" i="78"/>
  <c r="T15" i="78" s="1"/>
  <c r="D15" i="75"/>
  <c r="T15" i="75" s="1"/>
  <c r="D15" i="74"/>
  <c r="T15" i="74" s="1"/>
  <c r="D15" i="76"/>
  <c r="T15" i="76" s="1"/>
  <c r="D15" i="73"/>
  <c r="T15" i="73" s="1"/>
  <c r="D15" i="72"/>
  <c r="T15" i="72" s="1"/>
  <c r="D15" i="71"/>
  <c r="T15" i="71" s="1"/>
  <c r="C13" i="67"/>
  <c r="C13" i="66"/>
  <c r="D15" i="70"/>
  <c r="T15" i="70" s="1"/>
  <c r="D15" i="69"/>
  <c r="T15" i="69" s="1"/>
  <c r="C13" i="68"/>
  <c r="D15" i="79"/>
  <c r="T15" i="79" s="1"/>
  <c r="C13" i="65"/>
  <c r="D23" i="77"/>
  <c r="T23" i="77" s="1"/>
  <c r="I23" i="77" s="1"/>
  <c r="D23" i="80"/>
  <c r="T23" i="80" s="1"/>
  <c r="I23" i="80" s="1"/>
  <c r="D23" i="78"/>
  <c r="T23" i="78" s="1"/>
  <c r="I23" i="78" s="1"/>
  <c r="D23" i="79"/>
  <c r="T23" i="79" s="1"/>
  <c r="I23" i="79" s="1"/>
  <c r="D23" i="74"/>
  <c r="T23" i="74" s="1"/>
  <c r="I23" i="74" s="1"/>
  <c r="D23" i="73"/>
  <c r="T23" i="73" s="1"/>
  <c r="I23" i="73" s="1"/>
  <c r="D23" i="75"/>
  <c r="T23" i="75" s="1"/>
  <c r="I23" i="75" s="1"/>
  <c r="D23" i="76"/>
  <c r="T23" i="76" s="1"/>
  <c r="I23" i="76" s="1"/>
  <c r="D23" i="72"/>
  <c r="T23" i="72" s="1"/>
  <c r="I23" i="72" s="1"/>
  <c r="D23" i="71"/>
  <c r="T23" i="71" s="1"/>
  <c r="I23" i="71" s="1"/>
  <c r="C21" i="67"/>
  <c r="C21" i="66"/>
  <c r="D23" i="69"/>
  <c r="T23" i="69" s="1"/>
  <c r="I23" i="69" s="1"/>
  <c r="C21" i="65"/>
  <c r="C21" i="68"/>
  <c r="D23" i="70"/>
  <c r="T23" i="70" s="1"/>
  <c r="I23" i="70" s="1"/>
  <c r="D31" i="77"/>
  <c r="T31" i="77" s="1"/>
  <c r="I31" i="77" s="1"/>
  <c r="D31" i="80"/>
  <c r="T31" i="80" s="1"/>
  <c r="I31" i="80" s="1"/>
  <c r="D31" i="78"/>
  <c r="T31" i="78" s="1"/>
  <c r="I31" i="78" s="1"/>
  <c r="D31" i="76"/>
  <c r="T31" i="76" s="1"/>
  <c r="I31" i="76" s="1"/>
  <c r="D31" i="74"/>
  <c r="T31" i="74" s="1"/>
  <c r="I31" i="74" s="1"/>
  <c r="D31" i="73"/>
  <c r="T31" i="73" s="1"/>
  <c r="I31" i="73" s="1"/>
  <c r="D31" i="79"/>
  <c r="T31" i="79" s="1"/>
  <c r="I31" i="79" s="1"/>
  <c r="D31" i="75"/>
  <c r="T31" i="75" s="1"/>
  <c r="I31" i="75" s="1"/>
  <c r="D31" i="72"/>
  <c r="T31" i="72" s="1"/>
  <c r="I31" i="72" s="1"/>
  <c r="D31" i="71"/>
  <c r="T31" i="71" s="1"/>
  <c r="I31" i="71" s="1"/>
  <c r="C29" i="67"/>
  <c r="D31" i="70"/>
  <c r="T31" i="70" s="1"/>
  <c r="I31" i="70" s="1"/>
  <c r="C29" i="66"/>
  <c r="D31" i="69"/>
  <c r="T31" i="69" s="1"/>
  <c r="I31" i="69" s="1"/>
  <c r="C29" i="65"/>
  <c r="C29" i="68"/>
  <c r="D14" i="80"/>
  <c r="T14" i="80" s="1"/>
  <c r="D14" i="79"/>
  <c r="T14" i="79" s="1"/>
  <c r="D14" i="76"/>
  <c r="T14" i="76" s="1"/>
  <c r="D14" i="73"/>
  <c r="T14" i="73" s="1"/>
  <c r="D14" i="78"/>
  <c r="T14" i="78" s="1"/>
  <c r="D14" i="77"/>
  <c r="T14" i="77" s="1"/>
  <c r="D14" i="71"/>
  <c r="T14" i="71" s="1"/>
  <c r="D14" i="75"/>
  <c r="T14" i="75" s="1"/>
  <c r="D14" i="74"/>
  <c r="T14" i="74" s="1"/>
  <c r="D14" i="69"/>
  <c r="T14" i="69" s="1"/>
  <c r="C12" i="68"/>
  <c r="D14" i="72"/>
  <c r="T14" i="72" s="1"/>
  <c r="C12" i="67"/>
  <c r="D14" i="70"/>
  <c r="T14" i="70" s="1"/>
  <c r="C12" i="65"/>
  <c r="C12" i="66"/>
  <c r="D22" i="80"/>
  <c r="T22" i="80" s="1"/>
  <c r="I22" i="80" s="1"/>
  <c r="D22" i="79"/>
  <c r="T22" i="79" s="1"/>
  <c r="I22" i="79" s="1"/>
  <c r="D22" i="76"/>
  <c r="T22" i="76" s="1"/>
  <c r="I22" i="76" s="1"/>
  <c r="D22" i="78"/>
  <c r="T22" i="78" s="1"/>
  <c r="I22" i="78" s="1"/>
  <c r="D22" i="75"/>
  <c r="T22" i="75" s="1"/>
  <c r="I22" i="75" s="1"/>
  <c r="D22" i="73"/>
  <c r="T22" i="73" s="1"/>
  <c r="I22" i="73" s="1"/>
  <c r="D22" i="77"/>
  <c r="T22" i="77" s="1"/>
  <c r="I22" i="77" s="1"/>
  <c r="D22" i="71"/>
  <c r="T22" i="71" s="1"/>
  <c r="I22" i="71" s="1"/>
  <c r="D22" i="74"/>
  <c r="T22" i="74" s="1"/>
  <c r="I22" i="74" s="1"/>
  <c r="D22" i="70"/>
  <c r="T22" i="70" s="1"/>
  <c r="I22" i="70" s="1"/>
  <c r="D22" i="69"/>
  <c r="T22" i="69" s="1"/>
  <c r="I22" i="69" s="1"/>
  <c r="C20" i="68"/>
  <c r="C20" i="67"/>
  <c r="C20" i="65"/>
  <c r="D22" i="72"/>
  <c r="T22" i="72" s="1"/>
  <c r="I22" i="72" s="1"/>
  <c r="C20" i="66"/>
  <c r="D30" i="80"/>
  <c r="T30" i="80" s="1"/>
  <c r="I30" i="80" s="1"/>
  <c r="D30" i="79"/>
  <c r="T30" i="79" s="1"/>
  <c r="I30" i="79" s="1"/>
  <c r="D30" i="77"/>
  <c r="T30" i="77" s="1"/>
  <c r="I30" i="77" s="1"/>
  <c r="D30" i="76"/>
  <c r="T30" i="76" s="1"/>
  <c r="I30" i="76" s="1"/>
  <c r="D30" i="75"/>
  <c r="T30" i="75" s="1"/>
  <c r="I30" i="75" s="1"/>
  <c r="D30" i="73"/>
  <c r="T30" i="73" s="1"/>
  <c r="I30" i="73" s="1"/>
  <c r="D30" i="71"/>
  <c r="T30" i="71" s="1"/>
  <c r="I30" i="71" s="1"/>
  <c r="D30" i="74"/>
  <c r="T30" i="74" s="1"/>
  <c r="I30" i="74" s="1"/>
  <c r="D30" i="72"/>
  <c r="T30" i="72" s="1"/>
  <c r="I30" i="72" s="1"/>
  <c r="D30" i="69"/>
  <c r="T30" i="69" s="1"/>
  <c r="I30" i="69" s="1"/>
  <c r="C28" i="68"/>
  <c r="D30" i="78"/>
  <c r="T30" i="78" s="1"/>
  <c r="I30" i="78" s="1"/>
  <c r="C28" i="67"/>
  <c r="D30" i="70"/>
  <c r="T30" i="70" s="1"/>
  <c r="I30" i="70" s="1"/>
  <c r="C28" i="66"/>
  <c r="C28" i="65"/>
  <c r="D11" i="79"/>
  <c r="T11" i="79" s="1"/>
  <c r="D11" i="78"/>
  <c r="T11" i="78" s="1"/>
  <c r="D11" i="77"/>
  <c r="T11" i="77" s="1"/>
  <c r="D11" i="76"/>
  <c r="T11" i="76" s="1"/>
  <c r="D11" i="75"/>
  <c r="T11" i="75" s="1"/>
  <c r="D11" i="80"/>
  <c r="T11" i="80" s="1"/>
  <c r="D11" i="74"/>
  <c r="T11" i="74" s="1"/>
  <c r="D11" i="71"/>
  <c r="T11" i="71" s="1"/>
  <c r="D11" i="73"/>
  <c r="T11" i="73" s="1"/>
  <c r="D11" i="69"/>
  <c r="T11" i="69" s="1"/>
  <c r="D11" i="72"/>
  <c r="T11" i="72" s="1"/>
  <c r="C9" i="65"/>
  <c r="D11" i="70"/>
  <c r="T11" i="70" s="1"/>
  <c r="C9" i="68"/>
  <c r="C9" i="66"/>
  <c r="C9" i="67"/>
  <c r="D27" i="79"/>
  <c r="T27" i="79" s="1"/>
  <c r="I27" i="79" s="1"/>
  <c r="D27" i="78"/>
  <c r="T27" i="78" s="1"/>
  <c r="I27" i="78" s="1"/>
  <c r="D27" i="77"/>
  <c r="T27" i="77" s="1"/>
  <c r="I27" i="77" s="1"/>
  <c r="D27" i="76"/>
  <c r="T27" i="76" s="1"/>
  <c r="I27" i="76" s="1"/>
  <c r="D27" i="80"/>
  <c r="T27" i="80" s="1"/>
  <c r="I27" i="80" s="1"/>
  <c r="D27" i="75"/>
  <c r="T27" i="75" s="1"/>
  <c r="I27" i="75" s="1"/>
  <c r="D27" i="72"/>
  <c r="T27" i="72" s="1"/>
  <c r="I27" i="72" s="1"/>
  <c r="D27" i="74"/>
  <c r="T27" i="74" s="1"/>
  <c r="I27" i="74" s="1"/>
  <c r="D27" i="71"/>
  <c r="T27" i="71" s="1"/>
  <c r="I27" i="71" s="1"/>
  <c r="D27" i="70"/>
  <c r="T27" i="70" s="1"/>
  <c r="I27" i="70" s="1"/>
  <c r="D27" i="73"/>
  <c r="T27" i="73" s="1"/>
  <c r="I27" i="73" s="1"/>
  <c r="D27" i="69"/>
  <c r="T27" i="69" s="1"/>
  <c r="I27" i="69" s="1"/>
  <c r="C25" i="65"/>
  <c r="C25" i="68"/>
  <c r="C25" i="67"/>
  <c r="C25" i="66"/>
  <c r="D26" i="78"/>
  <c r="T26" i="78" s="1"/>
  <c r="I26" i="78" s="1"/>
  <c r="D26" i="77"/>
  <c r="T26" i="77" s="1"/>
  <c r="I26" i="77" s="1"/>
  <c r="D26" i="75"/>
  <c r="T26" i="75" s="1"/>
  <c r="I26" i="75" s="1"/>
  <c r="D26" i="79"/>
  <c r="T26" i="79" s="1"/>
  <c r="I26" i="79" s="1"/>
  <c r="D26" i="80"/>
  <c r="T26" i="80" s="1"/>
  <c r="I26" i="80" s="1"/>
  <c r="D26" i="76"/>
  <c r="T26" i="76" s="1"/>
  <c r="I26" i="76" s="1"/>
  <c r="D26" i="73"/>
  <c r="T26" i="73" s="1"/>
  <c r="I26" i="73" s="1"/>
  <c r="D26" i="71"/>
  <c r="T26" i="71" s="1"/>
  <c r="I26" i="71" s="1"/>
  <c r="C24" i="66"/>
  <c r="D26" i="74"/>
  <c r="T26" i="74" s="1"/>
  <c r="I26" i="74" s="1"/>
  <c r="C24" i="65"/>
  <c r="C24" i="68"/>
  <c r="C24" i="67"/>
  <c r="D26" i="70"/>
  <c r="T26" i="70" s="1"/>
  <c r="I26" i="70" s="1"/>
  <c r="D26" i="69"/>
  <c r="T26" i="69" s="1"/>
  <c r="I26" i="69" s="1"/>
  <c r="D26" i="72"/>
  <c r="T26" i="72" s="1"/>
  <c r="I26" i="72" s="1"/>
  <c r="D13" i="78"/>
  <c r="T13" i="78" s="1"/>
  <c r="D13" i="77"/>
  <c r="T13" i="77" s="1"/>
  <c r="D13" i="75"/>
  <c r="T13" i="75" s="1"/>
  <c r="D13" i="79"/>
  <c r="T13" i="79" s="1"/>
  <c r="D13" i="74"/>
  <c r="T13" i="74" s="1"/>
  <c r="D13" i="80"/>
  <c r="T13" i="80" s="1"/>
  <c r="D13" i="73"/>
  <c r="T13" i="73" s="1"/>
  <c r="D13" i="70"/>
  <c r="T13" i="70" s="1"/>
  <c r="D13" i="76"/>
  <c r="T13" i="76" s="1"/>
  <c r="D13" i="72"/>
  <c r="T13" i="72" s="1"/>
  <c r="C11" i="66"/>
  <c r="D13" i="71"/>
  <c r="T13" i="71" s="1"/>
  <c r="C11" i="65"/>
  <c r="C11" i="68"/>
  <c r="D13" i="69"/>
  <c r="T13" i="69" s="1"/>
  <c r="C11" i="67"/>
  <c r="D21" i="78"/>
  <c r="T21" i="78" s="1"/>
  <c r="I21" i="78" s="1"/>
  <c r="D21" i="77"/>
  <c r="T21" i="77" s="1"/>
  <c r="I21" i="77" s="1"/>
  <c r="D21" i="80"/>
  <c r="T21" i="80" s="1"/>
  <c r="I21" i="80" s="1"/>
  <c r="D21" i="79"/>
  <c r="T21" i="79" s="1"/>
  <c r="I21" i="79" s="1"/>
  <c r="D21" i="75"/>
  <c r="T21" i="75" s="1"/>
  <c r="I21" i="75" s="1"/>
  <c r="D21" i="74"/>
  <c r="T21" i="74" s="1"/>
  <c r="I21" i="74" s="1"/>
  <c r="D21" i="73"/>
  <c r="T21" i="73" s="1"/>
  <c r="I21" i="73" s="1"/>
  <c r="D21" i="70"/>
  <c r="T21" i="70" s="1"/>
  <c r="I21" i="70" s="1"/>
  <c r="D21" i="72"/>
  <c r="T21" i="72" s="1"/>
  <c r="I21" i="72" s="1"/>
  <c r="D21" i="76"/>
  <c r="T21" i="76" s="1"/>
  <c r="I21" i="76" s="1"/>
  <c r="C19" i="66"/>
  <c r="C19" i="65"/>
  <c r="C19" i="68"/>
  <c r="D21" i="71"/>
  <c r="T21" i="71" s="1"/>
  <c r="I21" i="71" s="1"/>
  <c r="C19" i="67"/>
  <c r="D21" i="69"/>
  <c r="T21" i="69" s="1"/>
  <c r="I21" i="69" s="1"/>
  <c r="D29" i="78"/>
  <c r="T29" i="78" s="1"/>
  <c r="I29" i="78" s="1"/>
  <c r="D29" i="77"/>
  <c r="T29" i="77" s="1"/>
  <c r="I29" i="77" s="1"/>
  <c r="D29" i="75"/>
  <c r="T29" i="75" s="1"/>
  <c r="I29" i="75" s="1"/>
  <c r="D29" i="80"/>
  <c r="T29" i="80" s="1"/>
  <c r="I29" i="80" s="1"/>
  <c r="D29" i="79"/>
  <c r="T29" i="79" s="1"/>
  <c r="I29" i="79" s="1"/>
  <c r="D29" i="74"/>
  <c r="T29" i="74" s="1"/>
  <c r="I29" i="74" s="1"/>
  <c r="D29" i="76"/>
  <c r="T29" i="76" s="1"/>
  <c r="I29" i="76" s="1"/>
  <c r="D29" i="73"/>
  <c r="T29" i="73" s="1"/>
  <c r="I29" i="73" s="1"/>
  <c r="D29" i="72"/>
  <c r="T29" i="72" s="1"/>
  <c r="I29" i="72" s="1"/>
  <c r="D29" i="70"/>
  <c r="T29" i="70" s="1"/>
  <c r="I29" i="70" s="1"/>
  <c r="C27" i="66"/>
  <c r="D29" i="71"/>
  <c r="T29" i="71" s="1"/>
  <c r="I29" i="71" s="1"/>
  <c r="C27" i="65"/>
  <c r="C27" i="68"/>
  <c r="C27" i="67"/>
  <c r="D29" i="69"/>
  <c r="T29" i="69" s="1"/>
  <c r="I29" i="69" s="1"/>
  <c r="D35" i="79"/>
  <c r="T35" i="79" s="1"/>
  <c r="I35" i="79" s="1"/>
  <c r="D35" i="78"/>
  <c r="T35" i="78" s="1"/>
  <c r="I35" i="78" s="1"/>
  <c r="D35" i="76"/>
  <c r="T35" i="76" s="1"/>
  <c r="I35" i="76" s="1"/>
  <c r="D35" i="75"/>
  <c r="T35" i="75" s="1"/>
  <c r="I35" i="75" s="1"/>
  <c r="D35" i="77"/>
  <c r="T35" i="77" s="1"/>
  <c r="I35" i="77" s="1"/>
  <c r="D35" i="72"/>
  <c r="T35" i="72" s="1"/>
  <c r="I35" i="72" s="1"/>
  <c r="D35" i="71"/>
  <c r="T35" i="71" s="1"/>
  <c r="I35" i="71" s="1"/>
  <c r="D35" i="70"/>
  <c r="T35" i="70" s="1"/>
  <c r="I35" i="70" s="1"/>
  <c r="D35" i="74"/>
  <c r="T35" i="74" s="1"/>
  <c r="I35" i="74" s="1"/>
  <c r="D35" i="69"/>
  <c r="T35" i="69" s="1"/>
  <c r="I35" i="69" s="1"/>
  <c r="C33" i="65"/>
  <c r="D35" i="73"/>
  <c r="T35" i="73" s="1"/>
  <c r="I35" i="73" s="1"/>
  <c r="C33" i="68"/>
  <c r="D35" i="80"/>
  <c r="T35" i="80" s="1"/>
  <c r="I35" i="80" s="1"/>
  <c r="C33" i="67"/>
  <c r="C33" i="66"/>
  <c r="D18" i="78"/>
  <c r="T18" i="78" s="1"/>
  <c r="D18" i="77"/>
  <c r="T18" i="77" s="1"/>
  <c r="D18" i="75"/>
  <c r="T18" i="75" s="1"/>
  <c r="D18" i="80"/>
  <c r="T18" i="80" s="1"/>
  <c r="D18" i="76"/>
  <c r="T18" i="76" s="1"/>
  <c r="D18" i="73"/>
  <c r="T18" i="73" s="1"/>
  <c r="D18" i="79"/>
  <c r="T18" i="79" s="1"/>
  <c r="D18" i="74"/>
  <c r="T18" i="74" s="1"/>
  <c r="C16" i="66"/>
  <c r="D18" i="70"/>
  <c r="T18" i="70" s="1"/>
  <c r="C16" i="65"/>
  <c r="D18" i="71"/>
  <c r="T18" i="71" s="1"/>
  <c r="C16" i="68"/>
  <c r="C16" i="67"/>
  <c r="D18" i="69"/>
  <c r="T18" i="69" s="1"/>
  <c r="D18" i="72"/>
  <c r="T18" i="72" s="1"/>
  <c r="D12" i="77"/>
  <c r="T12" i="77" s="1"/>
  <c r="D12" i="80"/>
  <c r="T12" i="80" s="1"/>
  <c r="D12" i="78"/>
  <c r="T12" i="78" s="1"/>
  <c r="D12" i="76"/>
  <c r="T12" i="76" s="1"/>
  <c r="D12" i="74"/>
  <c r="T12" i="74" s="1"/>
  <c r="D12" i="79"/>
  <c r="T12" i="79" s="1"/>
  <c r="D12" i="72"/>
  <c r="T12" i="72" s="1"/>
  <c r="D12" i="70"/>
  <c r="T12" i="70" s="1"/>
  <c r="C10" i="68"/>
  <c r="C10" i="67"/>
  <c r="D12" i="69"/>
  <c r="T12" i="69" s="1"/>
  <c r="D12" i="75"/>
  <c r="T12" i="75" s="1"/>
  <c r="D12" i="71"/>
  <c r="T12" i="71" s="1"/>
  <c r="C10" i="65"/>
  <c r="D12" i="73"/>
  <c r="T12" i="73" s="1"/>
  <c r="C10" i="66"/>
  <c r="D20" i="77"/>
  <c r="T20" i="77" s="1"/>
  <c r="D20" i="80"/>
  <c r="T20" i="80" s="1"/>
  <c r="D20" i="79"/>
  <c r="T20" i="79" s="1"/>
  <c r="D20" i="76"/>
  <c r="T20" i="76" s="1"/>
  <c r="D20" i="78"/>
  <c r="T20" i="78" s="1"/>
  <c r="D20" i="74"/>
  <c r="T20" i="74" s="1"/>
  <c r="D20" i="72"/>
  <c r="T20" i="72" s="1"/>
  <c r="D20" i="73"/>
  <c r="T20" i="73" s="1"/>
  <c r="D20" i="75"/>
  <c r="T20" i="75" s="1"/>
  <c r="D20" i="71"/>
  <c r="T20" i="71" s="1"/>
  <c r="C18" i="67"/>
  <c r="D20" i="69"/>
  <c r="T20" i="69" s="1"/>
  <c r="C18" i="66"/>
  <c r="D20" i="70"/>
  <c r="T20" i="70" s="1"/>
  <c r="C18" i="68"/>
  <c r="C18" i="65"/>
  <c r="D28" i="77"/>
  <c r="T28" i="77" s="1"/>
  <c r="I28" i="77" s="1"/>
  <c r="D28" i="80"/>
  <c r="T28" i="80" s="1"/>
  <c r="I28" i="80" s="1"/>
  <c r="D28" i="78"/>
  <c r="T28" i="78" s="1"/>
  <c r="I28" i="78" s="1"/>
  <c r="D28" i="76"/>
  <c r="T28" i="76" s="1"/>
  <c r="I28" i="76" s="1"/>
  <c r="D28" i="74"/>
  <c r="T28" i="74" s="1"/>
  <c r="I28" i="74" s="1"/>
  <c r="D28" i="79"/>
  <c r="T28" i="79" s="1"/>
  <c r="I28" i="79" s="1"/>
  <c r="D28" i="72"/>
  <c r="T28" i="72" s="1"/>
  <c r="I28" i="72" s="1"/>
  <c r="D28" i="73"/>
  <c r="T28" i="73" s="1"/>
  <c r="I28" i="73" s="1"/>
  <c r="D28" i="75"/>
  <c r="T28" i="75" s="1"/>
  <c r="I28" i="75" s="1"/>
  <c r="D28" i="70"/>
  <c r="T28" i="70" s="1"/>
  <c r="I28" i="70" s="1"/>
  <c r="C26" i="67"/>
  <c r="D28" i="71"/>
  <c r="T28" i="71" s="1"/>
  <c r="I28" i="71" s="1"/>
  <c r="D28" i="69"/>
  <c r="T28" i="69" s="1"/>
  <c r="I28" i="69" s="1"/>
  <c r="C26" i="66"/>
  <c r="C26" i="68"/>
  <c r="C26" i="65"/>
  <c r="C10" i="48"/>
  <c r="D12" i="61"/>
  <c r="T12" i="61" s="1"/>
  <c r="D12" i="64"/>
  <c r="T12" i="64" s="1"/>
  <c r="D12" i="63"/>
  <c r="T12" i="63" s="1"/>
  <c r="D12" i="62"/>
  <c r="T12" i="62" s="1"/>
  <c r="D12" i="57"/>
  <c r="T12" i="57" s="1"/>
  <c r="D12" i="60"/>
  <c r="T12" i="60" s="1"/>
  <c r="D12" i="59"/>
  <c r="T12" i="59" s="1"/>
  <c r="D12" i="56"/>
  <c r="T12" i="56" s="1"/>
  <c r="D12" i="55"/>
  <c r="T12" i="55" s="1"/>
  <c r="D12" i="58"/>
  <c r="T12" i="58" s="1"/>
  <c r="D12" i="54"/>
  <c r="T12" i="54" s="1"/>
  <c r="C10" i="51"/>
  <c r="D12" i="53"/>
  <c r="T12" i="53" s="1"/>
  <c r="C10" i="50"/>
  <c r="C10" i="52"/>
  <c r="C10" i="49"/>
  <c r="C18" i="48"/>
  <c r="D20" i="61"/>
  <c r="T20" i="61" s="1"/>
  <c r="D20" i="64"/>
  <c r="T20" i="64" s="1"/>
  <c r="D20" i="63"/>
  <c r="T20" i="63" s="1"/>
  <c r="D20" i="62"/>
  <c r="T20" i="62" s="1"/>
  <c r="D20" i="57"/>
  <c r="T20" i="57" s="1"/>
  <c r="D20" i="60"/>
  <c r="T20" i="60" s="1"/>
  <c r="D20" i="58"/>
  <c r="T20" i="58" s="1"/>
  <c r="D20" i="56"/>
  <c r="T20" i="56" s="1"/>
  <c r="D20" i="55"/>
  <c r="T20" i="55" s="1"/>
  <c r="D20" i="59"/>
  <c r="T20" i="59" s="1"/>
  <c r="C18" i="51"/>
  <c r="D20" i="54"/>
  <c r="T20" i="54" s="1"/>
  <c r="C18" i="52"/>
  <c r="C18" i="50"/>
  <c r="D20" i="53"/>
  <c r="T20" i="53" s="1"/>
  <c r="C18" i="49"/>
  <c r="C26" i="48"/>
  <c r="D28" i="61"/>
  <c r="T28" i="61" s="1"/>
  <c r="I28" i="61" s="1"/>
  <c r="D28" i="64"/>
  <c r="T28" i="64" s="1"/>
  <c r="I28" i="64" s="1"/>
  <c r="D28" i="63"/>
  <c r="T28" i="63" s="1"/>
  <c r="I28" i="63" s="1"/>
  <c r="D28" i="62"/>
  <c r="T28" i="62" s="1"/>
  <c r="I28" i="62" s="1"/>
  <c r="D28" i="57"/>
  <c r="T28" i="57" s="1"/>
  <c r="I28" i="57" s="1"/>
  <c r="D28" i="60"/>
  <c r="T28" i="60" s="1"/>
  <c r="I28" i="60" s="1"/>
  <c r="D28" i="59"/>
  <c r="T28" i="59" s="1"/>
  <c r="I28" i="59" s="1"/>
  <c r="D28" i="56"/>
  <c r="T28" i="56" s="1"/>
  <c r="I28" i="56" s="1"/>
  <c r="D28" i="55"/>
  <c r="T28" i="55" s="1"/>
  <c r="I28" i="55" s="1"/>
  <c r="D28" i="58"/>
  <c r="T28" i="58" s="1"/>
  <c r="I28" i="58" s="1"/>
  <c r="C26" i="51"/>
  <c r="D28" i="53"/>
  <c r="T28" i="53" s="1"/>
  <c r="I28" i="53" s="1"/>
  <c r="C26" i="52"/>
  <c r="C26" i="50"/>
  <c r="D28" i="54"/>
  <c r="T28" i="54" s="1"/>
  <c r="I28" i="54" s="1"/>
  <c r="C26" i="49"/>
  <c r="C9" i="48"/>
  <c r="D11" i="63"/>
  <c r="T11" i="63" s="1"/>
  <c r="D11" i="62"/>
  <c r="T11" i="62" s="1"/>
  <c r="D11" i="64"/>
  <c r="T11" i="64" s="1"/>
  <c r="D11" i="59"/>
  <c r="T11" i="59" s="1"/>
  <c r="D11" i="61"/>
  <c r="T11" i="61" s="1"/>
  <c r="D11" i="58"/>
  <c r="T11" i="58" s="1"/>
  <c r="D11" i="56"/>
  <c r="T11" i="56" s="1"/>
  <c r="D11" i="60"/>
  <c r="T11" i="60" s="1"/>
  <c r="D11" i="55"/>
  <c r="T11" i="55" s="1"/>
  <c r="D11" i="57"/>
  <c r="T11" i="57" s="1"/>
  <c r="D11" i="54"/>
  <c r="T11" i="54" s="1"/>
  <c r="C9" i="49"/>
  <c r="C9" i="52"/>
  <c r="C9" i="51"/>
  <c r="D11" i="53"/>
  <c r="T11" i="53" s="1"/>
  <c r="C9" i="50"/>
  <c r="C17" i="48"/>
  <c r="D19" i="63"/>
  <c r="T19" i="63" s="1"/>
  <c r="D19" i="62"/>
  <c r="T19" i="62" s="1"/>
  <c r="D19" i="61"/>
  <c r="T19" i="61" s="1"/>
  <c r="D19" i="64"/>
  <c r="T19" i="64" s="1"/>
  <c r="D19" i="59"/>
  <c r="T19" i="59" s="1"/>
  <c r="D19" i="58"/>
  <c r="T19" i="58" s="1"/>
  <c r="D19" i="56"/>
  <c r="T19" i="56" s="1"/>
  <c r="D19" i="57"/>
  <c r="T19" i="57" s="1"/>
  <c r="D19" i="55"/>
  <c r="T19" i="55" s="1"/>
  <c r="D19" i="54"/>
  <c r="T19" i="54" s="1"/>
  <c r="C17" i="52"/>
  <c r="D19" i="60"/>
  <c r="T19" i="60" s="1"/>
  <c r="C17" i="51"/>
  <c r="C17" i="50"/>
  <c r="D19" i="53"/>
  <c r="T19" i="53" s="1"/>
  <c r="C17" i="49"/>
  <c r="C25" i="48"/>
  <c r="D27" i="63"/>
  <c r="T27" i="63" s="1"/>
  <c r="I27" i="63" s="1"/>
  <c r="D27" i="62"/>
  <c r="T27" i="62" s="1"/>
  <c r="I27" i="62" s="1"/>
  <c r="D27" i="61"/>
  <c r="T27" i="61" s="1"/>
  <c r="I27" i="61" s="1"/>
  <c r="D27" i="64"/>
  <c r="T27" i="64" s="1"/>
  <c r="I27" i="64" s="1"/>
  <c r="D27" i="59"/>
  <c r="T27" i="59" s="1"/>
  <c r="I27" i="59" s="1"/>
  <c r="D27" i="58"/>
  <c r="T27" i="58" s="1"/>
  <c r="I27" i="58" s="1"/>
  <c r="D27" i="56"/>
  <c r="T27" i="56" s="1"/>
  <c r="I27" i="56" s="1"/>
  <c r="D27" i="55"/>
  <c r="T27" i="55" s="1"/>
  <c r="I27" i="55" s="1"/>
  <c r="D27" i="60"/>
  <c r="T27" i="60" s="1"/>
  <c r="I27" i="60" s="1"/>
  <c r="D27" i="57"/>
  <c r="T27" i="57" s="1"/>
  <c r="I27" i="57" s="1"/>
  <c r="D27" i="54"/>
  <c r="T27" i="54" s="1"/>
  <c r="I27" i="54" s="1"/>
  <c r="C25" i="52"/>
  <c r="C25" i="51"/>
  <c r="D27" i="53"/>
  <c r="T27" i="53" s="1"/>
  <c r="I27" i="53" s="1"/>
  <c r="C25" i="50"/>
  <c r="C25" i="49"/>
  <c r="C33" i="48"/>
  <c r="D35" i="63"/>
  <c r="T35" i="63" s="1"/>
  <c r="I35" i="63" s="1"/>
  <c r="D35" i="62"/>
  <c r="T35" i="62" s="1"/>
  <c r="I35" i="62" s="1"/>
  <c r="D35" i="61"/>
  <c r="T35" i="61" s="1"/>
  <c r="I35" i="61" s="1"/>
  <c r="D35" i="64"/>
  <c r="T35" i="64" s="1"/>
  <c r="I35" i="64" s="1"/>
  <c r="D35" i="59"/>
  <c r="T35" i="59" s="1"/>
  <c r="I35" i="59" s="1"/>
  <c r="D35" i="58"/>
  <c r="T35" i="58" s="1"/>
  <c r="I35" i="58" s="1"/>
  <c r="D35" i="57"/>
  <c r="T35" i="57" s="1"/>
  <c r="I35" i="57" s="1"/>
  <c r="D35" i="56"/>
  <c r="T35" i="56" s="1"/>
  <c r="I35" i="56" s="1"/>
  <c r="D35" i="55"/>
  <c r="T35" i="55" s="1"/>
  <c r="I35" i="55" s="1"/>
  <c r="C33" i="52"/>
  <c r="C33" i="51"/>
  <c r="D35" i="60"/>
  <c r="T35" i="60" s="1"/>
  <c r="I35" i="60" s="1"/>
  <c r="D35" i="54"/>
  <c r="T35" i="54" s="1"/>
  <c r="I35" i="54" s="1"/>
  <c r="C33" i="50"/>
  <c r="D35" i="53"/>
  <c r="T35" i="53" s="1"/>
  <c r="I35" i="53" s="1"/>
  <c r="C33" i="49"/>
  <c r="C16" i="48"/>
  <c r="D18" i="62"/>
  <c r="T18" i="62" s="1"/>
  <c r="D18" i="61"/>
  <c r="T18" i="61" s="1"/>
  <c r="D18" i="64"/>
  <c r="T18" i="64" s="1"/>
  <c r="D18" i="63"/>
  <c r="T18" i="63" s="1"/>
  <c r="D18" i="58"/>
  <c r="T18" i="58" s="1"/>
  <c r="D18" i="57"/>
  <c r="T18" i="57" s="1"/>
  <c r="D18" i="59"/>
  <c r="T18" i="59" s="1"/>
  <c r="D18" i="60"/>
  <c r="T18" i="60" s="1"/>
  <c r="D18" i="56"/>
  <c r="T18" i="56" s="1"/>
  <c r="C16" i="51"/>
  <c r="C16" i="50"/>
  <c r="D18" i="53"/>
  <c r="T18" i="53" s="1"/>
  <c r="C16" i="49"/>
  <c r="D18" i="55"/>
  <c r="T18" i="55" s="1"/>
  <c r="C16" i="52"/>
  <c r="D18" i="54"/>
  <c r="T18" i="54" s="1"/>
  <c r="C24" i="48"/>
  <c r="D26" i="62"/>
  <c r="T26" i="62" s="1"/>
  <c r="I26" i="62" s="1"/>
  <c r="D26" i="61"/>
  <c r="T26" i="61" s="1"/>
  <c r="I26" i="61" s="1"/>
  <c r="D26" i="64"/>
  <c r="T26" i="64" s="1"/>
  <c r="I26" i="64" s="1"/>
  <c r="D26" i="63"/>
  <c r="T26" i="63" s="1"/>
  <c r="I26" i="63" s="1"/>
  <c r="D26" i="58"/>
  <c r="T26" i="58" s="1"/>
  <c r="I26" i="58" s="1"/>
  <c r="D26" i="57"/>
  <c r="T26" i="57" s="1"/>
  <c r="I26" i="57" s="1"/>
  <c r="D26" i="59"/>
  <c r="T26" i="59" s="1"/>
  <c r="I26" i="59" s="1"/>
  <c r="D26" i="54"/>
  <c r="T26" i="54" s="1"/>
  <c r="I26" i="54" s="1"/>
  <c r="D26" i="56"/>
  <c r="T26" i="56" s="1"/>
  <c r="I26" i="56" s="1"/>
  <c r="D26" i="55"/>
  <c r="T26" i="55" s="1"/>
  <c r="I26" i="55" s="1"/>
  <c r="C24" i="51"/>
  <c r="C24" i="50"/>
  <c r="C24" i="49"/>
  <c r="D26" i="60"/>
  <c r="T26" i="60" s="1"/>
  <c r="I26" i="60" s="1"/>
  <c r="D26" i="53"/>
  <c r="T26" i="53" s="1"/>
  <c r="I26" i="53" s="1"/>
  <c r="C24" i="52"/>
  <c r="C32" i="48"/>
  <c r="D34" i="62"/>
  <c r="T34" i="62" s="1"/>
  <c r="I34" i="62" s="1"/>
  <c r="D34" i="61"/>
  <c r="T34" i="61" s="1"/>
  <c r="I34" i="61" s="1"/>
  <c r="D34" i="64"/>
  <c r="T34" i="64" s="1"/>
  <c r="I34" i="64" s="1"/>
  <c r="D34" i="63"/>
  <c r="T34" i="63" s="1"/>
  <c r="I34" i="63" s="1"/>
  <c r="D34" i="58"/>
  <c r="T34" i="58" s="1"/>
  <c r="I34" i="58" s="1"/>
  <c r="D34" i="57"/>
  <c r="T34" i="57" s="1"/>
  <c r="I34" i="57" s="1"/>
  <c r="D34" i="59"/>
  <c r="T34" i="59" s="1"/>
  <c r="I34" i="59" s="1"/>
  <c r="D34" i="60"/>
  <c r="T34" i="60" s="1"/>
  <c r="I34" i="60" s="1"/>
  <c r="D34" i="54"/>
  <c r="T34" i="54" s="1"/>
  <c r="I34" i="54" s="1"/>
  <c r="D34" i="56"/>
  <c r="T34" i="56" s="1"/>
  <c r="I34" i="56" s="1"/>
  <c r="C32" i="50"/>
  <c r="D34" i="55"/>
  <c r="T34" i="55" s="1"/>
  <c r="I34" i="55" s="1"/>
  <c r="C32" i="51"/>
  <c r="C32" i="52"/>
  <c r="C32" i="49"/>
  <c r="D34" i="53"/>
  <c r="T34" i="53" s="1"/>
  <c r="I34" i="53" s="1"/>
  <c r="C15" i="48"/>
  <c r="D17" i="64"/>
  <c r="T17" i="64" s="1"/>
  <c r="D17" i="63"/>
  <c r="T17" i="63" s="1"/>
  <c r="D17" i="62"/>
  <c r="T17" i="62" s="1"/>
  <c r="D17" i="61"/>
  <c r="T17" i="61" s="1"/>
  <c r="D17" i="60"/>
  <c r="T17" i="60" s="1"/>
  <c r="D17" i="59"/>
  <c r="T17" i="59" s="1"/>
  <c r="D17" i="56"/>
  <c r="T17" i="56" s="1"/>
  <c r="D17" i="58"/>
  <c r="T17" i="58" s="1"/>
  <c r="D17" i="57"/>
  <c r="T17" i="57" s="1"/>
  <c r="D17" i="55"/>
  <c r="T17" i="55" s="1"/>
  <c r="D17" i="54"/>
  <c r="T17" i="54" s="1"/>
  <c r="D17" i="53"/>
  <c r="T17" i="53" s="1"/>
  <c r="C15" i="51"/>
  <c r="C15" i="50"/>
  <c r="C15" i="52"/>
  <c r="C15" i="49"/>
  <c r="C23" i="48"/>
  <c r="D25" i="64"/>
  <c r="T25" i="64" s="1"/>
  <c r="I25" i="64" s="1"/>
  <c r="D25" i="63"/>
  <c r="T25" i="63" s="1"/>
  <c r="I25" i="63" s="1"/>
  <c r="D25" i="62"/>
  <c r="T25" i="62" s="1"/>
  <c r="I25" i="62" s="1"/>
  <c r="D25" i="61"/>
  <c r="T25" i="61" s="1"/>
  <c r="I25" i="61" s="1"/>
  <c r="D25" i="60"/>
  <c r="T25" i="60" s="1"/>
  <c r="I25" i="60" s="1"/>
  <c r="D25" i="59"/>
  <c r="T25" i="59" s="1"/>
  <c r="I25" i="59" s="1"/>
  <c r="D25" i="56"/>
  <c r="T25" i="56" s="1"/>
  <c r="I25" i="56" s="1"/>
  <c r="D25" i="58"/>
  <c r="T25" i="58" s="1"/>
  <c r="I25" i="58" s="1"/>
  <c r="D25" i="54"/>
  <c r="T25" i="54" s="1"/>
  <c r="I25" i="54" s="1"/>
  <c r="D25" i="53"/>
  <c r="T25" i="53" s="1"/>
  <c r="I25" i="53" s="1"/>
  <c r="C23" i="51"/>
  <c r="D25" i="55"/>
  <c r="T25" i="55" s="1"/>
  <c r="I25" i="55" s="1"/>
  <c r="D25" i="57"/>
  <c r="T25" i="57" s="1"/>
  <c r="I25" i="57" s="1"/>
  <c r="C23" i="52"/>
  <c r="C23" i="50"/>
  <c r="C23" i="49"/>
  <c r="C31" i="48"/>
  <c r="D33" i="64"/>
  <c r="T33" i="64" s="1"/>
  <c r="I33" i="64" s="1"/>
  <c r="D33" i="63"/>
  <c r="T33" i="63" s="1"/>
  <c r="I33" i="63" s="1"/>
  <c r="D33" i="62"/>
  <c r="T33" i="62" s="1"/>
  <c r="I33" i="62" s="1"/>
  <c r="D33" i="61"/>
  <c r="T33" i="61" s="1"/>
  <c r="I33" i="61" s="1"/>
  <c r="D33" i="60"/>
  <c r="T33" i="60" s="1"/>
  <c r="I33" i="60" s="1"/>
  <c r="D33" i="59"/>
  <c r="T33" i="59" s="1"/>
  <c r="I33" i="59" s="1"/>
  <c r="D33" i="58"/>
  <c r="T33" i="58" s="1"/>
  <c r="I33" i="58" s="1"/>
  <c r="D33" i="56"/>
  <c r="T33" i="56" s="1"/>
  <c r="I33" i="56" s="1"/>
  <c r="D33" i="54"/>
  <c r="T33" i="54" s="1"/>
  <c r="I33" i="54" s="1"/>
  <c r="D33" i="53"/>
  <c r="T33" i="53" s="1"/>
  <c r="I33" i="53" s="1"/>
  <c r="C31" i="51"/>
  <c r="C31" i="50"/>
  <c r="D33" i="57"/>
  <c r="T33" i="57" s="1"/>
  <c r="I33" i="57" s="1"/>
  <c r="D33" i="55"/>
  <c r="T33" i="55" s="1"/>
  <c r="I33" i="55" s="1"/>
  <c r="C31" i="52"/>
  <c r="C31" i="49"/>
  <c r="C14" i="48"/>
  <c r="D16" i="63"/>
  <c r="T16" i="63" s="1"/>
  <c r="D16" i="62"/>
  <c r="T16" i="62" s="1"/>
  <c r="D16" i="61"/>
  <c r="T16" i="61" s="1"/>
  <c r="D16" i="64"/>
  <c r="T16" i="64" s="1"/>
  <c r="D16" i="59"/>
  <c r="T16" i="59" s="1"/>
  <c r="D16" i="58"/>
  <c r="T16" i="58" s="1"/>
  <c r="D16" i="60"/>
  <c r="T16" i="60" s="1"/>
  <c r="D16" i="55"/>
  <c r="T16" i="55" s="1"/>
  <c r="D16" i="54"/>
  <c r="T16" i="54" s="1"/>
  <c r="D16" i="57"/>
  <c r="T16" i="57" s="1"/>
  <c r="D16" i="56"/>
  <c r="T16" i="56" s="1"/>
  <c r="D16" i="53"/>
  <c r="T16" i="53" s="1"/>
  <c r="C14" i="49"/>
  <c r="C14" i="52"/>
  <c r="C14" i="51"/>
  <c r="C14" i="50"/>
  <c r="C22" i="48"/>
  <c r="D24" i="63"/>
  <c r="T24" i="63" s="1"/>
  <c r="I24" i="63" s="1"/>
  <c r="D24" i="62"/>
  <c r="T24" i="62" s="1"/>
  <c r="I24" i="62" s="1"/>
  <c r="D24" i="61"/>
  <c r="T24" i="61" s="1"/>
  <c r="I24" i="61" s="1"/>
  <c r="D24" i="64"/>
  <c r="T24" i="64" s="1"/>
  <c r="I24" i="64" s="1"/>
  <c r="D24" i="59"/>
  <c r="T24" i="59" s="1"/>
  <c r="I24" i="59" s="1"/>
  <c r="D24" i="58"/>
  <c r="T24" i="58" s="1"/>
  <c r="I24" i="58" s="1"/>
  <c r="D24" i="60"/>
  <c r="T24" i="60" s="1"/>
  <c r="I24" i="60" s="1"/>
  <c r="D24" i="55"/>
  <c r="T24" i="55" s="1"/>
  <c r="I24" i="55" s="1"/>
  <c r="D24" i="54"/>
  <c r="T24" i="54" s="1"/>
  <c r="I24" i="54" s="1"/>
  <c r="D24" i="57"/>
  <c r="T24" i="57" s="1"/>
  <c r="I24" i="57" s="1"/>
  <c r="D24" i="56"/>
  <c r="T24" i="56" s="1"/>
  <c r="I24" i="56" s="1"/>
  <c r="D24" i="53"/>
  <c r="T24" i="53" s="1"/>
  <c r="I24" i="53" s="1"/>
  <c r="C22" i="49"/>
  <c r="C22" i="51"/>
  <c r="C22" i="52"/>
  <c r="C22" i="50"/>
  <c r="C30" i="48"/>
  <c r="D32" i="63"/>
  <c r="T32" i="63" s="1"/>
  <c r="I32" i="63" s="1"/>
  <c r="D32" i="62"/>
  <c r="T32" i="62" s="1"/>
  <c r="I32" i="62" s="1"/>
  <c r="D32" i="61"/>
  <c r="T32" i="61" s="1"/>
  <c r="I32" i="61" s="1"/>
  <c r="D32" i="64"/>
  <c r="T32" i="64" s="1"/>
  <c r="I32" i="64" s="1"/>
  <c r="D32" i="59"/>
  <c r="T32" i="59" s="1"/>
  <c r="I32" i="59" s="1"/>
  <c r="D32" i="58"/>
  <c r="T32" i="58" s="1"/>
  <c r="I32" i="58" s="1"/>
  <c r="D32" i="60"/>
  <c r="T32" i="60" s="1"/>
  <c r="I32" i="60" s="1"/>
  <c r="D32" i="57"/>
  <c r="T32" i="57" s="1"/>
  <c r="I32" i="57" s="1"/>
  <c r="D32" i="55"/>
  <c r="T32" i="55" s="1"/>
  <c r="I32" i="55" s="1"/>
  <c r="D32" i="54"/>
  <c r="T32" i="54" s="1"/>
  <c r="I32" i="54" s="1"/>
  <c r="D32" i="56"/>
  <c r="T32" i="56" s="1"/>
  <c r="I32" i="56" s="1"/>
  <c r="D32" i="53"/>
  <c r="T32" i="53" s="1"/>
  <c r="I32" i="53" s="1"/>
  <c r="C30" i="50"/>
  <c r="C30" i="51"/>
  <c r="C30" i="49"/>
  <c r="C30" i="52"/>
  <c r="C13" i="48"/>
  <c r="D15" i="64"/>
  <c r="T15" i="64" s="1"/>
  <c r="D15" i="63"/>
  <c r="T15" i="63" s="1"/>
  <c r="D15" i="62"/>
  <c r="T15" i="62" s="1"/>
  <c r="D15" i="60"/>
  <c r="T15" i="60" s="1"/>
  <c r="D15" i="59"/>
  <c r="T15" i="59" s="1"/>
  <c r="D15" i="61"/>
  <c r="T15" i="61" s="1"/>
  <c r="D15" i="57"/>
  <c r="T15" i="57" s="1"/>
  <c r="D15" i="58"/>
  <c r="T15" i="58" s="1"/>
  <c r="D15" i="55"/>
  <c r="T15" i="55" s="1"/>
  <c r="D15" i="54"/>
  <c r="T15" i="54" s="1"/>
  <c r="D15" i="56"/>
  <c r="T15" i="56" s="1"/>
  <c r="D15" i="53"/>
  <c r="T15" i="53" s="1"/>
  <c r="C13" i="52"/>
  <c r="C13" i="50"/>
  <c r="C13" i="49"/>
  <c r="C13" i="51"/>
  <c r="C21" i="48"/>
  <c r="D23" i="61"/>
  <c r="T23" i="61" s="1"/>
  <c r="I23" i="61" s="1"/>
  <c r="D23" i="64"/>
  <c r="T23" i="64" s="1"/>
  <c r="I23" i="64" s="1"/>
  <c r="D23" i="63"/>
  <c r="T23" i="63" s="1"/>
  <c r="I23" i="63" s="1"/>
  <c r="D23" i="62"/>
  <c r="T23" i="62" s="1"/>
  <c r="I23" i="62" s="1"/>
  <c r="D23" i="57"/>
  <c r="T23" i="57" s="1"/>
  <c r="I23" i="57" s="1"/>
  <c r="D23" i="60"/>
  <c r="T23" i="60" s="1"/>
  <c r="I23" i="60" s="1"/>
  <c r="D23" i="59"/>
  <c r="T23" i="59" s="1"/>
  <c r="I23" i="59" s="1"/>
  <c r="D23" i="54"/>
  <c r="T23" i="54" s="1"/>
  <c r="I23" i="54" s="1"/>
  <c r="D23" i="58"/>
  <c r="T23" i="58" s="1"/>
  <c r="I23" i="58" s="1"/>
  <c r="D23" i="55"/>
  <c r="T23" i="55" s="1"/>
  <c r="I23" i="55" s="1"/>
  <c r="D23" i="53"/>
  <c r="T23" i="53" s="1"/>
  <c r="I23" i="53" s="1"/>
  <c r="C21" i="52"/>
  <c r="D23" i="56"/>
  <c r="T23" i="56" s="1"/>
  <c r="I23" i="56" s="1"/>
  <c r="C21" i="51"/>
  <c r="C21" i="50"/>
  <c r="C21" i="49"/>
  <c r="C29" i="48"/>
  <c r="D31" i="61"/>
  <c r="T31" i="61" s="1"/>
  <c r="I31" i="61" s="1"/>
  <c r="D31" i="64"/>
  <c r="T31" i="64" s="1"/>
  <c r="I31" i="64" s="1"/>
  <c r="D31" i="63"/>
  <c r="T31" i="63" s="1"/>
  <c r="I31" i="63" s="1"/>
  <c r="D31" i="62"/>
  <c r="T31" i="62" s="1"/>
  <c r="I31" i="62" s="1"/>
  <c r="D31" i="57"/>
  <c r="T31" i="57" s="1"/>
  <c r="I31" i="57" s="1"/>
  <c r="D31" i="60"/>
  <c r="T31" i="60" s="1"/>
  <c r="I31" i="60" s="1"/>
  <c r="D31" i="59"/>
  <c r="T31" i="59" s="1"/>
  <c r="I31" i="59" s="1"/>
  <c r="D31" i="58"/>
  <c r="T31" i="58" s="1"/>
  <c r="I31" i="58" s="1"/>
  <c r="D31" i="54"/>
  <c r="T31" i="54" s="1"/>
  <c r="I31" i="54" s="1"/>
  <c r="D31" i="55"/>
  <c r="T31" i="55" s="1"/>
  <c r="I31" i="55" s="1"/>
  <c r="D31" i="56"/>
  <c r="T31" i="56" s="1"/>
  <c r="I31" i="56" s="1"/>
  <c r="D31" i="53"/>
  <c r="T31" i="53" s="1"/>
  <c r="I31" i="53" s="1"/>
  <c r="C29" i="52"/>
  <c r="C29" i="51"/>
  <c r="C29" i="50"/>
  <c r="C29" i="49"/>
  <c r="C12" i="48"/>
  <c r="D14" i="64"/>
  <c r="T14" i="64" s="1"/>
  <c r="D14" i="63"/>
  <c r="T14" i="63" s="1"/>
  <c r="D14" i="62"/>
  <c r="T14" i="62" s="1"/>
  <c r="D14" i="61"/>
  <c r="T14" i="61" s="1"/>
  <c r="D14" i="60"/>
  <c r="T14" i="60" s="1"/>
  <c r="D14" i="59"/>
  <c r="T14" i="59" s="1"/>
  <c r="D14" i="56"/>
  <c r="T14" i="56" s="1"/>
  <c r="D14" i="58"/>
  <c r="T14" i="58" s="1"/>
  <c r="D14" i="57"/>
  <c r="T14" i="57" s="1"/>
  <c r="D14" i="55"/>
  <c r="T14" i="55" s="1"/>
  <c r="D14" i="53"/>
  <c r="T14" i="53" s="1"/>
  <c r="C12" i="52"/>
  <c r="D14" i="54"/>
  <c r="T14" i="54" s="1"/>
  <c r="C12" i="50"/>
  <c r="C12" i="51"/>
  <c r="C12" i="49"/>
  <c r="C20" i="48"/>
  <c r="D22" i="64"/>
  <c r="T22" i="64" s="1"/>
  <c r="I22" i="64" s="1"/>
  <c r="D22" i="63"/>
  <c r="T22" i="63" s="1"/>
  <c r="I22" i="63" s="1"/>
  <c r="D22" i="62"/>
  <c r="T22" i="62" s="1"/>
  <c r="I22" i="62" s="1"/>
  <c r="D22" i="61"/>
  <c r="T22" i="61" s="1"/>
  <c r="I22" i="61" s="1"/>
  <c r="D22" i="60"/>
  <c r="T22" i="60" s="1"/>
  <c r="I22" i="60" s="1"/>
  <c r="D22" i="59"/>
  <c r="T22" i="59" s="1"/>
  <c r="I22" i="59" s="1"/>
  <c r="D22" i="56"/>
  <c r="T22" i="56" s="1"/>
  <c r="I22" i="56" s="1"/>
  <c r="D22" i="57"/>
  <c r="T22" i="57" s="1"/>
  <c r="I22" i="57" s="1"/>
  <c r="D22" i="55"/>
  <c r="T22" i="55" s="1"/>
  <c r="I22" i="55" s="1"/>
  <c r="D22" i="58"/>
  <c r="T22" i="58" s="1"/>
  <c r="I22" i="58" s="1"/>
  <c r="D22" i="53"/>
  <c r="T22" i="53" s="1"/>
  <c r="I22" i="53" s="1"/>
  <c r="C20" i="52"/>
  <c r="D22" i="54"/>
  <c r="T22" i="54" s="1"/>
  <c r="I22" i="54" s="1"/>
  <c r="C20" i="50"/>
  <c r="C20" i="51"/>
  <c r="C20" i="49"/>
  <c r="C28" i="48"/>
  <c r="D30" i="64"/>
  <c r="T30" i="64" s="1"/>
  <c r="I30" i="64" s="1"/>
  <c r="D30" i="63"/>
  <c r="T30" i="63" s="1"/>
  <c r="I30" i="63" s="1"/>
  <c r="D30" i="62"/>
  <c r="T30" i="62" s="1"/>
  <c r="I30" i="62" s="1"/>
  <c r="D30" i="61"/>
  <c r="T30" i="61" s="1"/>
  <c r="I30" i="61" s="1"/>
  <c r="D30" i="60"/>
  <c r="T30" i="60" s="1"/>
  <c r="I30" i="60" s="1"/>
  <c r="D30" i="59"/>
  <c r="T30" i="59" s="1"/>
  <c r="I30" i="59" s="1"/>
  <c r="D30" i="56"/>
  <c r="T30" i="56" s="1"/>
  <c r="I30" i="56" s="1"/>
  <c r="D30" i="58"/>
  <c r="T30" i="58" s="1"/>
  <c r="I30" i="58" s="1"/>
  <c r="D30" i="55"/>
  <c r="T30" i="55" s="1"/>
  <c r="I30" i="55" s="1"/>
  <c r="D30" i="57"/>
  <c r="T30" i="57" s="1"/>
  <c r="I30" i="57" s="1"/>
  <c r="D30" i="54"/>
  <c r="T30" i="54" s="1"/>
  <c r="I30" i="54" s="1"/>
  <c r="D30" i="53"/>
  <c r="T30" i="53" s="1"/>
  <c r="I30" i="53" s="1"/>
  <c r="C28" i="52"/>
  <c r="C28" i="51"/>
  <c r="C28" i="50"/>
  <c r="C28" i="49"/>
  <c r="C11" i="48"/>
  <c r="D13" i="62"/>
  <c r="T13" i="62" s="1"/>
  <c r="D13" i="64"/>
  <c r="T13" i="64" s="1"/>
  <c r="D13" i="63"/>
  <c r="T13" i="63" s="1"/>
  <c r="D13" i="58"/>
  <c r="T13" i="58" s="1"/>
  <c r="D13" i="61"/>
  <c r="T13" i="61" s="1"/>
  <c r="D13" i="57"/>
  <c r="T13" i="57" s="1"/>
  <c r="D13" i="60"/>
  <c r="T13" i="60" s="1"/>
  <c r="D13" i="59"/>
  <c r="T13" i="59" s="1"/>
  <c r="D13" i="55"/>
  <c r="T13" i="55" s="1"/>
  <c r="D13" i="56"/>
  <c r="T13" i="56" s="1"/>
  <c r="D13" i="54"/>
  <c r="T13" i="54" s="1"/>
  <c r="C11" i="52"/>
  <c r="D13" i="53"/>
  <c r="T13" i="53" s="1"/>
  <c r="C11" i="51"/>
  <c r="C11" i="49"/>
  <c r="C11" i="50"/>
  <c r="C19" i="48"/>
  <c r="D21" i="62"/>
  <c r="T21" i="62" s="1"/>
  <c r="I21" i="62" s="1"/>
  <c r="D21" i="64"/>
  <c r="T21" i="64" s="1"/>
  <c r="I21" i="64" s="1"/>
  <c r="D21" i="63"/>
  <c r="T21" i="63" s="1"/>
  <c r="I21" i="63" s="1"/>
  <c r="D21" i="58"/>
  <c r="T21" i="58" s="1"/>
  <c r="I21" i="58" s="1"/>
  <c r="D21" i="61"/>
  <c r="T21" i="61" s="1"/>
  <c r="I21" i="61" s="1"/>
  <c r="D21" i="57"/>
  <c r="T21" i="57" s="1"/>
  <c r="I21" i="57" s="1"/>
  <c r="D21" i="60"/>
  <c r="T21" i="60" s="1"/>
  <c r="I21" i="60" s="1"/>
  <c r="D21" i="55"/>
  <c r="T21" i="55" s="1"/>
  <c r="I21" i="55" s="1"/>
  <c r="D21" i="59"/>
  <c r="T21" i="59" s="1"/>
  <c r="I21" i="59" s="1"/>
  <c r="D21" i="56"/>
  <c r="T21" i="56" s="1"/>
  <c r="I21" i="56" s="1"/>
  <c r="D21" i="54"/>
  <c r="T21" i="54" s="1"/>
  <c r="I21" i="54" s="1"/>
  <c r="C19" i="52"/>
  <c r="D21" i="53"/>
  <c r="T21" i="53" s="1"/>
  <c r="I21" i="53" s="1"/>
  <c r="C19" i="51"/>
  <c r="C19" i="50"/>
  <c r="C19" i="49"/>
  <c r="C27" i="48"/>
  <c r="D29" i="62"/>
  <c r="T29" i="62" s="1"/>
  <c r="I29" i="62" s="1"/>
  <c r="D29" i="64"/>
  <c r="T29" i="64" s="1"/>
  <c r="I29" i="64" s="1"/>
  <c r="D29" i="63"/>
  <c r="T29" i="63" s="1"/>
  <c r="I29" i="63" s="1"/>
  <c r="D29" i="58"/>
  <c r="T29" i="58" s="1"/>
  <c r="I29" i="58" s="1"/>
  <c r="D29" i="61"/>
  <c r="T29" i="61" s="1"/>
  <c r="I29" i="61" s="1"/>
  <c r="D29" i="57"/>
  <c r="T29" i="57" s="1"/>
  <c r="I29" i="57" s="1"/>
  <c r="D29" i="60"/>
  <c r="T29" i="60" s="1"/>
  <c r="I29" i="60" s="1"/>
  <c r="D29" i="55"/>
  <c r="T29" i="55" s="1"/>
  <c r="I29" i="55" s="1"/>
  <c r="D29" i="59"/>
  <c r="T29" i="59" s="1"/>
  <c r="I29" i="59" s="1"/>
  <c r="D29" i="54"/>
  <c r="T29" i="54" s="1"/>
  <c r="I29" i="54" s="1"/>
  <c r="D29" i="56"/>
  <c r="T29" i="56" s="1"/>
  <c r="I29" i="56" s="1"/>
  <c r="C27" i="52"/>
  <c r="D29" i="53"/>
  <c r="T29" i="53" s="1"/>
  <c r="I29" i="53" s="1"/>
  <c r="C27" i="51"/>
  <c r="C27" i="49"/>
  <c r="C27" i="50"/>
  <c r="N14" i="19"/>
  <c r="M36" i="19"/>
  <c r="F36" i="19"/>
  <c r="C12" i="44"/>
  <c r="C12" i="43"/>
  <c r="C12" i="47"/>
  <c r="C20" i="44"/>
  <c r="C20" i="43"/>
  <c r="C20" i="47"/>
  <c r="C28" i="44"/>
  <c r="C28" i="43"/>
  <c r="C28" i="47"/>
  <c r="C11" i="47"/>
  <c r="C11" i="44"/>
  <c r="C11" i="43"/>
  <c r="C19" i="47"/>
  <c r="C19" i="44"/>
  <c r="C19" i="43"/>
  <c r="C27" i="47"/>
  <c r="C27" i="44"/>
  <c r="C27" i="43"/>
  <c r="C10" i="43"/>
  <c r="C10" i="47"/>
  <c r="C10" i="44"/>
  <c r="C18" i="43"/>
  <c r="C18" i="47"/>
  <c r="C18" i="44"/>
  <c r="C26" i="43"/>
  <c r="C26" i="47"/>
  <c r="C26" i="44"/>
  <c r="C9" i="47"/>
  <c r="C9" i="44"/>
  <c r="C9" i="43"/>
  <c r="C17" i="44"/>
  <c r="C17" i="43"/>
  <c r="C17" i="47"/>
  <c r="C25" i="44"/>
  <c r="C25" i="43"/>
  <c r="C25" i="47"/>
  <c r="C33" i="44"/>
  <c r="C33" i="47"/>
  <c r="C33" i="43"/>
  <c r="C16" i="47"/>
  <c r="C16" i="44"/>
  <c r="C16" i="43"/>
  <c r="C24" i="47"/>
  <c r="C24" i="44"/>
  <c r="C24" i="43"/>
  <c r="C32" i="47"/>
  <c r="C32" i="44"/>
  <c r="C32" i="43"/>
  <c r="C15" i="44"/>
  <c r="C15" i="47"/>
  <c r="C15" i="43"/>
  <c r="C23" i="44"/>
  <c r="C23" i="43"/>
  <c r="C23" i="47"/>
  <c r="C31" i="44"/>
  <c r="C31" i="43"/>
  <c r="C31" i="47"/>
  <c r="C14" i="47"/>
  <c r="C14" i="43"/>
  <c r="C14" i="44"/>
  <c r="C22" i="47"/>
  <c r="C22" i="43"/>
  <c r="C22" i="44"/>
  <c r="C30" i="47"/>
  <c r="C30" i="43"/>
  <c r="C30" i="44"/>
  <c r="C13" i="44"/>
  <c r="C13" i="43"/>
  <c r="C13" i="47"/>
  <c r="C21" i="44"/>
  <c r="C21" i="43"/>
  <c r="C21" i="47"/>
  <c r="C29" i="44"/>
  <c r="C29" i="43"/>
  <c r="C29" i="47"/>
  <c r="D30" i="42"/>
  <c r="T30" i="42" s="1"/>
  <c r="I30" i="42" s="1"/>
  <c r="D30" i="41"/>
  <c r="T30" i="41" s="1"/>
  <c r="I30" i="41" s="1"/>
  <c r="D30" i="40"/>
  <c r="T30" i="40" s="1"/>
  <c r="I30" i="40" s="1"/>
  <c r="D30" i="39"/>
  <c r="T30" i="39" s="1"/>
  <c r="I30" i="39" s="1"/>
  <c r="D29" i="40"/>
  <c r="T29" i="40" s="1"/>
  <c r="I29" i="40" s="1"/>
  <c r="D29" i="39"/>
  <c r="T29" i="39" s="1"/>
  <c r="I29" i="39" s="1"/>
  <c r="D29" i="42"/>
  <c r="T29" i="42" s="1"/>
  <c r="I29" i="42" s="1"/>
  <c r="D29" i="41"/>
  <c r="T29" i="41" s="1"/>
  <c r="I29" i="41" s="1"/>
  <c r="D12" i="39"/>
  <c r="T12" i="39" s="1"/>
  <c r="D12" i="42"/>
  <c r="T12" i="42" s="1"/>
  <c r="D12" i="41"/>
  <c r="T12" i="41" s="1"/>
  <c r="D12" i="40"/>
  <c r="T12" i="40" s="1"/>
  <c r="D20" i="39"/>
  <c r="T20" i="39" s="1"/>
  <c r="D20" i="42"/>
  <c r="T20" i="42" s="1"/>
  <c r="D20" i="41"/>
  <c r="T20" i="41" s="1"/>
  <c r="D20" i="40"/>
  <c r="T20" i="40" s="1"/>
  <c r="D28" i="39"/>
  <c r="T28" i="39" s="1"/>
  <c r="I28" i="39" s="1"/>
  <c r="D28" i="42"/>
  <c r="T28" i="42" s="1"/>
  <c r="I28" i="42" s="1"/>
  <c r="D28" i="41"/>
  <c r="T28" i="41" s="1"/>
  <c r="I28" i="41" s="1"/>
  <c r="D28" i="40"/>
  <c r="T28" i="40" s="1"/>
  <c r="I28" i="40" s="1"/>
  <c r="D11" i="41"/>
  <c r="T11" i="41" s="1"/>
  <c r="D11" i="40"/>
  <c r="T11" i="40" s="1"/>
  <c r="D11" i="39"/>
  <c r="T11" i="39" s="1"/>
  <c r="D11" i="42"/>
  <c r="T11" i="42" s="1"/>
  <c r="D19" i="41"/>
  <c r="T19" i="41" s="1"/>
  <c r="D19" i="40"/>
  <c r="T19" i="40" s="1"/>
  <c r="D19" i="39"/>
  <c r="T19" i="39" s="1"/>
  <c r="D19" i="42"/>
  <c r="T19" i="42" s="1"/>
  <c r="D27" i="41"/>
  <c r="T27" i="41" s="1"/>
  <c r="I27" i="41" s="1"/>
  <c r="D27" i="40"/>
  <c r="T27" i="40" s="1"/>
  <c r="I27" i="40" s="1"/>
  <c r="D27" i="39"/>
  <c r="T27" i="39" s="1"/>
  <c r="I27" i="39" s="1"/>
  <c r="D27" i="42"/>
  <c r="T27" i="42" s="1"/>
  <c r="I27" i="42" s="1"/>
  <c r="D35" i="41"/>
  <c r="T35" i="41" s="1"/>
  <c r="I35" i="41" s="1"/>
  <c r="D35" i="40"/>
  <c r="T35" i="40" s="1"/>
  <c r="I35" i="40" s="1"/>
  <c r="D35" i="39"/>
  <c r="T35" i="39" s="1"/>
  <c r="I35" i="39" s="1"/>
  <c r="D35" i="42"/>
  <c r="T35" i="42" s="1"/>
  <c r="I35" i="42" s="1"/>
  <c r="D13" i="40"/>
  <c r="T13" i="40" s="1"/>
  <c r="D13" i="39"/>
  <c r="T13" i="39" s="1"/>
  <c r="D13" i="42"/>
  <c r="T13" i="42" s="1"/>
  <c r="D13" i="41"/>
  <c r="T13" i="41" s="1"/>
  <c r="D18" i="40"/>
  <c r="T18" i="40" s="1"/>
  <c r="D18" i="39"/>
  <c r="T18" i="39" s="1"/>
  <c r="D18" i="42"/>
  <c r="T18" i="42" s="1"/>
  <c r="D18" i="41"/>
  <c r="T18" i="41" s="1"/>
  <c r="D26" i="40"/>
  <c r="T26" i="40" s="1"/>
  <c r="I26" i="40" s="1"/>
  <c r="D26" i="39"/>
  <c r="T26" i="39" s="1"/>
  <c r="I26" i="39" s="1"/>
  <c r="D26" i="42"/>
  <c r="T26" i="42" s="1"/>
  <c r="I26" i="42" s="1"/>
  <c r="D26" i="41"/>
  <c r="T26" i="41" s="1"/>
  <c r="I26" i="41" s="1"/>
  <c r="D34" i="40"/>
  <c r="T34" i="40" s="1"/>
  <c r="I34" i="40" s="1"/>
  <c r="D34" i="39"/>
  <c r="T34" i="39" s="1"/>
  <c r="I34" i="39" s="1"/>
  <c r="D34" i="42"/>
  <c r="T34" i="42" s="1"/>
  <c r="I34" i="42" s="1"/>
  <c r="D34" i="41"/>
  <c r="T34" i="41" s="1"/>
  <c r="I34" i="41" s="1"/>
  <c r="D17" i="42"/>
  <c r="T17" i="42" s="1"/>
  <c r="D17" i="41"/>
  <c r="T17" i="41" s="1"/>
  <c r="D17" i="40"/>
  <c r="T17" i="40" s="1"/>
  <c r="D17" i="39"/>
  <c r="T17" i="39" s="1"/>
  <c r="D25" i="42"/>
  <c r="T25" i="42" s="1"/>
  <c r="I25" i="42" s="1"/>
  <c r="D25" i="41"/>
  <c r="T25" i="41" s="1"/>
  <c r="I25" i="41" s="1"/>
  <c r="D25" i="40"/>
  <c r="T25" i="40" s="1"/>
  <c r="I25" i="40" s="1"/>
  <c r="D25" i="39"/>
  <c r="T25" i="39" s="1"/>
  <c r="I25" i="39" s="1"/>
  <c r="D33" i="42"/>
  <c r="T33" i="42" s="1"/>
  <c r="I33" i="42" s="1"/>
  <c r="D33" i="41"/>
  <c r="T33" i="41" s="1"/>
  <c r="I33" i="41" s="1"/>
  <c r="D33" i="40"/>
  <c r="T33" i="40" s="1"/>
  <c r="I33" i="40" s="1"/>
  <c r="D33" i="39"/>
  <c r="T33" i="39" s="1"/>
  <c r="I33" i="39" s="1"/>
  <c r="D14" i="42"/>
  <c r="T14" i="42" s="1"/>
  <c r="D14" i="41"/>
  <c r="T14" i="41" s="1"/>
  <c r="D14" i="40"/>
  <c r="T14" i="40" s="1"/>
  <c r="D14" i="39"/>
  <c r="T14" i="39" s="1"/>
  <c r="D21" i="40"/>
  <c r="T21" i="40" s="1"/>
  <c r="I21" i="40" s="1"/>
  <c r="D21" i="39"/>
  <c r="T21" i="39" s="1"/>
  <c r="I21" i="39" s="1"/>
  <c r="D21" i="42"/>
  <c r="T21" i="42" s="1"/>
  <c r="I21" i="42" s="1"/>
  <c r="D21" i="41"/>
  <c r="T21" i="41" s="1"/>
  <c r="I21" i="41" s="1"/>
  <c r="D16" i="41"/>
  <c r="T16" i="41" s="1"/>
  <c r="D16" i="40"/>
  <c r="T16" i="40" s="1"/>
  <c r="D16" i="39"/>
  <c r="T16" i="39" s="1"/>
  <c r="D16" i="42"/>
  <c r="T16" i="42" s="1"/>
  <c r="D24" i="41"/>
  <c r="T24" i="41" s="1"/>
  <c r="I24" i="41" s="1"/>
  <c r="D24" i="40"/>
  <c r="T24" i="40" s="1"/>
  <c r="I24" i="40" s="1"/>
  <c r="D24" i="39"/>
  <c r="T24" i="39" s="1"/>
  <c r="I24" i="39" s="1"/>
  <c r="D24" i="42"/>
  <c r="T24" i="42" s="1"/>
  <c r="I24" i="42" s="1"/>
  <c r="D32" i="41"/>
  <c r="T32" i="41" s="1"/>
  <c r="I32" i="41" s="1"/>
  <c r="D32" i="40"/>
  <c r="T32" i="40" s="1"/>
  <c r="I32" i="40" s="1"/>
  <c r="D32" i="39"/>
  <c r="T32" i="39" s="1"/>
  <c r="I32" i="39" s="1"/>
  <c r="D32" i="42"/>
  <c r="T32" i="42" s="1"/>
  <c r="I32" i="42" s="1"/>
  <c r="D22" i="42"/>
  <c r="T22" i="42" s="1"/>
  <c r="I22" i="42" s="1"/>
  <c r="D22" i="41"/>
  <c r="T22" i="41" s="1"/>
  <c r="I22" i="41" s="1"/>
  <c r="D22" i="40"/>
  <c r="T22" i="40" s="1"/>
  <c r="I22" i="40" s="1"/>
  <c r="D22" i="39"/>
  <c r="T22" i="39" s="1"/>
  <c r="I22" i="39" s="1"/>
  <c r="D15" i="39"/>
  <c r="T15" i="39" s="1"/>
  <c r="D15" i="42"/>
  <c r="T15" i="42" s="1"/>
  <c r="D15" i="41"/>
  <c r="T15" i="41" s="1"/>
  <c r="D15" i="40"/>
  <c r="T15" i="40" s="1"/>
  <c r="D23" i="39"/>
  <c r="T23" i="39" s="1"/>
  <c r="I23" i="39" s="1"/>
  <c r="D23" i="42"/>
  <c r="T23" i="42" s="1"/>
  <c r="I23" i="42" s="1"/>
  <c r="D23" i="41"/>
  <c r="T23" i="41" s="1"/>
  <c r="I23" i="41" s="1"/>
  <c r="D23" i="40"/>
  <c r="T23" i="40" s="1"/>
  <c r="I23" i="40" s="1"/>
  <c r="D31" i="39"/>
  <c r="T31" i="39" s="1"/>
  <c r="I31" i="39" s="1"/>
  <c r="D31" i="42"/>
  <c r="T31" i="42" s="1"/>
  <c r="I31" i="42" s="1"/>
  <c r="D31" i="41"/>
  <c r="T31" i="41" s="1"/>
  <c r="I31" i="41" s="1"/>
  <c r="D31" i="40"/>
  <c r="T31" i="40" s="1"/>
  <c r="I31" i="40" s="1"/>
  <c r="D30" i="38"/>
  <c r="T30" i="38" s="1"/>
  <c r="I30" i="38" s="1"/>
  <c r="D30" i="37"/>
  <c r="T30" i="37" s="1"/>
  <c r="I30" i="37" s="1"/>
  <c r="D30" i="36"/>
  <c r="T30" i="36" s="1"/>
  <c r="I30" i="36" s="1"/>
  <c r="D30" i="35"/>
  <c r="T30" i="35" s="1"/>
  <c r="I30" i="35" s="1"/>
  <c r="D13" i="36"/>
  <c r="T13" i="36" s="1"/>
  <c r="D13" i="35"/>
  <c r="T13" i="35" s="1"/>
  <c r="D13" i="37"/>
  <c r="T13" i="37" s="1"/>
  <c r="D13" i="38"/>
  <c r="T13" i="38" s="1"/>
  <c r="D21" i="36"/>
  <c r="T21" i="36" s="1"/>
  <c r="I21" i="36" s="1"/>
  <c r="D21" i="35"/>
  <c r="T21" i="35" s="1"/>
  <c r="I21" i="35" s="1"/>
  <c r="D21" i="38"/>
  <c r="T21" i="38" s="1"/>
  <c r="I21" i="38" s="1"/>
  <c r="D21" i="37"/>
  <c r="T21" i="37" s="1"/>
  <c r="I21" i="37" s="1"/>
  <c r="D29" i="38"/>
  <c r="T29" i="38" s="1"/>
  <c r="I29" i="38" s="1"/>
  <c r="D29" i="36"/>
  <c r="T29" i="36" s="1"/>
  <c r="I29" i="36" s="1"/>
  <c r="D29" i="35"/>
  <c r="T29" i="35" s="1"/>
  <c r="I29" i="35" s="1"/>
  <c r="D29" i="37"/>
  <c r="T29" i="37" s="1"/>
  <c r="I29" i="37" s="1"/>
  <c r="D12" i="35"/>
  <c r="T12" i="35" s="1"/>
  <c r="D12" i="38"/>
  <c r="T12" i="38" s="1"/>
  <c r="D12" i="37"/>
  <c r="T12" i="37" s="1"/>
  <c r="D12" i="36"/>
  <c r="T12" i="36" s="1"/>
  <c r="D20" i="35"/>
  <c r="T20" i="35" s="1"/>
  <c r="D20" i="38"/>
  <c r="T20" i="38" s="1"/>
  <c r="D20" i="37"/>
  <c r="T20" i="37" s="1"/>
  <c r="D20" i="36"/>
  <c r="T20" i="36" s="1"/>
  <c r="D28" i="35"/>
  <c r="T28" i="35" s="1"/>
  <c r="I28" i="35" s="1"/>
  <c r="D28" i="38"/>
  <c r="T28" i="38" s="1"/>
  <c r="I28" i="38" s="1"/>
  <c r="D28" i="37"/>
  <c r="T28" i="37" s="1"/>
  <c r="I28" i="37" s="1"/>
  <c r="D28" i="36"/>
  <c r="T28" i="36" s="1"/>
  <c r="I28" i="36" s="1"/>
  <c r="D11" i="37"/>
  <c r="T11" i="37" s="1"/>
  <c r="D11" i="36"/>
  <c r="T11" i="36" s="1"/>
  <c r="D11" i="38"/>
  <c r="T11" i="38" s="1"/>
  <c r="D11" i="35"/>
  <c r="T11" i="35" s="1"/>
  <c r="D19" i="37"/>
  <c r="T19" i="37" s="1"/>
  <c r="D19" i="36"/>
  <c r="T19" i="36" s="1"/>
  <c r="D19" i="35"/>
  <c r="T19" i="35" s="1"/>
  <c r="D19" i="38"/>
  <c r="T19" i="38" s="1"/>
  <c r="D27" i="37"/>
  <c r="T27" i="37" s="1"/>
  <c r="I27" i="37" s="1"/>
  <c r="D27" i="36"/>
  <c r="T27" i="36" s="1"/>
  <c r="I27" i="36" s="1"/>
  <c r="D27" i="38"/>
  <c r="T27" i="38" s="1"/>
  <c r="I27" i="38" s="1"/>
  <c r="D27" i="35"/>
  <c r="T27" i="35" s="1"/>
  <c r="I27" i="35" s="1"/>
  <c r="D35" i="37"/>
  <c r="T35" i="37" s="1"/>
  <c r="I35" i="37" s="1"/>
  <c r="D35" i="36"/>
  <c r="T35" i="36" s="1"/>
  <c r="I35" i="36" s="1"/>
  <c r="D35" i="38"/>
  <c r="T35" i="38" s="1"/>
  <c r="I35" i="38" s="1"/>
  <c r="D35" i="35"/>
  <c r="T35" i="35" s="1"/>
  <c r="I35" i="35" s="1"/>
  <c r="D18" i="36"/>
  <c r="T18" i="36" s="1"/>
  <c r="D18" i="35"/>
  <c r="T18" i="35" s="1"/>
  <c r="D18" i="38"/>
  <c r="T18" i="38" s="1"/>
  <c r="D18" i="37"/>
  <c r="T18" i="37" s="1"/>
  <c r="D26" i="36"/>
  <c r="T26" i="36" s="1"/>
  <c r="I26" i="36" s="1"/>
  <c r="D26" i="35"/>
  <c r="T26" i="35" s="1"/>
  <c r="I26" i="35" s="1"/>
  <c r="D26" i="38"/>
  <c r="T26" i="38" s="1"/>
  <c r="I26" i="38" s="1"/>
  <c r="D26" i="37"/>
  <c r="T26" i="37" s="1"/>
  <c r="I26" i="37" s="1"/>
  <c r="D34" i="36"/>
  <c r="T34" i="36" s="1"/>
  <c r="I34" i="36" s="1"/>
  <c r="D34" i="35"/>
  <c r="T34" i="35" s="1"/>
  <c r="I34" i="35" s="1"/>
  <c r="D34" i="38"/>
  <c r="T34" i="38" s="1"/>
  <c r="I34" i="38" s="1"/>
  <c r="D34" i="37"/>
  <c r="T34" i="37" s="1"/>
  <c r="I34" i="37" s="1"/>
  <c r="D17" i="38"/>
  <c r="T17" i="38" s="1"/>
  <c r="D17" i="37"/>
  <c r="T17" i="37" s="1"/>
  <c r="D17" i="35"/>
  <c r="T17" i="35" s="1"/>
  <c r="D17" i="36"/>
  <c r="T17" i="36" s="1"/>
  <c r="D25" i="38"/>
  <c r="T25" i="38" s="1"/>
  <c r="I25" i="38" s="1"/>
  <c r="D25" i="37"/>
  <c r="T25" i="37" s="1"/>
  <c r="I25" i="37" s="1"/>
  <c r="D25" i="36"/>
  <c r="T25" i="36" s="1"/>
  <c r="I25" i="36" s="1"/>
  <c r="D25" i="35"/>
  <c r="T25" i="35" s="1"/>
  <c r="I25" i="35" s="1"/>
  <c r="D33" i="38"/>
  <c r="T33" i="38" s="1"/>
  <c r="I33" i="38" s="1"/>
  <c r="D33" i="37"/>
  <c r="T33" i="37" s="1"/>
  <c r="I33" i="37" s="1"/>
  <c r="D33" i="35"/>
  <c r="T33" i="35" s="1"/>
  <c r="I33" i="35" s="1"/>
  <c r="D33" i="36"/>
  <c r="T33" i="36" s="1"/>
  <c r="I33" i="36" s="1"/>
  <c r="D22" i="38"/>
  <c r="T22" i="38" s="1"/>
  <c r="I22" i="38" s="1"/>
  <c r="D22" i="37"/>
  <c r="T22" i="37" s="1"/>
  <c r="I22" i="37" s="1"/>
  <c r="D22" i="36"/>
  <c r="T22" i="36" s="1"/>
  <c r="I22" i="36" s="1"/>
  <c r="D22" i="35"/>
  <c r="T22" i="35" s="1"/>
  <c r="I22" i="35" s="1"/>
  <c r="D16" i="37"/>
  <c r="T16" i="37" s="1"/>
  <c r="D16" i="36"/>
  <c r="T16" i="36" s="1"/>
  <c r="D16" i="35"/>
  <c r="T16" i="35" s="1"/>
  <c r="D16" i="38"/>
  <c r="T16" i="38" s="1"/>
  <c r="D24" i="37"/>
  <c r="T24" i="37" s="1"/>
  <c r="I24" i="37" s="1"/>
  <c r="D24" i="36"/>
  <c r="T24" i="36" s="1"/>
  <c r="I24" i="36" s="1"/>
  <c r="D24" i="35"/>
  <c r="T24" i="35" s="1"/>
  <c r="I24" i="35" s="1"/>
  <c r="D24" i="38"/>
  <c r="T24" i="38" s="1"/>
  <c r="I24" i="38" s="1"/>
  <c r="D32" i="37"/>
  <c r="T32" i="37" s="1"/>
  <c r="I32" i="37" s="1"/>
  <c r="D32" i="36"/>
  <c r="T32" i="36" s="1"/>
  <c r="I32" i="36" s="1"/>
  <c r="D32" i="35"/>
  <c r="T32" i="35" s="1"/>
  <c r="I32" i="35" s="1"/>
  <c r="D32" i="38"/>
  <c r="T32" i="38" s="1"/>
  <c r="I32" i="38" s="1"/>
  <c r="D14" i="38"/>
  <c r="T14" i="38" s="1"/>
  <c r="D14" i="37"/>
  <c r="T14" i="37" s="1"/>
  <c r="D14" i="36"/>
  <c r="T14" i="36" s="1"/>
  <c r="D14" i="35"/>
  <c r="T14" i="35" s="1"/>
  <c r="D15" i="35"/>
  <c r="T15" i="35" s="1"/>
  <c r="D15" i="38"/>
  <c r="T15" i="38" s="1"/>
  <c r="D15" i="37"/>
  <c r="T15" i="37" s="1"/>
  <c r="D15" i="36"/>
  <c r="T15" i="36" s="1"/>
  <c r="D23" i="35"/>
  <c r="T23" i="35" s="1"/>
  <c r="I23" i="35" s="1"/>
  <c r="D23" i="38"/>
  <c r="T23" i="38" s="1"/>
  <c r="I23" i="38" s="1"/>
  <c r="D23" i="37"/>
  <c r="T23" i="37" s="1"/>
  <c r="I23" i="37" s="1"/>
  <c r="D23" i="36"/>
  <c r="T23" i="36" s="1"/>
  <c r="I23" i="36" s="1"/>
  <c r="D31" i="35"/>
  <c r="T31" i="35" s="1"/>
  <c r="I31" i="35" s="1"/>
  <c r="D31" i="38"/>
  <c r="T31" i="38" s="1"/>
  <c r="I31" i="38" s="1"/>
  <c r="D31" i="36"/>
  <c r="T31" i="36" s="1"/>
  <c r="I31" i="36" s="1"/>
  <c r="D31" i="37"/>
  <c r="T31" i="37" s="1"/>
  <c r="I31" i="37" s="1"/>
  <c r="D14" i="19"/>
  <c r="T14" i="19" s="1"/>
  <c r="D14" i="34"/>
  <c r="T14" i="34" s="1"/>
  <c r="D14" i="33"/>
  <c r="T14" i="33" s="1"/>
  <c r="D22" i="34"/>
  <c r="T22" i="34" s="1"/>
  <c r="I22" i="34" s="1"/>
  <c r="D22" i="33"/>
  <c r="T22" i="33" s="1"/>
  <c r="I22" i="33" s="1"/>
  <c r="D13" i="34"/>
  <c r="T13" i="34" s="1"/>
  <c r="D13" i="33"/>
  <c r="T13" i="33" s="1"/>
  <c r="D21" i="34"/>
  <c r="T21" i="34" s="1"/>
  <c r="I21" i="34" s="1"/>
  <c r="D21" i="33"/>
  <c r="T21" i="33" s="1"/>
  <c r="I21" i="33" s="1"/>
  <c r="D29" i="34"/>
  <c r="T29" i="34" s="1"/>
  <c r="I29" i="34" s="1"/>
  <c r="D29" i="33"/>
  <c r="T29" i="33" s="1"/>
  <c r="I29" i="33" s="1"/>
  <c r="D12" i="34"/>
  <c r="T12" i="34" s="1"/>
  <c r="D12" i="33"/>
  <c r="T12" i="33" s="1"/>
  <c r="D20" i="34"/>
  <c r="T20" i="34" s="1"/>
  <c r="D20" i="33"/>
  <c r="T20" i="33" s="1"/>
  <c r="D28" i="34"/>
  <c r="T28" i="34" s="1"/>
  <c r="I28" i="34" s="1"/>
  <c r="D28" i="33"/>
  <c r="T28" i="33" s="1"/>
  <c r="I28" i="33" s="1"/>
  <c r="D11" i="33"/>
  <c r="T11" i="33" s="1"/>
  <c r="D11" i="34"/>
  <c r="T11" i="34" s="1"/>
  <c r="D19" i="33"/>
  <c r="T19" i="33" s="1"/>
  <c r="D19" i="34"/>
  <c r="T19" i="34" s="1"/>
  <c r="D27" i="33"/>
  <c r="T27" i="33" s="1"/>
  <c r="I27" i="33" s="1"/>
  <c r="D27" i="34"/>
  <c r="T27" i="34" s="1"/>
  <c r="I27" i="34" s="1"/>
  <c r="D35" i="33"/>
  <c r="T35" i="33" s="1"/>
  <c r="I35" i="33" s="1"/>
  <c r="D35" i="34"/>
  <c r="T35" i="34" s="1"/>
  <c r="I35" i="34" s="1"/>
  <c r="D30" i="19"/>
  <c r="T30" i="19" s="1"/>
  <c r="I30" i="19" s="1"/>
  <c r="D30" i="34"/>
  <c r="T30" i="34" s="1"/>
  <c r="I30" i="34" s="1"/>
  <c r="D30" i="33"/>
  <c r="T30" i="33" s="1"/>
  <c r="I30" i="33" s="1"/>
  <c r="D18" i="34"/>
  <c r="T18" i="34" s="1"/>
  <c r="D18" i="33"/>
  <c r="T18" i="33" s="1"/>
  <c r="D26" i="34"/>
  <c r="T26" i="34" s="1"/>
  <c r="I26" i="34" s="1"/>
  <c r="D26" i="33"/>
  <c r="T26" i="33" s="1"/>
  <c r="I26" i="33" s="1"/>
  <c r="D34" i="34"/>
  <c r="T34" i="34" s="1"/>
  <c r="I34" i="34" s="1"/>
  <c r="D34" i="33"/>
  <c r="T34" i="33" s="1"/>
  <c r="I34" i="33" s="1"/>
  <c r="D17" i="34"/>
  <c r="T17" i="34" s="1"/>
  <c r="D17" i="33"/>
  <c r="T17" i="33" s="1"/>
  <c r="D25" i="34"/>
  <c r="T25" i="34" s="1"/>
  <c r="I25" i="34" s="1"/>
  <c r="D25" i="33"/>
  <c r="T25" i="33" s="1"/>
  <c r="I25" i="33" s="1"/>
  <c r="D33" i="19"/>
  <c r="T33" i="19" s="1"/>
  <c r="I33" i="19" s="1"/>
  <c r="D33" i="34"/>
  <c r="T33" i="34" s="1"/>
  <c r="I33" i="34" s="1"/>
  <c r="D33" i="33"/>
  <c r="T33" i="33" s="1"/>
  <c r="I33" i="33" s="1"/>
  <c r="D16" i="33"/>
  <c r="T16" i="33" s="1"/>
  <c r="D16" i="34"/>
  <c r="T16" i="34" s="1"/>
  <c r="D24" i="33"/>
  <c r="T24" i="33" s="1"/>
  <c r="I24" i="33" s="1"/>
  <c r="D24" i="34"/>
  <c r="T24" i="34" s="1"/>
  <c r="I24" i="34" s="1"/>
  <c r="D32" i="33"/>
  <c r="T32" i="33" s="1"/>
  <c r="I32" i="33" s="1"/>
  <c r="D32" i="34"/>
  <c r="T32" i="34" s="1"/>
  <c r="I32" i="34" s="1"/>
  <c r="D15" i="34"/>
  <c r="T15" i="34" s="1"/>
  <c r="D15" i="33"/>
  <c r="T15" i="33" s="1"/>
  <c r="D23" i="19"/>
  <c r="T23" i="19" s="1"/>
  <c r="I23" i="19" s="1"/>
  <c r="D23" i="34"/>
  <c r="T23" i="34" s="1"/>
  <c r="I23" i="34" s="1"/>
  <c r="D23" i="33"/>
  <c r="T23" i="33" s="1"/>
  <c r="I23" i="33" s="1"/>
  <c r="D31" i="19"/>
  <c r="T31" i="19" s="1"/>
  <c r="I31" i="19" s="1"/>
  <c r="D31" i="34"/>
  <c r="T31" i="34" s="1"/>
  <c r="I31" i="34" s="1"/>
  <c r="D31" i="33"/>
  <c r="T31" i="33" s="1"/>
  <c r="I31" i="33" s="1"/>
  <c r="E11" i="14"/>
  <c r="D12" i="32"/>
  <c r="T12" i="32" s="1"/>
  <c r="E19" i="14"/>
  <c r="D20" i="32"/>
  <c r="T20" i="32" s="1"/>
  <c r="E27" i="14"/>
  <c r="D28" i="32"/>
  <c r="T28" i="32" s="1"/>
  <c r="I28" i="32" s="1"/>
  <c r="D11" i="19"/>
  <c r="T11" i="19" s="1"/>
  <c r="I11" i="19" s="1"/>
  <c r="D11" i="32"/>
  <c r="T11" i="32" s="1"/>
  <c r="E18" i="14"/>
  <c r="D19" i="32"/>
  <c r="T19" i="32" s="1"/>
  <c r="E26" i="14"/>
  <c r="D27" i="32"/>
  <c r="T27" i="32" s="1"/>
  <c r="I27" i="32" s="1"/>
  <c r="E34" i="14"/>
  <c r="D35" i="32"/>
  <c r="T35" i="32" s="1"/>
  <c r="I35" i="32" s="1"/>
  <c r="E17" i="14"/>
  <c r="D18" i="32"/>
  <c r="T18" i="32" s="1"/>
  <c r="E25" i="14"/>
  <c r="D26" i="32"/>
  <c r="T26" i="32" s="1"/>
  <c r="I26" i="32" s="1"/>
  <c r="E33" i="14"/>
  <c r="D34" i="32"/>
  <c r="T34" i="32" s="1"/>
  <c r="I34" i="32" s="1"/>
  <c r="E16" i="14"/>
  <c r="D17" i="32"/>
  <c r="T17" i="32" s="1"/>
  <c r="E24" i="14"/>
  <c r="D25" i="32"/>
  <c r="T25" i="32" s="1"/>
  <c r="I25" i="32" s="1"/>
  <c r="E32" i="14"/>
  <c r="D33" i="32"/>
  <c r="T33" i="32" s="1"/>
  <c r="I33" i="32" s="1"/>
  <c r="D25" i="19"/>
  <c r="T25" i="19" s="1"/>
  <c r="I25" i="19" s="1"/>
  <c r="E15" i="14"/>
  <c r="D16" i="32"/>
  <c r="T16" i="32" s="1"/>
  <c r="E23" i="14"/>
  <c r="D24" i="32"/>
  <c r="T24" i="32" s="1"/>
  <c r="I24" i="32" s="1"/>
  <c r="E31" i="14"/>
  <c r="D32" i="32"/>
  <c r="T32" i="32" s="1"/>
  <c r="I32" i="32" s="1"/>
  <c r="E14" i="14"/>
  <c r="D15" i="32"/>
  <c r="T15" i="32" s="1"/>
  <c r="E22" i="14"/>
  <c r="D23" i="32"/>
  <c r="T23" i="32" s="1"/>
  <c r="I23" i="32" s="1"/>
  <c r="E30" i="14"/>
  <c r="D31" i="32"/>
  <c r="T31" i="32" s="1"/>
  <c r="I31" i="32" s="1"/>
  <c r="D15" i="19"/>
  <c r="T15" i="19" s="1"/>
  <c r="I15" i="19" s="1"/>
  <c r="D17" i="19"/>
  <c r="T17" i="19" s="1"/>
  <c r="E13" i="14"/>
  <c r="D14" i="32"/>
  <c r="T14" i="32" s="1"/>
  <c r="E21" i="14"/>
  <c r="D22" i="32"/>
  <c r="T22" i="32" s="1"/>
  <c r="I22" i="32" s="1"/>
  <c r="E29" i="14"/>
  <c r="D30" i="32"/>
  <c r="T30" i="32" s="1"/>
  <c r="I30" i="32" s="1"/>
  <c r="E12" i="14"/>
  <c r="D13" i="32"/>
  <c r="T13" i="32" s="1"/>
  <c r="E20" i="14"/>
  <c r="D21" i="32"/>
  <c r="T21" i="32" s="1"/>
  <c r="I21" i="32" s="1"/>
  <c r="E28" i="14"/>
  <c r="D29" i="32"/>
  <c r="T29" i="32" s="1"/>
  <c r="I29" i="32" s="1"/>
  <c r="D22" i="19"/>
  <c r="T22" i="19" s="1"/>
  <c r="I22" i="19" s="1"/>
  <c r="D19" i="19"/>
  <c r="T19" i="19" s="1"/>
  <c r="I19" i="19" s="1"/>
  <c r="D27" i="19"/>
  <c r="T27" i="19" s="1"/>
  <c r="I27" i="19" s="1"/>
  <c r="D35" i="19"/>
  <c r="T35" i="19" s="1"/>
  <c r="I35" i="19" s="1"/>
  <c r="D28" i="19"/>
  <c r="T28" i="19" s="1"/>
  <c r="I28" i="19" s="1"/>
  <c r="D16" i="19"/>
  <c r="T16" i="19" s="1"/>
  <c r="I16" i="19" s="1"/>
  <c r="D24" i="19"/>
  <c r="T24" i="19" s="1"/>
  <c r="I24" i="19" s="1"/>
  <c r="D32" i="19"/>
  <c r="T32" i="19" s="1"/>
  <c r="I32" i="19" s="1"/>
  <c r="D13" i="19"/>
  <c r="T13" i="19" s="1"/>
  <c r="I13" i="19" s="1"/>
  <c r="D21" i="19"/>
  <c r="T21" i="19" s="1"/>
  <c r="I21" i="19" s="1"/>
  <c r="D29" i="19"/>
  <c r="T29" i="19" s="1"/>
  <c r="I29" i="19" s="1"/>
  <c r="D12" i="19"/>
  <c r="T12" i="19" s="1"/>
  <c r="D20" i="19"/>
  <c r="T20" i="19" s="1"/>
  <c r="D18" i="19"/>
  <c r="T18" i="19" s="1"/>
  <c r="I18" i="19" s="1"/>
  <c r="D26" i="19"/>
  <c r="T26" i="19" s="1"/>
  <c r="I26" i="19" s="1"/>
  <c r="D34" i="19"/>
  <c r="T34" i="19" s="1"/>
  <c r="I34" i="19" s="1"/>
  <c r="E10" i="14"/>
  <c r="G35" i="14"/>
  <c r="S129" i="14" s="1" a="1"/>
  <c r="S129" i="14" s="1"/>
  <c r="I35" i="14"/>
  <c r="U433" i="14" s="1" a="1"/>
  <c r="U433" i="14" s="1"/>
  <c r="K35" i="14"/>
  <c r="W406" i="14" s="1" a="1"/>
  <c r="W406" i="14" s="1"/>
  <c r="V15" i="8"/>
  <c r="E10" i="10"/>
  <c r="V26" i="8"/>
  <c r="V13" i="8"/>
  <c r="V14" i="8"/>
  <c r="V29" i="8"/>
  <c r="E7" i="10"/>
  <c r="E8" i="10"/>
  <c r="E12" i="10"/>
  <c r="AB73" i="8"/>
  <c r="AD73" i="8"/>
  <c r="AD111" i="8"/>
  <c r="S7" i="8"/>
  <c r="S9" i="8"/>
  <c r="V8" i="8"/>
  <c r="V28" i="8"/>
  <c r="V21" i="8"/>
  <c r="V22" i="8"/>
  <c r="V10" i="8"/>
  <c r="V16" i="8"/>
  <c r="V30" i="8"/>
  <c r="V17" i="8"/>
  <c r="S16" i="8"/>
  <c r="V7" i="8"/>
  <c r="V18" i="8"/>
  <c r="S30" i="8"/>
  <c r="AC13" i="9"/>
  <c r="AA13" i="9" s="1"/>
  <c r="AC32" i="9"/>
  <c r="AA32" i="9" s="1"/>
  <c r="Z26" i="9"/>
  <c r="AB26" i="9" s="1"/>
  <c r="AC15" i="9"/>
  <c r="AA15" i="9" s="1"/>
  <c r="T20" i="9"/>
  <c r="V20" i="9" s="1"/>
  <c r="AC18" i="9"/>
  <c r="AA18" i="9" s="1"/>
  <c r="AC14" i="9"/>
  <c r="AA14" i="9" s="1"/>
  <c r="AC16" i="9"/>
  <c r="AA16" i="9" s="1"/>
  <c r="Z20" i="9"/>
  <c r="AB20" i="9" s="1"/>
  <c r="W13" i="9"/>
  <c r="U13" i="9" s="1"/>
  <c r="T19" i="9"/>
  <c r="V19" i="9" s="1"/>
  <c r="Z23" i="9"/>
  <c r="AB23" i="9" s="1"/>
  <c r="AC20" i="9"/>
  <c r="AA20" i="9" s="1"/>
  <c r="Z22" i="9"/>
  <c r="AB22" i="9" s="1"/>
  <c r="Z25" i="9"/>
  <c r="AB25" i="9" s="1"/>
  <c r="Z31" i="9"/>
  <c r="AB31" i="9" s="1"/>
  <c r="AC17" i="9"/>
  <c r="AA17" i="9" s="1"/>
  <c r="AC22" i="9"/>
  <c r="AA22" i="9" s="1"/>
  <c r="AC25" i="9"/>
  <c r="AA25" i="9" s="1"/>
  <c r="Z27" i="9"/>
  <c r="AB27" i="9" s="1"/>
  <c r="T30" i="9"/>
  <c r="V30" i="9" s="1"/>
  <c r="AC31" i="9"/>
  <c r="AA31" i="9" s="1"/>
  <c r="T14" i="9"/>
  <c r="V14" i="9" s="1"/>
  <c r="AC19" i="9"/>
  <c r="AA19" i="9" s="1"/>
  <c r="Z24" i="9"/>
  <c r="AB24" i="9" s="1"/>
  <c r="T33" i="9"/>
  <c r="V33" i="9" s="1"/>
  <c r="W16" i="9"/>
  <c r="U16" i="9" s="1"/>
  <c r="Z21" i="9"/>
  <c r="AB21" i="9" s="1"/>
  <c r="AC24" i="9"/>
  <c r="AA24" i="9" s="1"/>
  <c r="T28" i="9"/>
  <c r="V28" i="9" s="1"/>
  <c r="AC30" i="9"/>
  <c r="AA30" i="9" s="1"/>
  <c r="T32" i="9"/>
  <c r="V32" i="9" s="1"/>
  <c r="AC23" i="9"/>
  <c r="AA23" i="9" s="1"/>
  <c r="AC28" i="9"/>
  <c r="AA28" i="9" s="1"/>
  <c r="Z32" i="9"/>
  <c r="AB32" i="9" s="1"/>
  <c r="T13" i="9"/>
  <c r="V13" i="9" s="1"/>
  <c r="T15" i="9"/>
  <c r="V15" i="9" s="1"/>
  <c r="T16" i="9"/>
  <c r="V16" i="9" s="1"/>
  <c r="T17" i="9"/>
  <c r="V17" i="9" s="1"/>
  <c r="T18" i="9"/>
  <c r="V18" i="9" s="1"/>
  <c r="AC21" i="9"/>
  <c r="AA21" i="9" s="1"/>
  <c r="AC26" i="9"/>
  <c r="AA26" i="9" s="1"/>
  <c r="W14" i="9"/>
  <c r="U14" i="9" s="1"/>
  <c r="W15" i="9"/>
  <c r="U15" i="9" s="1"/>
  <c r="W17" i="9"/>
  <c r="U17" i="9" s="1"/>
  <c r="W18" i="9"/>
  <c r="U18" i="9" s="1"/>
  <c r="W19" i="9"/>
  <c r="U19" i="9" s="1"/>
  <c r="T21" i="9"/>
  <c r="V21" i="9" s="1"/>
  <c r="T23" i="9"/>
  <c r="V23" i="9" s="1"/>
  <c r="T24" i="9"/>
  <c r="V24" i="9" s="1"/>
  <c r="T25" i="9"/>
  <c r="V25" i="9" s="1"/>
  <c r="T26" i="9"/>
  <c r="V26" i="9" s="1"/>
  <c r="W30" i="9"/>
  <c r="U30" i="9" s="1"/>
  <c r="T31" i="9"/>
  <c r="V31" i="9" s="1"/>
  <c r="W33" i="9"/>
  <c r="U33" i="9" s="1"/>
  <c r="Z13" i="9"/>
  <c r="AB13" i="9" s="1"/>
  <c r="Z16" i="9"/>
  <c r="AB16" i="9" s="1"/>
  <c r="W21" i="9"/>
  <c r="U21" i="9" s="1"/>
  <c r="T22" i="9"/>
  <c r="V22" i="9" s="1"/>
  <c r="W24" i="9"/>
  <c r="U24" i="9" s="1"/>
  <c r="T27" i="9"/>
  <c r="V27" i="9" s="1"/>
  <c r="W31" i="9"/>
  <c r="U31" i="9" s="1"/>
  <c r="W32" i="9"/>
  <c r="U32" i="9" s="1"/>
  <c r="Z14" i="9"/>
  <c r="AB14" i="9" s="1"/>
  <c r="Z15" i="9"/>
  <c r="AB15" i="9" s="1"/>
  <c r="Z17" i="9"/>
  <c r="AB17" i="9" s="1"/>
  <c r="Z18" i="9"/>
  <c r="AB18" i="9" s="1"/>
  <c r="Z19" i="9"/>
  <c r="AB19" i="9" s="1"/>
  <c r="W20" i="9"/>
  <c r="U20" i="9" s="1"/>
  <c r="W22" i="9"/>
  <c r="U22" i="9" s="1"/>
  <c r="W23" i="9"/>
  <c r="U23" i="9" s="1"/>
  <c r="W25" i="9"/>
  <c r="U25" i="9" s="1"/>
  <c r="W26" i="9"/>
  <c r="U26" i="9" s="1"/>
  <c r="W27" i="9"/>
  <c r="U27" i="9" s="1"/>
  <c r="W28" i="9"/>
  <c r="U28" i="9" s="1"/>
  <c r="Z30" i="9"/>
  <c r="AB30" i="9" s="1"/>
  <c r="Z33" i="9"/>
  <c r="AB33" i="9" s="1"/>
  <c r="S13" i="8"/>
  <c r="V25" i="8"/>
  <c r="AG433" i="8" a="1"/>
  <c r="AG433" i="8" s="1"/>
  <c r="AG434" i="8" a="1"/>
  <c r="AG434" i="8" s="1"/>
  <c r="AG432" i="8" a="1"/>
  <c r="AG432" i="8" s="1"/>
  <c r="AG319" i="8" a="1"/>
  <c r="AG319" i="8" s="1"/>
  <c r="AG320" i="8" a="1"/>
  <c r="AG320" i="8" s="1"/>
  <c r="AG318" i="8" a="1"/>
  <c r="AG318" i="8" s="1"/>
  <c r="S17" i="8"/>
  <c r="S18" i="8"/>
  <c r="S26" i="8"/>
  <c r="V27" i="8"/>
  <c r="S29" i="8"/>
  <c r="S11" i="8"/>
  <c r="S12" i="8"/>
  <c r="S24" i="8"/>
  <c r="S15" i="8"/>
  <c r="S8" i="8"/>
  <c r="S14" i="8"/>
  <c r="AF434" i="8" a="1"/>
  <c r="AF434" i="8" s="1"/>
  <c r="AF432" i="8" a="1"/>
  <c r="AF432" i="8" s="1"/>
  <c r="AF433" i="8" a="1"/>
  <c r="AF433" i="8" s="1"/>
  <c r="AF320" i="8" a="1"/>
  <c r="AF320" i="8" s="1"/>
  <c r="AF319" i="8" a="1"/>
  <c r="AF319" i="8" s="1"/>
  <c r="AF318" i="8" a="1"/>
  <c r="AF318" i="8" s="1"/>
  <c r="AF146" i="8" a="1"/>
  <c r="AF146" i="8" s="1"/>
  <c r="AF135" i="8" a="1"/>
  <c r="AF135" i="8" s="1"/>
  <c r="AF129" i="8" a="1"/>
  <c r="AF129" i="8" s="1"/>
  <c r="AF124" i="8" a="1"/>
  <c r="AF124" i="8" s="1"/>
  <c r="AF122" i="8" a="1"/>
  <c r="AF122" i="8" s="1"/>
  <c r="AF205" i="8" a="1"/>
  <c r="AF205" i="8" s="1"/>
  <c r="AF158" i="8" a="1"/>
  <c r="AF158" i="8" s="1"/>
  <c r="AF144" i="8" a="1"/>
  <c r="AF144" i="8" s="1"/>
  <c r="AF141" i="8" a="1"/>
  <c r="AF141" i="8" s="1"/>
  <c r="AF121" i="8" a="1"/>
  <c r="AF121" i="8" s="1"/>
  <c r="AF120" i="8" a="1"/>
  <c r="AF120" i="8" s="1"/>
  <c r="S10" i="8"/>
  <c r="S22" i="8"/>
  <c r="S25" i="8"/>
  <c r="AC431" i="8" a="1"/>
  <c r="AC431" i="8" s="1"/>
  <c r="AE430" i="8" a="1"/>
  <c r="AE430" i="8" s="1"/>
  <c r="AC429" i="8" a="1"/>
  <c r="AC429" i="8" s="1"/>
  <c r="AF426" i="8" a="1"/>
  <c r="AF426" i="8" s="1"/>
  <c r="AF424" i="8" a="1"/>
  <c r="AF424" i="8" s="1"/>
  <c r="AG418" i="8" a="1"/>
  <c r="AG418" i="8" s="1"/>
  <c r="AE417" i="8" a="1"/>
  <c r="AE417" i="8" s="1"/>
  <c r="AG416" i="8" a="1"/>
  <c r="AG416" i="8" s="1"/>
  <c r="AE415" i="8" a="1"/>
  <c r="AE415" i="8" s="1"/>
  <c r="AC414" i="8" a="1"/>
  <c r="AC414" i="8" s="1"/>
  <c r="AC412" i="8" a="1"/>
  <c r="AC412" i="8" s="1"/>
  <c r="AF409" i="8" a="1"/>
  <c r="AF409" i="8" s="1"/>
  <c r="AF407" i="8" a="1"/>
  <c r="AF407" i="8" s="1"/>
  <c r="AG403" i="8" a="1"/>
  <c r="AG403" i="8" s="1"/>
  <c r="AG401" i="8" a="1"/>
  <c r="AG401" i="8" s="1"/>
  <c r="AG431" i="8" a="1"/>
  <c r="AG431" i="8" s="1"/>
  <c r="AG429" i="8" a="1"/>
  <c r="AG429" i="8" s="1"/>
  <c r="AE428" i="8" a="1"/>
  <c r="AE428" i="8" s="1"/>
  <c r="AC427" i="8" a="1"/>
  <c r="AC427" i="8" s="1"/>
  <c r="AE426" i="8" a="1"/>
  <c r="AE426" i="8" s="1"/>
  <c r="AC425" i="8" a="1"/>
  <c r="AC425" i="8" s="1"/>
  <c r="AF422" i="8" a="1"/>
  <c r="AF422" i="8" s="1"/>
  <c r="AF420" i="8" a="1"/>
  <c r="AF420" i="8" s="1"/>
  <c r="AC434" i="8" a="1"/>
  <c r="AC434" i="8" s="1"/>
  <c r="AC432" i="8" a="1"/>
  <c r="AC432" i="8" s="1"/>
  <c r="AF429" i="8" a="1"/>
  <c r="AF429" i="8" s="1"/>
  <c r="AF427" i="8" a="1"/>
  <c r="AF427" i="8" s="1"/>
  <c r="AG423" i="8" a="1"/>
  <c r="AG423" i="8" s="1"/>
  <c r="AG421" i="8" a="1"/>
  <c r="AG421" i="8" s="1"/>
  <c r="AE420" i="8" a="1"/>
  <c r="AE420" i="8" s="1"/>
  <c r="AC419" i="8" a="1"/>
  <c r="AC419" i="8" s="1"/>
  <c r="AE418" i="8" a="1"/>
  <c r="AE418" i="8" s="1"/>
  <c r="AC417" i="8" a="1"/>
  <c r="AC417" i="8" s="1"/>
  <c r="AF414" i="8" a="1"/>
  <c r="AF414" i="8" s="1"/>
  <c r="AF412" i="8" a="1"/>
  <c r="AF412" i="8" s="1"/>
  <c r="AE431" i="8" a="1"/>
  <c r="AE431" i="8" s="1"/>
  <c r="AC430" i="8" a="1"/>
  <c r="AC430" i="8" s="1"/>
  <c r="AC428" i="8" a="1"/>
  <c r="AC428" i="8" s="1"/>
  <c r="AF425" i="8" a="1"/>
  <c r="AF425" i="8" s="1"/>
  <c r="AF423" i="8" a="1"/>
  <c r="AF423" i="8" s="1"/>
  <c r="AG419" i="8" a="1"/>
  <c r="AG419" i="8" s="1"/>
  <c r="AG417" i="8" a="1"/>
  <c r="AG417" i="8" s="1"/>
  <c r="AE416" i="8" a="1"/>
  <c r="AE416" i="8" s="1"/>
  <c r="AC415" i="8" a="1"/>
  <c r="AC415" i="8" s="1"/>
  <c r="AE414" i="8" a="1"/>
  <c r="AE414" i="8" s="1"/>
  <c r="AC413" i="8" a="1"/>
  <c r="AC413" i="8" s="1"/>
  <c r="AG430" i="8" a="1"/>
  <c r="AG430" i="8" s="1"/>
  <c r="AE429" i="8" a="1"/>
  <c r="AE429" i="8" s="1"/>
  <c r="AC424" i="8" a="1"/>
  <c r="AC424" i="8" s="1"/>
  <c r="AF421" i="8" a="1"/>
  <c r="AF421" i="8" s="1"/>
  <c r="AF415" i="8" a="1"/>
  <c r="AF415" i="8" s="1"/>
  <c r="AF413" i="8" a="1"/>
  <c r="AF413" i="8" s="1"/>
  <c r="AG411" i="8" a="1"/>
  <c r="AG411" i="8" s="1"/>
  <c r="AF404" i="8" a="1"/>
  <c r="AF404" i="8" s="1"/>
  <c r="AC403" i="8" a="1"/>
  <c r="AC403" i="8" s="1"/>
  <c r="AF401" i="8" a="1"/>
  <c r="AF401" i="8" s="1"/>
  <c r="AF399" i="8" a="1"/>
  <c r="AF399" i="8" s="1"/>
  <c r="AF397" i="8" a="1"/>
  <c r="AF397" i="8" s="1"/>
  <c r="AG393" i="8" a="1"/>
  <c r="AG393" i="8" s="1"/>
  <c r="AG391" i="8" a="1"/>
  <c r="AG391" i="8" s="1"/>
  <c r="AE390" i="8" a="1"/>
  <c r="AE390" i="8" s="1"/>
  <c r="AC389" i="8" a="1"/>
  <c r="AC389" i="8" s="1"/>
  <c r="AE388" i="8" a="1"/>
  <c r="AE388" i="8" s="1"/>
  <c r="AC387" i="8" a="1"/>
  <c r="AC387" i="8" s="1"/>
  <c r="AF430" i="8" a="1"/>
  <c r="AF430" i="8" s="1"/>
  <c r="AE427" i="8" a="1"/>
  <c r="AE427" i="8" s="1"/>
  <c r="AC423" i="8" a="1"/>
  <c r="AC423" i="8" s="1"/>
  <c r="AF418" i="8" a="1"/>
  <c r="AF418" i="8" s="1"/>
  <c r="AE412" i="8" a="1"/>
  <c r="AE412" i="8" s="1"/>
  <c r="AE411" i="8" a="1"/>
  <c r="AE411" i="8" s="1"/>
  <c r="AE410" i="8" a="1"/>
  <c r="AE410" i="8" s="1"/>
  <c r="AF408" i="8" a="1"/>
  <c r="AF408" i="8" s="1"/>
  <c r="AC405" i="8" a="1"/>
  <c r="AC405" i="8" s="1"/>
  <c r="AE403" i="8" a="1"/>
  <c r="AE403" i="8" s="1"/>
  <c r="AC400" i="8" a="1"/>
  <c r="AC400" i="8" s="1"/>
  <c r="AE399" i="8" a="1"/>
  <c r="AE399" i="8" s="1"/>
  <c r="AE396" i="8" a="1"/>
  <c r="AE396" i="8" s="1"/>
  <c r="AG395" i="8" a="1"/>
  <c r="AG395" i="8" s="1"/>
  <c r="AC394" i="8" a="1"/>
  <c r="AC394" i="8" s="1"/>
  <c r="AC433" i="8" a="1"/>
  <c r="AC433" i="8" s="1"/>
  <c r="AF428" i="8" a="1"/>
  <c r="AF428" i="8" s="1"/>
  <c r="AE425" i="8" a="1"/>
  <c r="AE425" i="8" s="1"/>
  <c r="AE422" i="8" a="1"/>
  <c r="AE422" i="8" s="1"/>
  <c r="AC418" i="8" a="1"/>
  <c r="AC418" i="8" s="1"/>
  <c r="AC411" i="8" a="1"/>
  <c r="AC411" i="8" s="1"/>
  <c r="AC410" i="8" a="1"/>
  <c r="AC410" i="8" s="1"/>
  <c r="AC409" i="8" a="1"/>
  <c r="AC409" i="8" s="1"/>
  <c r="AC408" i="8" a="1"/>
  <c r="AC408" i="8" s="1"/>
  <c r="AF406" i="8" a="1"/>
  <c r="AF406" i="8" s="1"/>
  <c r="AG405" i="8" a="1"/>
  <c r="AG405" i="8" s="1"/>
  <c r="AE401" i="8" a="1"/>
  <c r="AE401" i="8" s="1"/>
  <c r="AC399" i="8" a="1"/>
  <c r="AC399" i="8" s="1"/>
  <c r="AE398" i="8" a="1"/>
  <c r="AE398" i="8" s="1"/>
  <c r="AG397" i="8" a="1"/>
  <c r="AG397" i="8" s="1"/>
  <c r="AC396" i="8" a="1"/>
  <c r="AC396" i="8" s="1"/>
  <c r="AE395" i="8" a="1"/>
  <c r="AE395" i="8" s="1"/>
  <c r="AE392" i="8" a="1"/>
  <c r="AE392" i="8" s="1"/>
  <c r="AC390" i="8" a="1"/>
  <c r="AC390" i="8" s="1"/>
  <c r="AE389" i="8" a="1"/>
  <c r="AE389" i="8" s="1"/>
  <c r="AG388" i="8" a="1"/>
  <c r="AG388" i="8" s="1"/>
  <c r="AE386" i="8" a="1"/>
  <c r="AE386" i="8" s="1"/>
  <c r="AC385" i="8" a="1"/>
  <c r="AC385" i="8" s="1"/>
  <c r="AF382" i="8" a="1"/>
  <c r="AF382" i="8" s="1"/>
  <c r="AF380" i="8" a="1"/>
  <c r="AF380" i="8" s="1"/>
  <c r="AG374" i="8" a="1"/>
  <c r="AG374" i="8" s="1"/>
  <c r="AE373" i="8" a="1"/>
  <c r="AE373" i="8" s="1"/>
  <c r="AG372" i="8" a="1"/>
  <c r="AG372" i="8" s="1"/>
  <c r="AE371" i="8" a="1"/>
  <c r="AE371" i="8" s="1"/>
  <c r="AG426" i="8" a="1"/>
  <c r="AG426" i="8" s="1"/>
  <c r="AE419" i="8" a="1"/>
  <c r="AE419" i="8" s="1"/>
  <c r="AF416" i="8" a="1"/>
  <c r="AF416" i="8" s="1"/>
  <c r="AE406" i="8" a="1"/>
  <c r="AE406" i="8" s="1"/>
  <c r="AF405" i="8" a="1"/>
  <c r="AF405" i="8" s="1"/>
  <c r="AG404" i="8" a="1"/>
  <c r="AG404" i="8" s="1"/>
  <c r="AC402" i="8" a="1"/>
  <c r="AC402" i="8" s="1"/>
  <c r="AF400" i="8" a="1"/>
  <c r="AF400" i="8" s="1"/>
  <c r="AF394" i="8" a="1"/>
  <c r="AF394" i="8" s="1"/>
  <c r="AC393" i="8" a="1"/>
  <c r="AC393" i="8" s="1"/>
  <c r="AF391" i="8" a="1"/>
  <c r="AF391" i="8" s="1"/>
  <c r="AG385" i="8" a="1"/>
  <c r="AG385" i="8" s="1"/>
  <c r="AE384" i="8" a="1"/>
  <c r="AE384" i="8" s="1"/>
  <c r="AC383" i="8" a="1"/>
  <c r="AC383" i="8" s="1"/>
  <c r="AE382" i="8" a="1"/>
  <c r="AE382" i="8" s="1"/>
  <c r="AC381" i="8" a="1"/>
  <c r="AC381" i="8" s="1"/>
  <c r="AF378" i="8" a="1"/>
  <c r="AF378" i="8" s="1"/>
  <c r="AF376" i="8" a="1"/>
  <c r="AF376" i="8" s="1"/>
  <c r="AG425" i="8" a="1"/>
  <c r="AG425" i="8" s="1"/>
  <c r="AG420" i="8" a="1"/>
  <c r="AG420" i="8" s="1"/>
  <c r="AE409" i="8" a="1"/>
  <c r="AE409" i="8" s="1"/>
  <c r="AF402" i="8" a="1"/>
  <c r="AF402" i="8" s="1"/>
  <c r="AC401" i="8" a="1"/>
  <c r="AC401" i="8" s="1"/>
  <c r="AG427" i="8" a="1"/>
  <c r="AG427" i="8" s="1"/>
  <c r="AC416" i="8" a="1"/>
  <c r="AC416" i="8" s="1"/>
  <c r="AG410" i="8" a="1"/>
  <c r="AG410" i="8" s="1"/>
  <c r="AF403" i="8" a="1"/>
  <c r="AF403" i="8" s="1"/>
  <c r="AE402" i="8" a="1"/>
  <c r="AE402" i="8" s="1"/>
  <c r="AG399" i="8" a="1"/>
  <c r="AG399" i="8" s="1"/>
  <c r="AF398" i="8" a="1"/>
  <c r="AF398" i="8" s="1"/>
  <c r="AG390" i="8" a="1"/>
  <c r="AG390" i="8" s="1"/>
  <c r="AG424" i="8" a="1"/>
  <c r="AG424" i="8" s="1"/>
  <c r="AC422" i="8" a="1"/>
  <c r="AC422" i="8" s="1"/>
  <c r="AG415" i="8" a="1"/>
  <c r="AG415" i="8" s="1"/>
  <c r="AG413" i="8" a="1"/>
  <c r="AG413" i="8" s="1"/>
  <c r="AG408" i="8" a="1"/>
  <c r="AG408" i="8" s="1"/>
  <c r="AE407" i="8" a="1"/>
  <c r="AE407" i="8" s="1"/>
  <c r="AC406" i="8" a="1"/>
  <c r="AC406" i="8" s="1"/>
  <c r="AG400" i="8" a="1"/>
  <c r="AG400" i="8" s="1"/>
  <c r="AG428" i="8" a="1"/>
  <c r="AG428" i="8" s="1"/>
  <c r="AF411" i="8" a="1"/>
  <c r="AF411" i="8" s="1"/>
  <c r="AC407" i="8" a="1"/>
  <c r="AC407" i="8" s="1"/>
  <c r="AE404" i="8" a="1"/>
  <c r="AE404" i="8" s="1"/>
  <c r="AG396" i="8" a="1"/>
  <c r="AG396" i="8" s="1"/>
  <c r="AF395" i="8" a="1"/>
  <c r="AF395" i="8" s="1"/>
  <c r="AE394" i="8" a="1"/>
  <c r="AE394" i="8" s="1"/>
  <c r="AE387" i="8" a="1"/>
  <c r="AE387" i="8" s="1"/>
  <c r="AG383" i="8" a="1"/>
  <c r="AG383" i="8" s="1"/>
  <c r="AE379" i="8" a="1"/>
  <c r="AE379" i="8" s="1"/>
  <c r="AE378" i="8" a="1"/>
  <c r="AE378" i="8" s="1"/>
  <c r="AG369" i="8" a="1"/>
  <c r="AG369" i="8" s="1"/>
  <c r="AG367" i="8" a="1"/>
  <c r="AG367" i="8" s="1"/>
  <c r="AE366" i="8" a="1"/>
  <c r="AE366" i="8" s="1"/>
  <c r="AC365" i="8" a="1"/>
  <c r="AC365" i="8" s="1"/>
  <c r="AE364" i="8" a="1"/>
  <c r="AE364" i="8" s="1"/>
  <c r="AC363" i="8" a="1"/>
  <c r="AC363" i="8" s="1"/>
  <c r="AF360" i="8" a="1"/>
  <c r="AF360" i="8" s="1"/>
  <c r="AF358" i="8" a="1"/>
  <c r="AF358" i="8" s="1"/>
  <c r="AG352" i="8" a="1"/>
  <c r="AG352" i="8" s="1"/>
  <c r="AE351" i="8" a="1"/>
  <c r="AE351" i="8" s="1"/>
  <c r="AG350" i="8" a="1"/>
  <c r="AG350" i="8" s="1"/>
  <c r="AE349" i="8" a="1"/>
  <c r="AE349" i="8" s="1"/>
  <c r="AC348" i="8" a="1"/>
  <c r="AC348" i="8" s="1"/>
  <c r="AC426" i="8" a="1"/>
  <c r="AC426" i="8" s="1"/>
  <c r="AE421" i="8" a="1"/>
  <c r="AE421" i="8" s="1"/>
  <c r="AG409" i="8" a="1"/>
  <c r="AG409" i="8" s="1"/>
  <c r="AE408" i="8" a="1"/>
  <c r="AE408" i="8" s="1"/>
  <c r="AC404" i="8" a="1"/>
  <c r="AC404" i="8" s="1"/>
  <c r="AC392" i="8" a="1"/>
  <c r="AC392" i="8" s="1"/>
  <c r="AE385" i="8" a="1"/>
  <c r="AE385" i="8" s="1"/>
  <c r="AF384" i="8" a="1"/>
  <c r="AF384" i="8" s="1"/>
  <c r="AF383" i="8" a="1"/>
  <c r="AF383" i="8" s="1"/>
  <c r="AC380" i="8" a="1"/>
  <c r="AC380" i="8" s="1"/>
  <c r="AF377" i="8" a="1"/>
  <c r="AF377" i="8" s="1"/>
  <c r="AG376" i="8" a="1"/>
  <c r="AG376" i="8" s="1"/>
  <c r="AC374" i="8" a="1"/>
  <c r="AC374" i="8" s="1"/>
  <c r="AC373" i="8" a="1"/>
  <c r="AC373" i="8" s="1"/>
  <c r="AE372" i="8" a="1"/>
  <c r="AE372" i="8" s="1"/>
  <c r="AG371" i="8" a="1"/>
  <c r="AG371" i="8" s="1"/>
  <c r="AF369" i="8" a="1"/>
  <c r="AF369" i="8" s="1"/>
  <c r="AG365" i="8" a="1"/>
  <c r="AG365" i="8" s="1"/>
  <c r="AG363" i="8" a="1"/>
  <c r="AG363" i="8" s="1"/>
  <c r="AE362" i="8" a="1"/>
  <c r="AE362" i="8" s="1"/>
  <c r="AC361" i="8" a="1"/>
  <c r="AC361" i="8" s="1"/>
  <c r="AE360" i="8" a="1"/>
  <c r="AE360" i="8" s="1"/>
  <c r="AC359" i="8" a="1"/>
  <c r="AC359" i="8" s="1"/>
  <c r="AE423" i="8" a="1"/>
  <c r="AE423" i="8" s="1"/>
  <c r="AG398" i="8" a="1"/>
  <c r="AG398" i="8" s="1"/>
  <c r="AF375" i="8" a="1"/>
  <c r="AF375" i="8" s="1"/>
  <c r="AE374" i="8" a="1"/>
  <c r="AE374" i="8" s="1"/>
  <c r="AE370" i="8" a="1"/>
  <c r="AE370" i="8" s="1"/>
  <c r="AE369" i="8" a="1"/>
  <c r="AE369" i="8" s="1"/>
  <c r="AE363" i="8" a="1"/>
  <c r="AE363" i="8" s="1"/>
  <c r="AF362" i="8" a="1"/>
  <c r="AF362" i="8" s="1"/>
  <c r="AF361" i="8" a="1"/>
  <c r="AF361" i="8" s="1"/>
  <c r="AC358" i="8" a="1"/>
  <c r="AC358" i="8" s="1"/>
  <c r="AF356" i="8" a="1"/>
  <c r="AF356" i="8" s="1"/>
  <c r="AF353" i="8" a="1"/>
  <c r="AF353" i="8" s="1"/>
  <c r="AG422" i="8" a="1"/>
  <c r="AG422" i="8" s="1"/>
  <c r="AG407" i="8" a="1"/>
  <c r="AG407" i="8" s="1"/>
  <c r="AE400" i="8" a="1"/>
  <c r="AE400" i="8" s="1"/>
  <c r="AF396" i="8" a="1"/>
  <c r="AF396" i="8" s="1"/>
  <c r="AE99" i="8" s="1"/>
  <c r="AG394" i="8" a="1"/>
  <c r="AG394" i="8" s="1"/>
  <c r="AE391" i="8" a="1"/>
  <c r="AE391" i="8" s="1"/>
  <c r="AF388" i="8" a="1"/>
  <c r="AF388" i="8" s="1"/>
  <c r="AE381" i="8" a="1"/>
  <c r="AE381" i="8" s="1"/>
  <c r="AC372" i="8" a="1"/>
  <c r="AC372" i="8" s="1"/>
  <c r="AC370" i="8" a="1"/>
  <c r="AC370" i="8" s="1"/>
  <c r="AF368" i="8" a="1"/>
  <c r="AF368" i="8" s="1"/>
  <c r="AF367" i="8" a="1"/>
  <c r="AF367" i="8" s="1"/>
  <c r="AG366" i="8" a="1"/>
  <c r="AG366" i="8" s="1"/>
  <c r="AC364" i="8" a="1"/>
  <c r="AC364" i="8" s="1"/>
  <c r="AG360" i="8" a="1"/>
  <c r="AG360" i="8" s="1"/>
  <c r="AG359" i="8" a="1"/>
  <c r="AG359" i="8" s="1"/>
  <c r="AE356" i="8" a="1"/>
  <c r="AE356" i="8" s="1"/>
  <c r="AG355" i="8" a="1"/>
  <c r="AG355" i="8" s="1"/>
  <c r="AF347" i="8" a="1"/>
  <c r="AF347" i="8" s="1"/>
  <c r="AF345" i="8" a="1"/>
  <c r="AF345" i="8" s="1"/>
  <c r="AG341" i="8" a="1"/>
  <c r="AG341" i="8" s="1"/>
  <c r="AG339" i="8" a="1"/>
  <c r="AG339" i="8" s="1"/>
  <c r="AE338" i="8" a="1"/>
  <c r="AE338" i="8" s="1"/>
  <c r="AC337" i="8" a="1"/>
  <c r="AC337" i="8" s="1"/>
  <c r="AE336" i="8" a="1"/>
  <c r="AE336" i="8" s="1"/>
  <c r="AC335" i="8" a="1"/>
  <c r="AC335" i="8" s="1"/>
  <c r="AF332" i="8" a="1"/>
  <c r="AF332" i="8" s="1"/>
  <c r="AF330" i="8" a="1"/>
  <c r="AF330" i="8" s="1"/>
  <c r="AC398" i="8" a="1"/>
  <c r="AC398" i="8" s="1"/>
  <c r="AG392" i="8" a="1"/>
  <c r="AG392" i="8" s="1"/>
  <c r="AC391" i="8" a="1"/>
  <c r="AC391" i="8" s="1"/>
  <c r="AG389" i="8" a="1"/>
  <c r="AG389" i="8" s="1"/>
  <c r="AG384" i="8" a="1"/>
  <c r="AG384" i="8" s="1"/>
  <c r="AE383" i="8" a="1"/>
  <c r="AE383" i="8" s="1"/>
  <c r="AG377" i="8" a="1"/>
  <c r="AG377" i="8" s="1"/>
  <c r="AE376" i="8" a="1"/>
  <c r="AE376" i="8" s="1"/>
  <c r="AE375" i="8" a="1"/>
  <c r="AE375" i="8" s="1"/>
  <c r="AC371" i="8" a="1"/>
  <c r="AC371" i="8" s="1"/>
  <c r="AE368" i="8" a="1"/>
  <c r="AE368" i="8" s="1"/>
  <c r="AE361" i="8" a="1"/>
  <c r="AE361" i="8" s="1"/>
  <c r="AC421" i="8" a="1"/>
  <c r="AC421" i="8" s="1"/>
  <c r="AF410" i="8" a="1"/>
  <c r="AF410" i="8" s="1"/>
  <c r="AG406" i="8" a="1"/>
  <c r="AG406" i="8" s="1"/>
  <c r="AF389" i="8" a="1"/>
  <c r="AF389" i="8" s="1"/>
  <c r="AC388" i="8" a="1"/>
  <c r="AC388" i="8" s="1"/>
  <c r="AE367" i="8" a="1"/>
  <c r="AE367" i="8" s="1"/>
  <c r="AF366" i="8" a="1"/>
  <c r="AF366" i="8" s="1"/>
  <c r="AF365" i="8" a="1"/>
  <c r="AF365" i="8" s="1"/>
  <c r="AC362" i="8" a="1"/>
  <c r="AC362" i="8" s="1"/>
  <c r="AF359" i="8" a="1"/>
  <c r="AF359" i="8" s="1"/>
  <c r="AG358" i="8" a="1"/>
  <c r="AG358" i="8" s="1"/>
  <c r="AF355" i="8" a="1"/>
  <c r="AF355" i="8" s="1"/>
  <c r="AF352" i="8" a="1"/>
  <c r="AF352" i="8" s="1"/>
  <c r="AF349" i="8" a="1"/>
  <c r="AF349" i="8" s="1"/>
  <c r="AE347" i="8" a="1"/>
  <c r="AE347" i="8" s="1"/>
  <c r="AG346" i="8" a="1"/>
  <c r="AG346" i="8" s="1"/>
  <c r="AE345" i="8" a="1"/>
  <c r="AE345" i="8" s="1"/>
  <c r="AC344" i="8" a="1"/>
  <c r="AC344" i="8" s="1"/>
  <c r="AC342" i="8" a="1"/>
  <c r="AC342" i="8" s="1"/>
  <c r="AF339" i="8" a="1"/>
  <c r="AF339" i="8" s="1"/>
  <c r="AF337" i="8" a="1"/>
  <c r="AF337" i="8" s="1"/>
  <c r="AG333" i="8" a="1"/>
  <c r="AG333" i="8" s="1"/>
  <c r="AG331" i="8" a="1"/>
  <c r="AG331" i="8" s="1"/>
  <c r="AE330" i="8" a="1"/>
  <c r="AE330" i="8" s="1"/>
  <c r="AC420" i="8" a="1"/>
  <c r="AC420" i="8" s="1"/>
  <c r="AG414" i="8" a="1"/>
  <c r="AG414" i="8" s="1"/>
  <c r="AG402" i="8" a="1"/>
  <c r="AG402" i="8" s="1"/>
  <c r="AF392" i="8" a="1"/>
  <c r="AF392" i="8" s="1"/>
  <c r="AG386" i="8" a="1"/>
  <c r="AG386" i="8" s="1"/>
  <c r="AF385" i="8" a="1"/>
  <c r="AF385" i="8" s="1"/>
  <c r="AC382" i="8" a="1"/>
  <c r="AC382" i="8" s="1"/>
  <c r="AG379" i="8" a="1"/>
  <c r="AG379" i="8" s="1"/>
  <c r="AG378" i="8" a="1"/>
  <c r="AG378" i="8" s="1"/>
  <c r="AE377" i="8" a="1"/>
  <c r="AE377" i="8" s="1"/>
  <c r="AC375" i="8" a="1"/>
  <c r="AC375" i="8" s="1"/>
  <c r="AG370" i="8" a="1"/>
  <c r="AG370" i="8" s="1"/>
  <c r="AC369" i="8" a="1"/>
  <c r="AC369" i="8" s="1"/>
  <c r="AC368" i="8" a="1"/>
  <c r="AC368" i="8" s="1"/>
  <c r="AG364" i="8" a="1"/>
  <c r="AG364" i="8" s="1"/>
  <c r="AG357" i="8" a="1"/>
  <c r="AG357" i="8" s="1"/>
  <c r="AG354" i="8" a="1"/>
  <c r="AG354" i="8" s="1"/>
  <c r="AE352" i="8" a="1"/>
  <c r="AE352" i="8" s="1"/>
  <c r="AG351" i="8" a="1"/>
  <c r="AG351" i="8" s="1"/>
  <c r="AG348" i="8" a="1"/>
  <c r="AG348" i="8" s="1"/>
  <c r="AG344" i="8" a="1"/>
  <c r="AG344" i="8" s="1"/>
  <c r="AE343" i="8" a="1"/>
  <c r="AE343" i="8" s="1"/>
  <c r="AG342" i="8" a="1"/>
  <c r="AG342" i="8" s="1"/>
  <c r="AE341" i="8" a="1"/>
  <c r="AE341" i="8" s="1"/>
  <c r="AC340" i="8" a="1"/>
  <c r="AC340" i="8" s="1"/>
  <c r="AC338" i="8" a="1"/>
  <c r="AC338" i="8" s="1"/>
  <c r="AF335" i="8" a="1"/>
  <c r="AF335" i="8" s="1"/>
  <c r="AF333" i="8" a="1"/>
  <c r="AF333" i="8" s="1"/>
  <c r="AF419" i="8" a="1"/>
  <c r="AF419" i="8" s="1"/>
  <c r="AE397" i="8" a="1"/>
  <c r="AE397" i="8" s="1"/>
  <c r="AF393" i="8" a="1"/>
  <c r="AF393" i="8" s="1"/>
  <c r="AF390" i="8" a="1"/>
  <c r="AF390" i="8" s="1"/>
  <c r="AG387" i="8" a="1"/>
  <c r="AG387" i="8" s="1"/>
  <c r="AC384" i="8" a="1"/>
  <c r="AC384" i="8" s="1"/>
  <c r="AG381" i="8" a="1"/>
  <c r="AG381" i="8" s="1"/>
  <c r="AG380" i="8" a="1"/>
  <c r="AG380" i="8" s="1"/>
  <c r="AF379" i="8" a="1"/>
  <c r="AF379" i="8" s="1"/>
  <c r="AC377" i="8" a="1"/>
  <c r="AC377" i="8" s="1"/>
  <c r="AC376" i="8" a="1"/>
  <c r="AC376" i="8" s="1"/>
  <c r="AG373" i="8" a="1"/>
  <c r="AG373" i="8" s="1"/>
  <c r="AF371" i="8" a="1"/>
  <c r="AF371" i="8" s="1"/>
  <c r="AE365" i="8" a="1"/>
  <c r="AE365" i="8" s="1"/>
  <c r="AE359" i="8" a="1"/>
  <c r="AE359" i="8" s="1"/>
  <c r="AE358" i="8" a="1"/>
  <c r="AE358" i="8" s="1"/>
  <c r="AC366" i="8" a="1"/>
  <c r="AC366" i="8" s="1"/>
  <c r="AG362" i="8" a="1"/>
  <c r="AG362" i="8" s="1"/>
  <c r="AF357" i="8" a="1"/>
  <c r="AF357" i="8" s="1"/>
  <c r="AC356" i="8" a="1"/>
  <c r="AC356" i="8" s="1"/>
  <c r="AF354" i="8" a="1"/>
  <c r="AF354" i="8" s="1"/>
  <c r="AC353" i="8" a="1"/>
  <c r="AC353" i="8" s="1"/>
  <c r="AC352" i="8" a="1"/>
  <c r="AC352" i="8" s="1"/>
  <c r="AG349" i="8" a="1"/>
  <c r="AG349" i="8" s="1"/>
  <c r="AE348" i="8" a="1"/>
  <c r="AE348" i="8" s="1"/>
  <c r="AC343" i="8" a="1"/>
  <c r="AC343" i="8" s="1"/>
  <c r="AC341" i="8" a="1"/>
  <c r="AC341" i="8" s="1"/>
  <c r="AG334" i="8" a="1"/>
  <c r="AG334" i="8" s="1"/>
  <c r="AC330" i="8" a="1"/>
  <c r="AC330" i="8" s="1"/>
  <c r="AE329" i="8" a="1"/>
  <c r="AE329" i="8" s="1"/>
  <c r="AG328" i="8" a="1"/>
  <c r="AG328" i="8" s="1"/>
  <c r="AC327" i="8" a="1"/>
  <c r="AC327" i="8" s="1"/>
  <c r="AF324" i="8" a="1"/>
  <c r="AF324" i="8" s="1"/>
  <c r="AF322" i="8" a="1"/>
  <c r="AF322" i="8" s="1"/>
  <c r="AG316" i="8" a="1"/>
  <c r="AG316" i="8" s="1"/>
  <c r="AF417" i="8" a="1"/>
  <c r="AF417" i="8" s="1"/>
  <c r="AE393" i="8" a="1"/>
  <c r="AE393" i="8" s="1"/>
  <c r="AF387" i="8" a="1"/>
  <c r="AF387" i="8" s="1"/>
  <c r="AG382" i="8" a="1"/>
  <c r="AG382" i="8" s="1"/>
  <c r="AC378" i="8" a="1"/>
  <c r="AC378" i="8" s="1"/>
  <c r="AF373" i="8" a="1"/>
  <c r="AF373" i="8" s="1"/>
  <c r="AC347" i="8" a="1"/>
  <c r="AC347" i="8" s="1"/>
  <c r="AC346" i="8" a="1"/>
  <c r="AC346" i="8" s="1"/>
  <c r="AC345" i="8" a="1"/>
  <c r="AC345" i="8" s="1"/>
  <c r="AG338" i="8" a="1"/>
  <c r="AG338" i="8" s="1"/>
  <c r="AG336" i="8" a="1"/>
  <c r="AG336" i="8" s="1"/>
  <c r="AG335" i="8" a="1"/>
  <c r="AG335" i="8" s="1"/>
  <c r="AG332" i="8" a="1"/>
  <c r="AG332" i="8" s="1"/>
  <c r="AF328" i="8" a="1"/>
  <c r="AF328" i="8" s="1"/>
  <c r="AE326" i="8" a="1"/>
  <c r="AE326" i="8" s="1"/>
  <c r="AC325" i="8" a="1"/>
  <c r="AC325" i="8" s="1"/>
  <c r="AE324" i="8" a="1"/>
  <c r="AE324" i="8" s="1"/>
  <c r="AC323" i="8" a="1"/>
  <c r="AC323" i="8" s="1"/>
  <c r="AE413" i="8" a="1"/>
  <c r="AE413" i="8" s="1"/>
  <c r="AF386" i="8" a="1"/>
  <c r="AF386" i="8" s="1"/>
  <c r="AF372" i="8" a="1"/>
  <c r="AF372" i="8" s="1"/>
  <c r="AE357" i="8" a="1"/>
  <c r="AE357" i="8" s="1"/>
  <c r="AE354" i="8" a="1"/>
  <c r="AE354" i="8" s="1"/>
  <c r="AF350" i="8" a="1"/>
  <c r="AF350" i="8" s="1"/>
  <c r="AG340" i="8" a="1"/>
  <c r="AG340" i="8" s="1"/>
  <c r="AG337" i="8" a="1"/>
  <c r="AG337" i="8" s="1"/>
  <c r="AF334" i="8" a="1"/>
  <c r="AF334" i="8" s="1"/>
  <c r="AE333" i="8" a="1"/>
  <c r="AE333" i="8" s="1"/>
  <c r="AE328" i="8" a="1"/>
  <c r="AE328" i="8" s="1"/>
  <c r="AG327" i="8" a="1"/>
  <c r="AG327" i="8" s="1"/>
  <c r="AG325" i="8" a="1"/>
  <c r="AG325" i="8" s="1"/>
  <c r="AG323" i="8" a="1"/>
  <c r="AG323" i="8" s="1"/>
  <c r="AE322" i="8" a="1"/>
  <c r="AE322" i="8" s="1"/>
  <c r="AC321" i="8" a="1"/>
  <c r="AC321" i="8" s="1"/>
  <c r="AG412" i="8" a="1"/>
  <c r="AG412" i="8" s="1"/>
  <c r="AC386" i="8" a="1"/>
  <c r="AC386" i="8" s="1"/>
  <c r="AF381" i="8" a="1"/>
  <c r="AF381" i="8" s="1"/>
  <c r="AG368" i="8" a="1"/>
  <c r="AG368" i="8" s="1"/>
  <c r="AG361" i="8" a="1"/>
  <c r="AG361" i="8" s="1"/>
  <c r="AC357" i="8" a="1"/>
  <c r="AC357" i="8" s="1"/>
  <c r="AC354" i="8" a="1"/>
  <c r="AC354" i="8" s="1"/>
  <c r="AF351" i="8" a="1"/>
  <c r="AF351" i="8" s="1"/>
  <c r="AE350" i="8" a="1"/>
  <c r="AE350" i="8" s="1"/>
  <c r="AF338" i="8" a="1"/>
  <c r="AF338" i="8" s="1"/>
  <c r="AE337" i="8" a="1"/>
  <c r="AE337" i="8" s="1"/>
  <c r="AF336" i="8" a="1"/>
  <c r="AF336" i="8" s="1"/>
  <c r="AE335" i="8" a="1"/>
  <c r="AE335" i="8" s="1"/>
  <c r="AE334" i="8" a="1"/>
  <c r="AE334" i="8" s="1"/>
  <c r="AE332" i="8" a="1"/>
  <c r="AE332" i="8" s="1"/>
  <c r="AF331" i="8" a="1"/>
  <c r="AF331" i="8" s="1"/>
  <c r="AG330" i="8" a="1"/>
  <c r="AG330" i="8" s="1"/>
  <c r="AC329" i="8" a="1"/>
  <c r="AC329" i="8" s="1"/>
  <c r="AF325" i="8" a="1"/>
  <c r="AF325" i="8" s="1"/>
  <c r="AG321" i="8" a="1"/>
  <c r="AG321" i="8" s="1"/>
  <c r="AC317" i="8" a="1"/>
  <c r="AC317" i="8" s="1"/>
  <c r="AE316" i="8" a="1"/>
  <c r="AE316" i="8" s="1"/>
  <c r="AC397" i="8" a="1"/>
  <c r="AC397" i="8" s="1"/>
  <c r="AE380" i="8" a="1"/>
  <c r="AE380" i="8" s="1"/>
  <c r="AG375" i="8" a="1"/>
  <c r="AG375" i="8" s="1"/>
  <c r="AE405" i="8" a="1"/>
  <c r="AE405" i="8" s="1"/>
  <c r="AF374" i="8" a="1"/>
  <c r="AF374" i="8" s="1"/>
  <c r="AF363" i="8" a="1"/>
  <c r="AF363" i="8" s="1"/>
  <c r="AC355" i="8" a="1"/>
  <c r="AC355" i="8" s="1"/>
  <c r="AF329" i="8" a="1"/>
  <c r="AF329" i="8" s="1"/>
  <c r="AC328" i="8" a="1"/>
  <c r="AC328" i="8" s="1"/>
  <c r="AG322" i="8" a="1"/>
  <c r="AG322" i="8" s="1"/>
  <c r="AE321" i="8" a="1"/>
  <c r="AE321" i="8" s="1"/>
  <c r="AE317" i="8" a="1"/>
  <c r="AE317" i="8" s="1"/>
  <c r="AF316" i="8" a="1"/>
  <c r="AF316" i="8" s="1"/>
  <c r="AG315" i="8" a="1"/>
  <c r="AG315" i="8" s="1"/>
  <c r="AG311" i="8" a="1"/>
  <c r="AG311" i="8" s="1"/>
  <c r="AE310" i="8" a="1"/>
  <c r="AE310" i="8" s="1"/>
  <c r="AG309" i="8" a="1"/>
  <c r="AG309" i="8" s="1"/>
  <c r="AE308" i="8" a="1"/>
  <c r="AE308" i="8" s="1"/>
  <c r="AC307" i="8" a="1"/>
  <c r="AC307" i="8" s="1"/>
  <c r="AC305" i="8" a="1"/>
  <c r="AC305" i="8" s="1"/>
  <c r="AF302" i="8" a="1"/>
  <c r="AF302" i="8" s="1"/>
  <c r="AF300" i="8" a="1"/>
  <c r="AF300" i="8" s="1"/>
  <c r="AG296" i="8" a="1"/>
  <c r="AG296" i="8" s="1"/>
  <c r="AG294" i="8" a="1"/>
  <c r="AG294" i="8" s="1"/>
  <c r="AE293" i="8" a="1"/>
  <c r="AE293" i="8" s="1"/>
  <c r="AC292" i="8" a="1"/>
  <c r="AC292" i="8" s="1"/>
  <c r="AE291" i="8" a="1"/>
  <c r="AE291" i="8" s="1"/>
  <c r="AC339" i="8" a="1"/>
  <c r="AC339" i="8" s="1"/>
  <c r="AC331" i="8" a="1"/>
  <c r="AC331" i="8" s="1"/>
  <c r="AF326" i="8" a="1"/>
  <c r="AF326" i="8" s="1"/>
  <c r="AF313" i="8" a="1"/>
  <c r="AF313" i="8" s="1"/>
  <c r="AG307" i="8" a="1"/>
  <c r="AG307" i="8" s="1"/>
  <c r="AE306" i="8" a="1"/>
  <c r="AE306" i="8" s="1"/>
  <c r="AG305" i="8" a="1"/>
  <c r="AG305" i="8" s="1"/>
  <c r="AE304" i="8" a="1"/>
  <c r="AE304" i="8" s="1"/>
  <c r="AC303" i="8" a="1"/>
  <c r="AC303" i="8" s="1"/>
  <c r="AC301" i="8" a="1"/>
  <c r="AC301" i="8" s="1"/>
  <c r="AF298" i="8" a="1"/>
  <c r="AF298" i="8" s="1"/>
  <c r="AF296" i="8" a="1"/>
  <c r="AF296" i="8" s="1"/>
  <c r="AG292" i="8" a="1"/>
  <c r="AG292" i="8" s="1"/>
  <c r="AG290" i="8" a="1"/>
  <c r="AG290" i="8" s="1"/>
  <c r="AE289" i="8" a="1"/>
  <c r="AE289" i="8" s="1"/>
  <c r="AC288" i="8" a="1"/>
  <c r="AC288" i="8" s="1"/>
  <c r="AE287" i="8" a="1"/>
  <c r="AE287" i="8" s="1"/>
  <c r="AC286" i="8" a="1"/>
  <c r="AC286" i="8" s="1"/>
  <c r="AF283" i="8" a="1"/>
  <c r="AF283" i="8" s="1"/>
  <c r="AF281" i="8" a="1"/>
  <c r="AF281" i="8" s="1"/>
  <c r="AG275" i="8" a="1"/>
  <c r="AG275" i="8" s="1"/>
  <c r="AE274" i="8" a="1"/>
  <c r="AE274" i="8" s="1"/>
  <c r="AG273" i="8" a="1"/>
  <c r="AG273" i="8" s="1"/>
  <c r="AE272" i="8" a="1"/>
  <c r="AE272" i="8" s="1"/>
  <c r="AC271" i="8" a="1"/>
  <c r="AC271" i="8" s="1"/>
  <c r="AC269" i="8" a="1"/>
  <c r="AC269" i="8" s="1"/>
  <c r="AF266" i="8" a="1"/>
  <c r="AF266" i="8" s="1"/>
  <c r="AF264" i="8" a="1"/>
  <c r="AF264" i="8" s="1"/>
  <c r="AG260" i="8" a="1"/>
  <c r="AG260" i="8" s="1"/>
  <c r="AG258" i="8" a="1"/>
  <c r="AG258" i="8" s="1"/>
  <c r="AE257" i="8" a="1"/>
  <c r="AE257" i="8" s="1"/>
  <c r="AC256" i="8" a="1"/>
  <c r="AC256" i="8" s="1"/>
  <c r="AE255" i="8" a="1"/>
  <c r="AE255" i="8" s="1"/>
  <c r="AC254" i="8" a="1"/>
  <c r="AC254" i="8" s="1"/>
  <c r="AF251" i="8" a="1"/>
  <c r="AF251" i="8" s="1"/>
  <c r="AE250" i="8" a="1"/>
  <c r="AE250" i="8" s="1"/>
  <c r="AG248" i="8" a="1"/>
  <c r="AG248" i="8" s="1"/>
  <c r="AC248" i="8" a="1"/>
  <c r="AC248" i="8" s="1"/>
  <c r="AF247" i="8" a="1"/>
  <c r="AF247" i="8" s="1"/>
  <c r="AF346" i="8" a="1"/>
  <c r="AF346" i="8" s="1"/>
  <c r="AF344" i="8" a="1"/>
  <c r="AF344" i="8" s="1"/>
  <c r="AE340" i="8" a="1"/>
  <c r="AE340" i="8" s="1"/>
  <c r="AC336" i="8" a="1"/>
  <c r="AC336" i="8" s="1"/>
  <c r="AC322" i="8" a="1"/>
  <c r="AC322" i="8" s="1"/>
  <c r="AE315" i="8" a="1"/>
  <c r="AE315" i="8" s="1"/>
  <c r="AG314" i="8" a="1"/>
  <c r="AG314" i="8" s="1"/>
  <c r="AE313" i="8" a="1"/>
  <c r="AE313" i="8" s="1"/>
  <c r="AC312" i="8" a="1"/>
  <c r="AC312" i="8" s="1"/>
  <c r="AE311" i="8" a="1"/>
  <c r="AE311" i="8" s="1"/>
  <c r="AC310" i="8" a="1"/>
  <c r="AC310" i="8" s="1"/>
  <c r="AF307" i="8" a="1"/>
  <c r="AF307" i="8" s="1"/>
  <c r="AF305" i="8" a="1"/>
  <c r="AF305" i="8" s="1"/>
  <c r="AG299" i="8" a="1"/>
  <c r="AG299" i="8" s="1"/>
  <c r="AE298" i="8" a="1"/>
  <c r="AE298" i="8" s="1"/>
  <c r="AG297" i="8" a="1"/>
  <c r="AG297" i="8" s="1"/>
  <c r="AE296" i="8" a="1"/>
  <c r="AE296" i="8" s="1"/>
  <c r="AC295" i="8" a="1"/>
  <c r="AC295" i="8" s="1"/>
  <c r="AC293" i="8" a="1"/>
  <c r="AC293" i="8" s="1"/>
  <c r="AF290" i="8" a="1"/>
  <c r="AF290" i="8" s="1"/>
  <c r="AF288" i="8" a="1"/>
  <c r="AF288" i="8" s="1"/>
  <c r="AG284" i="8" a="1"/>
  <c r="AG284" i="8" s="1"/>
  <c r="AG282" i="8" a="1"/>
  <c r="AG282" i="8" s="1"/>
  <c r="AE281" i="8" a="1"/>
  <c r="AE281" i="8" s="1"/>
  <c r="AC280" i="8" a="1"/>
  <c r="AC280" i="8" s="1"/>
  <c r="AE279" i="8" a="1"/>
  <c r="AE279" i="8" s="1"/>
  <c r="AC278" i="8" a="1"/>
  <c r="AC278" i="8" s="1"/>
  <c r="AF275" i="8" a="1"/>
  <c r="AF275" i="8" s="1"/>
  <c r="AF273" i="8" a="1"/>
  <c r="AF273" i="8" s="1"/>
  <c r="AG267" i="8" a="1"/>
  <c r="AG267" i="8" s="1"/>
  <c r="AE266" i="8" a="1"/>
  <c r="AE266" i="8" s="1"/>
  <c r="AG265" i="8" a="1"/>
  <c r="AG265" i="8" s="1"/>
  <c r="AE264" i="8" a="1"/>
  <c r="AE264" i="8" s="1"/>
  <c r="AC263" i="8" a="1"/>
  <c r="AC263" i="8" s="1"/>
  <c r="AC261" i="8" a="1"/>
  <c r="AC261" i="8" s="1"/>
  <c r="AF258" i="8" a="1"/>
  <c r="AF258" i="8" s="1"/>
  <c r="AF256" i="8" a="1"/>
  <c r="AF256" i="8" s="1"/>
  <c r="AG252" i="8" a="1"/>
  <c r="AG252" i="8" s="1"/>
  <c r="AE251" i="8" a="1"/>
  <c r="AE251" i="8" s="1"/>
  <c r="AG249" i="8" a="1"/>
  <c r="AG249" i="8" s="1"/>
  <c r="AC249" i="8" a="1"/>
  <c r="AC249" i="8" s="1"/>
  <c r="AF248" i="8" a="1"/>
  <c r="AF248" i="8" s="1"/>
  <c r="AE247" i="8" a="1"/>
  <c r="AE247" i="8" s="1"/>
  <c r="AG245" i="8" a="1"/>
  <c r="AG245" i="8" s="1"/>
  <c r="AC245" i="8" a="1"/>
  <c r="AC245" i="8" s="1"/>
  <c r="AF244" i="8" a="1"/>
  <c r="AF244" i="8" s="1"/>
  <c r="AE243" i="8" a="1"/>
  <c r="AE243" i="8" s="1"/>
  <c r="AG241" i="8" a="1"/>
  <c r="AG241" i="8" s="1"/>
  <c r="AC241" i="8" a="1"/>
  <c r="AC241" i="8" s="1"/>
  <c r="AF240" i="8" a="1"/>
  <c r="AF240" i="8" s="1"/>
  <c r="AE239" i="8" a="1"/>
  <c r="AE239" i="8" s="1"/>
  <c r="AG237" i="8" a="1"/>
  <c r="AG237" i="8" s="1"/>
  <c r="AC237" i="8" a="1"/>
  <c r="AC237" i="8" s="1"/>
  <c r="AF236" i="8" a="1"/>
  <c r="AF236" i="8" s="1"/>
  <c r="AE235" i="8" a="1"/>
  <c r="AE235" i="8" s="1"/>
  <c r="AG233" i="8" a="1"/>
  <c r="AG233" i="8" s="1"/>
  <c r="AC233" i="8" a="1"/>
  <c r="AC233" i="8" s="1"/>
  <c r="AF232" i="8" a="1"/>
  <c r="AF232" i="8" s="1"/>
  <c r="AE231" i="8" a="1"/>
  <c r="AE231" i="8" s="1"/>
  <c r="AG229" i="8" a="1"/>
  <c r="AG229" i="8" s="1"/>
  <c r="AC229" i="8" a="1"/>
  <c r="AC229" i="8" s="1"/>
  <c r="AF228" i="8" a="1"/>
  <c r="AF228" i="8" s="1"/>
  <c r="AE227" i="8" a="1"/>
  <c r="AE227" i="8" s="1"/>
  <c r="AF431" i="8" a="1"/>
  <c r="AF431" i="8" s="1"/>
  <c r="AC395" i="8" a="1"/>
  <c r="AC395" i="8" s="1"/>
  <c r="AG356" i="8" a="1"/>
  <c r="AG356" i="8" s="1"/>
  <c r="AG353" i="8" a="1"/>
  <c r="AG353" i="8" s="1"/>
  <c r="AC351" i="8" a="1"/>
  <c r="AC351" i="8" s="1"/>
  <c r="AE344" i="8" a="1"/>
  <c r="AE344" i="8" s="1"/>
  <c r="AE342" i="8" a="1"/>
  <c r="AE342" i="8" s="1"/>
  <c r="AC332" i="8" a="1"/>
  <c r="AC332" i="8" s="1"/>
  <c r="AE327" i="8" a="1"/>
  <c r="AE327" i="8" s="1"/>
  <c r="AG324" i="8" a="1"/>
  <c r="AG324" i="8" s="1"/>
  <c r="AE323" i="8" a="1"/>
  <c r="AE323" i="8" s="1"/>
  <c r="AC316" i="8" a="1"/>
  <c r="AC316" i="8" s="1"/>
  <c r="AG312" i="8" a="1"/>
  <c r="AG312" i="8" s="1"/>
  <c r="AG310" i="8" a="1"/>
  <c r="AG310" i="8" s="1"/>
  <c r="AE309" i="8" a="1"/>
  <c r="AE309" i="8" s="1"/>
  <c r="AC308" i="8" a="1"/>
  <c r="AC308" i="8" s="1"/>
  <c r="AE307" i="8" a="1"/>
  <c r="AE307" i="8" s="1"/>
  <c r="AC306" i="8" a="1"/>
  <c r="AC306" i="8" s="1"/>
  <c r="AF303" i="8" a="1"/>
  <c r="AF303" i="8" s="1"/>
  <c r="AF301" i="8" a="1"/>
  <c r="AF301" i="8" s="1"/>
  <c r="AG295" i="8" a="1"/>
  <c r="AG295" i="8" s="1"/>
  <c r="AE294" i="8" a="1"/>
  <c r="AE294" i="8" s="1"/>
  <c r="AG293" i="8" a="1"/>
  <c r="AG293" i="8" s="1"/>
  <c r="AE292" i="8" a="1"/>
  <c r="AE292" i="8" s="1"/>
  <c r="AC291" i="8" a="1"/>
  <c r="AC291" i="8" s="1"/>
  <c r="AC289" i="8" a="1"/>
  <c r="AC289" i="8" s="1"/>
  <c r="AF286" i="8" a="1"/>
  <c r="AF286" i="8" s="1"/>
  <c r="AF284" i="8" a="1"/>
  <c r="AF284" i="8" s="1"/>
  <c r="AG280" i="8" a="1"/>
  <c r="AG280" i="8" s="1"/>
  <c r="AG278" i="8" a="1"/>
  <c r="AG278" i="8" s="1"/>
  <c r="AE277" i="8" a="1"/>
  <c r="AE277" i="8" s="1"/>
  <c r="AC276" i="8" a="1"/>
  <c r="AC276" i="8" s="1"/>
  <c r="AE275" i="8" a="1"/>
  <c r="AE275" i="8" s="1"/>
  <c r="AC274" i="8" a="1"/>
  <c r="AC274" i="8" s="1"/>
  <c r="AF271" i="8" a="1"/>
  <c r="AF271" i="8" s="1"/>
  <c r="AF269" i="8" a="1"/>
  <c r="AF269" i="8" s="1"/>
  <c r="AG263" i="8" a="1"/>
  <c r="AG263" i="8" s="1"/>
  <c r="AE262" i="8" a="1"/>
  <c r="AE262" i="8" s="1"/>
  <c r="AG261" i="8" a="1"/>
  <c r="AG261" i="8" s="1"/>
  <c r="AE260" i="8" a="1"/>
  <c r="AE260" i="8" s="1"/>
  <c r="AC259" i="8" a="1"/>
  <c r="AC259" i="8" s="1"/>
  <c r="AC257" i="8" a="1"/>
  <c r="AC257" i="8" s="1"/>
  <c r="AF254" i="8" a="1"/>
  <c r="AF254" i="8" s="1"/>
  <c r="AF252" i="8" a="1"/>
  <c r="AF252" i="8" s="1"/>
  <c r="AF364" i="8" a="1"/>
  <c r="AF364" i="8" s="1"/>
  <c r="AG347" i="8" a="1"/>
  <c r="AG347" i="8" s="1"/>
  <c r="AG345" i="8" a="1"/>
  <c r="AG345" i="8" s="1"/>
  <c r="AF343" i="8" a="1"/>
  <c r="AF343" i="8" s="1"/>
  <c r="AC333" i="8" a="1"/>
  <c r="AC333" i="8" s="1"/>
  <c r="AE331" i="8" a="1"/>
  <c r="AE331" i="8" s="1"/>
  <c r="AG329" i="8" a="1"/>
  <c r="AG329" i="8" s="1"/>
  <c r="AG326" i="8" a="1"/>
  <c r="AG326" i="8" s="1"/>
  <c r="AE325" i="8" a="1"/>
  <c r="AE325" i="8" s="1"/>
  <c r="AC324" i="8" a="1"/>
  <c r="AC324" i="8" s="1"/>
  <c r="AE314" i="8" a="1"/>
  <c r="AE314" i="8" s="1"/>
  <c r="AE339" i="8" a="1"/>
  <c r="AE339" i="8" s="1"/>
  <c r="AC314" i="8" a="1"/>
  <c r="AC314" i="8" s="1"/>
  <c r="AF311" i="8" a="1"/>
  <c r="AF311" i="8" s="1"/>
  <c r="AG303" i="8" a="1"/>
  <c r="AG303" i="8" s="1"/>
  <c r="AE302" i="8" a="1"/>
  <c r="AE302" i="8" s="1"/>
  <c r="AC297" i="8" a="1"/>
  <c r="AC297" i="8" s="1"/>
  <c r="AF294" i="8" a="1"/>
  <c r="AF294" i="8" s="1"/>
  <c r="AG288" i="8" a="1"/>
  <c r="AG288" i="8" s="1"/>
  <c r="AF285" i="8" a="1"/>
  <c r="AF285" i="8" s="1"/>
  <c r="AE284" i="8" a="1"/>
  <c r="AE284" i="8" s="1"/>
  <c r="AE283" i="8" a="1"/>
  <c r="AE283" i="8" s="1"/>
  <c r="AE282" i="8" a="1"/>
  <c r="AE282" i="8" s="1"/>
  <c r="AC277" i="8" a="1"/>
  <c r="AC277" i="8" s="1"/>
  <c r="AC275" i="8" a="1"/>
  <c r="AC275" i="8" s="1"/>
  <c r="AG266" i="8" a="1"/>
  <c r="AG266" i="8" s="1"/>
  <c r="AF265" i="8" a="1"/>
  <c r="AF265" i="8" s="1"/>
  <c r="AG264" i="8" a="1"/>
  <c r="AG264" i="8" s="1"/>
  <c r="AF263" i="8" a="1"/>
  <c r="AF263" i="8" s="1"/>
  <c r="AF262" i="8" a="1"/>
  <c r="AF262" i="8" s="1"/>
  <c r="AE259" i="8" a="1"/>
  <c r="AE259" i="8" s="1"/>
  <c r="AC255" i="8" a="1"/>
  <c r="AC255" i="8" s="1"/>
  <c r="AC252" i="8" a="1"/>
  <c r="AC252" i="8" s="1"/>
  <c r="AC251" i="8" a="1"/>
  <c r="AC251" i="8" s="1"/>
  <c r="AC250" i="8" a="1"/>
  <c r="AC250" i="8" s="1"/>
  <c r="AF225" i="8" a="1"/>
  <c r="AF225" i="8" s="1"/>
  <c r="AG221" i="8" a="1"/>
  <c r="AG221" i="8" s="1"/>
  <c r="AG219" i="8" a="1"/>
  <c r="AG219" i="8" s="1"/>
  <c r="AE218" i="8" a="1"/>
  <c r="AE218" i="8" s="1"/>
  <c r="AC379" i="8" a="1"/>
  <c r="AC379" i="8" s="1"/>
  <c r="AC350" i="8" a="1"/>
  <c r="AC350" i="8" s="1"/>
  <c r="AF321" i="8" a="1"/>
  <c r="AF321" i="8" s="1"/>
  <c r="AF312" i="8" a="1"/>
  <c r="AF312" i="8" s="1"/>
  <c r="AG308" i="8" a="1"/>
  <c r="AG308" i="8" s="1"/>
  <c r="AE303" i="8" a="1"/>
  <c r="AE303" i="8" s="1"/>
  <c r="AC302" i="8" a="1"/>
  <c r="AC302" i="8" s="1"/>
  <c r="AF299" i="8" a="1"/>
  <c r="AF299" i="8" s="1"/>
  <c r="AG291" i="8" a="1"/>
  <c r="AG291" i="8" s="1"/>
  <c r="AF289" i="8" a="1"/>
  <c r="AF289" i="8" s="1"/>
  <c r="AE288" i="8" a="1"/>
  <c r="AE288" i="8" s="1"/>
  <c r="AF287" i="8" a="1"/>
  <c r="AF287" i="8" s="1"/>
  <c r="AE286" i="8" a="1"/>
  <c r="AE286" i="8" s="1"/>
  <c r="AE285" i="8" a="1"/>
  <c r="AE285" i="8" s="1"/>
  <c r="AC281" i="8" a="1"/>
  <c r="AC281" i="8" s="1"/>
  <c r="AC279" i="8" a="1"/>
  <c r="AC279" i="8" s="1"/>
  <c r="AG270" i="8" a="1"/>
  <c r="AG270" i="8" s="1"/>
  <c r="AG269" i="8" a="1"/>
  <c r="AG269" i="8" s="1"/>
  <c r="AG268" i="8" a="1"/>
  <c r="AG268" i="8" s="1"/>
  <c r="AF267" i="8" a="1"/>
  <c r="AF267" i="8" s="1"/>
  <c r="AE263" i="8" a="1"/>
  <c r="AE263" i="8" s="1"/>
  <c r="AE261" i="8" a="1"/>
  <c r="AE261" i="8" s="1"/>
  <c r="AF246" i="8" a="1"/>
  <c r="AF246" i="8" s="1"/>
  <c r="AF243" i="8" a="1"/>
  <c r="AF243" i="8" s="1"/>
  <c r="AG242" i="8" a="1"/>
  <c r="AG242" i="8" s="1"/>
  <c r="AC349" i="8" a="1"/>
  <c r="AC349" i="8" s="1"/>
  <c r="AG343" i="8" a="1"/>
  <c r="AG343" i="8" s="1"/>
  <c r="AG317" i="8" a="1"/>
  <c r="AG317" i="8" s="1"/>
  <c r="AF315" i="8" a="1"/>
  <c r="AF315" i="8" s="1"/>
  <c r="AF308" i="8" a="1"/>
  <c r="AF308" i="8" s="1"/>
  <c r="AG304" i="8" a="1"/>
  <c r="AG304" i="8" s="1"/>
  <c r="AE299" i="8" a="1"/>
  <c r="AE299" i="8" s="1"/>
  <c r="AC298" i="8" a="1"/>
  <c r="AC298" i="8" s="1"/>
  <c r="AF295" i="8" a="1"/>
  <c r="AF295" i="8" s="1"/>
  <c r="AE290" i="8" a="1"/>
  <c r="AE290" i="8" s="1"/>
  <c r="AC285" i="8" a="1"/>
  <c r="AC285" i="8" s="1"/>
  <c r="AC283" i="8" a="1"/>
  <c r="AC283" i="8" s="1"/>
  <c r="AC282" i="8" a="1"/>
  <c r="AC282" i="8" s="1"/>
  <c r="AG274" i="8" a="1"/>
  <c r="AG274" i="8" s="1"/>
  <c r="AG272" i="8" a="1"/>
  <c r="AG272" i="8" s="1"/>
  <c r="AG271" i="8" a="1"/>
  <c r="AG271" i="8" s="1"/>
  <c r="AF268" i="8" a="1"/>
  <c r="AF268" i="8" s="1"/>
  <c r="AE267" i="8" a="1"/>
  <c r="AE267" i="8" s="1"/>
  <c r="AE265" i="8" a="1"/>
  <c r="AE265" i="8" s="1"/>
  <c r="AC258" i="8" a="1"/>
  <c r="AC258" i="8" s="1"/>
  <c r="AF370" i="8" a="1"/>
  <c r="AF370" i="8" s="1"/>
  <c r="AE355" i="8" a="1"/>
  <c r="AE355" i="8" s="1"/>
  <c r="AF348" i="8" a="1"/>
  <c r="AF348" i="8" s="1"/>
  <c r="AF342" i="8" a="1"/>
  <c r="AF342" i="8" s="1"/>
  <c r="AF327" i="8" a="1"/>
  <c r="AF327" i="8" s="1"/>
  <c r="AF317" i="8" a="1"/>
  <c r="AF317" i="8" s="1"/>
  <c r="AG313" i="8" a="1"/>
  <c r="AG313" i="8" s="1"/>
  <c r="AE312" i="8" a="1"/>
  <c r="AE312" i="8" s="1"/>
  <c r="AC311" i="8" a="1"/>
  <c r="AC311" i="8" s="1"/>
  <c r="AF304" i="8" a="1"/>
  <c r="AF304" i="8" s="1"/>
  <c r="AG300" i="8" a="1"/>
  <c r="AG300" i="8" s="1"/>
  <c r="AE295" i="8" a="1"/>
  <c r="AE295" i="8" s="1"/>
  <c r="AC294" i="8" a="1"/>
  <c r="AC294" i="8" s="1"/>
  <c r="AF291" i="8" a="1"/>
  <c r="AF291" i="8" s="1"/>
  <c r="AC287" i="8" a="1"/>
  <c r="AC287" i="8" s="1"/>
  <c r="AC284" i="8" a="1"/>
  <c r="AC284" i="8" s="1"/>
  <c r="AG276" i="8" a="1"/>
  <c r="AG276" i="8" s="1"/>
  <c r="AF272" i="8" a="1"/>
  <c r="AF272" i="8" s="1"/>
  <c r="AE271" i="8" a="1"/>
  <c r="AE271" i="8" s="1"/>
  <c r="AF270" i="8" a="1"/>
  <c r="AF270" i="8" s="1"/>
  <c r="AE269" i="8" a="1"/>
  <c r="AE269" i="8" s="1"/>
  <c r="AE268" i="8" a="1"/>
  <c r="AE268" i="8" s="1"/>
  <c r="AC262" i="8" a="1"/>
  <c r="AC262" i="8" s="1"/>
  <c r="AC260" i="8" a="1"/>
  <c r="AC260" i="8" s="1"/>
  <c r="AG253" i="8" a="1"/>
  <c r="AG253" i="8" s="1"/>
  <c r="AG251" i="8" a="1"/>
  <c r="AG251" i="8" s="1"/>
  <c r="AG250" i="8" a="1"/>
  <c r="AG250" i="8" s="1"/>
  <c r="AC247" i="8" a="1"/>
  <c r="AC247" i="8" s="1"/>
  <c r="AE246" i="8" a="1"/>
  <c r="AE246" i="8" s="1"/>
  <c r="AF245" i="8" a="1"/>
  <c r="AF245" i="8" s="1"/>
  <c r="AC244" i="8" a="1"/>
  <c r="AC244" i="8" s="1"/>
  <c r="AF242" i="8" a="1"/>
  <c r="AF242" i="8" s="1"/>
  <c r="AF239" i="8" a="1"/>
  <c r="AF239" i="8" s="1"/>
  <c r="AG238" i="8" a="1"/>
  <c r="AG238" i="8" s="1"/>
  <c r="AE236" i="8" a="1"/>
  <c r="AE236" i="8" s="1"/>
  <c r="AG235" i="8" a="1"/>
  <c r="AG235" i="8" s="1"/>
  <c r="AC234" i="8" a="1"/>
  <c r="AC234" i="8" s="1"/>
  <c r="AE233" i="8" a="1"/>
  <c r="AE233" i="8" s="1"/>
  <c r="AG232" i="8" a="1"/>
  <c r="AG232" i="8" s="1"/>
  <c r="AC231" i="8" a="1"/>
  <c r="AC231" i="8" s="1"/>
  <c r="AE424" i="8" a="1"/>
  <c r="AE424" i="8" s="1"/>
  <c r="AC367" i="8" a="1"/>
  <c r="AC367" i="8" s="1"/>
  <c r="AF323" i="8" a="1"/>
  <c r="AF323" i="8" s="1"/>
  <c r="AC315" i="8" a="1"/>
  <c r="AC315" i="8" s="1"/>
  <c r="AF309" i="8" a="1"/>
  <c r="AF309" i="8" s="1"/>
  <c r="AG301" i="8" a="1"/>
  <c r="AG301" i="8" s="1"/>
  <c r="AE300" i="8" a="1"/>
  <c r="AE300" i="8" s="1"/>
  <c r="AC299" i="8" a="1"/>
  <c r="AC299" i="8" s="1"/>
  <c r="AF292" i="8" a="1"/>
  <c r="AF292" i="8" s="1"/>
  <c r="AG277" i="8" a="1"/>
  <c r="AG277" i="8" s="1"/>
  <c r="AF276" i="8" a="1"/>
  <c r="AF276" i="8" s="1"/>
  <c r="AF274" i="8" a="1"/>
  <c r="AF274" i="8" s="1"/>
  <c r="AE273" i="8" a="1"/>
  <c r="AE273" i="8" s="1"/>
  <c r="AE270" i="8" a="1"/>
  <c r="AE270" i="8" s="1"/>
  <c r="AC266" i="8" a="1"/>
  <c r="AC266" i="8" s="1"/>
  <c r="AC265" i="8" a="1"/>
  <c r="AC265" i="8" s="1"/>
  <c r="AC264" i="8" a="1"/>
  <c r="AC264" i="8" s="1"/>
  <c r="AG257" i="8" a="1"/>
  <c r="AG257" i="8" s="1"/>
  <c r="AG255" i="8" a="1"/>
  <c r="AG255" i="8" s="1"/>
  <c r="AG254" i="8" a="1"/>
  <c r="AG254" i="8" s="1"/>
  <c r="AF226" i="8" a="1"/>
  <c r="AF226" i="8" s="1"/>
  <c r="AG220" i="8" a="1"/>
  <c r="AG220" i="8" s="1"/>
  <c r="AE219" i="8" a="1"/>
  <c r="AE219" i="8" s="1"/>
  <c r="AG218" i="8" a="1"/>
  <c r="AG218" i="8" s="1"/>
  <c r="AC360" i="8" a="1"/>
  <c r="AC360" i="8" s="1"/>
  <c r="AF340" i="8" a="1"/>
  <c r="AF340" i="8" s="1"/>
  <c r="AF310" i="8" a="1"/>
  <c r="AF310" i="8" s="1"/>
  <c r="AG306" i="8" a="1"/>
  <c r="AG306" i="8" s="1"/>
  <c r="AC300" i="8" a="1"/>
  <c r="AC300" i="8" s="1"/>
  <c r="AF278" i="8" a="1"/>
  <c r="AF278" i="8" s="1"/>
  <c r="AC270" i="8" a="1"/>
  <c r="AC270" i="8" s="1"/>
  <c r="AF259" i="8" a="1"/>
  <c r="AF259" i="8" s="1"/>
  <c r="AE256" i="8" a="1"/>
  <c r="AE256" i="8" s="1"/>
  <c r="AF253" i="8" a="1"/>
  <c r="AF253" i="8" s="1"/>
  <c r="AC246" i="8" a="1"/>
  <c r="AC246" i="8" s="1"/>
  <c r="AE244" i="8" a="1"/>
  <c r="AE244" i="8" s="1"/>
  <c r="AE240" i="8" a="1"/>
  <c r="AE240" i="8" s="1"/>
  <c r="AE237" i="8" a="1"/>
  <c r="AE237" i="8" s="1"/>
  <c r="AC236" i="8" a="1"/>
  <c r="AC236" i="8" s="1"/>
  <c r="AG234" i="8" a="1"/>
  <c r="AG234" i="8" s="1"/>
  <c r="AF233" i="8" a="1"/>
  <c r="AF233" i="8" s="1"/>
  <c r="AC228" i="8" a="1"/>
  <c r="AC228" i="8" s="1"/>
  <c r="AC226" i="8" a="1"/>
  <c r="AC226" i="8" s="1"/>
  <c r="AE224" i="8" a="1"/>
  <c r="AE224" i="8" s="1"/>
  <c r="AF223" i="8" a="1"/>
  <c r="AF223" i="8" s="1"/>
  <c r="AG222" i="8" a="1"/>
  <c r="AG222" i="8" s="1"/>
  <c r="AC220" i="8" a="1"/>
  <c r="AC220" i="8" s="1"/>
  <c r="AF217" i="8" a="1"/>
  <c r="AF217" i="8" s="1"/>
  <c r="AG213" i="8" a="1"/>
  <c r="AG213" i="8" s="1"/>
  <c r="AE211" i="8" a="1"/>
  <c r="AE211" i="8" s="1"/>
  <c r="AG210" i="8" a="1"/>
  <c r="AG210" i="8" s="1"/>
  <c r="AC209" i="8" a="1"/>
  <c r="AC209" i="8" s="1"/>
  <c r="AE208" i="8" a="1"/>
  <c r="AE208" i="8" s="1"/>
  <c r="AC206" i="8" a="1"/>
  <c r="AC206" i="8" s="1"/>
  <c r="AF204" i="8" a="1"/>
  <c r="AF204" i="8" s="1"/>
  <c r="AF201" i="8" a="1"/>
  <c r="AF201" i="8" s="1"/>
  <c r="AG197" i="8" a="1"/>
  <c r="AG197" i="8" s="1"/>
  <c r="AE195" i="8" a="1"/>
  <c r="AE195" i="8" s="1"/>
  <c r="AG194" i="8" a="1"/>
  <c r="AG194" i="8" s="1"/>
  <c r="AC193" i="8" a="1"/>
  <c r="AC193" i="8" s="1"/>
  <c r="AE192" i="8" a="1"/>
  <c r="AE192" i="8" s="1"/>
  <c r="AE353" i="8" a="1"/>
  <c r="AE353" i="8" s="1"/>
  <c r="AC326" i="8" a="1"/>
  <c r="AC326" i="8" s="1"/>
  <c r="AG289" i="8" a="1"/>
  <c r="AG289" i="8" s="1"/>
  <c r="AC273" i="8" a="1"/>
  <c r="AC273" i="8" s="1"/>
  <c r="AC267" i="8" a="1"/>
  <c r="AC267" i="8" s="1"/>
  <c r="AE253" i="8" a="1"/>
  <c r="AE253" i="8" s="1"/>
  <c r="AF250" i="8" a="1"/>
  <c r="AF250" i="8" s="1"/>
  <c r="AE248" i="8" a="1"/>
  <c r="AE248" i="8" s="1"/>
  <c r="AC242" i="8" a="1"/>
  <c r="AC242" i="8" s="1"/>
  <c r="AC240" i="8" a="1"/>
  <c r="AC240" i="8" s="1"/>
  <c r="AF238" i="8" a="1"/>
  <c r="AF238" i="8" s="1"/>
  <c r="AF222" i="8" a="1"/>
  <c r="AF222" i="8" s="1"/>
  <c r="AC219" i="8" a="1"/>
  <c r="AC219" i="8" s="1"/>
  <c r="AE217" i="8" a="1"/>
  <c r="AE217" i="8" s="1"/>
  <c r="AG216" i="8" a="1"/>
  <c r="AG216" i="8" s="1"/>
  <c r="AC215" i="8" a="1"/>
  <c r="AC215" i="8" s="1"/>
  <c r="AE214" i="8" a="1"/>
  <c r="AE214" i="8" s="1"/>
  <c r="AC212" i="8" a="1"/>
  <c r="AC212" i="8" s="1"/>
  <c r="AF210" i="8" a="1"/>
  <c r="AF210" i="8" s="1"/>
  <c r="AF207" i="8" a="1"/>
  <c r="AF207" i="8" s="1"/>
  <c r="AG203" i="8" a="1"/>
  <c r="AG203" i="8" s="1"/>
  <c r="AE201" i="8" a="1"/>
  <c r="AE201" i="8" s="1"/>
  <c r="AG200" i="8" a="1"/>
  <c r="AG200" i="8" s="1"/>
  <c r="AC199" i="8" a="1"/>
  <c r="AC199" i="8" s="1"/>
  <c r="AE198" i="8" a="1"/>
  <c r="AE198" i="8" s="1"/>
  <c r="AC196" i="8" a="1"/>
  <c r="AC196" i="8" s="1"/>
  <c r="AF194" i="8" a="1"/>
  <c r="AF194" i="8" s="1"/>
  <c r="AF191" i="8" a="1"/>
  <c r="AF191" i="8" s="1"/>
  <c r="AG187" i="8" a="1"/>
  <c r="AG187" i="8" s="1"/>
  <c r="AE185" i="8" a="1"/>
  <c r="AE185" i="8" s="1"/>
  <c r="AG184" i="8" a="1"/>
  <c r="AG184" i="8" s="1"/>
  <c r="AC183" i="8" a="1"/>
  <c r="AC183" i="8" s="1"/>
  <c r="AE182" i="8" a="1"/>
  <c r="AE182" i="8" s="1"/>
  <c r="AC180" i="8" a="1"/>
  <c r="AC180" i="8" s="1"/>
  <c r="AF178" i="8" a="1"/>
  <c r="AF178" i="8" s="1"/>
  <c r="AC313" i="8" a="1"/>
  <c r="AC313" i="8" s="1"/>
  <c r="AF306" i="8" a="1"/>
  <c r="AF306" i="8" s="1"/>
  <c r="AG302" i="8" a="1"/>
  <c r="AG302" i="8" s="1"/>
  <c r="AC296" i="8" a="1"/>
  <c r="AC296" i="8" s="1"/>
  <c r="AG286" i="8" a="1"/>
  <c r="AG286" i="8" s="1"/>
  <c r="AG283" i="8" a="1"/>
  <c r="AG283" i="8" s="1"/>
  <c r="AF280" i="8" a="1"/>
  <c r="AF280" i="8" s="1"/>
  <c r="AE278" i="8" a="1"/>
  <c r="AE278" i="8" s="1"/>
  <c r="AF261" i="8" a="1"/>
  <c r="AF261" i="8" s="1"/>
  <c r="AC253" i="8" a="1"/>
  <c r="AC253" i="8" s="1"/>
  <c r="AF241" i="8" a="1"/>
  <c r="AF241" i="8" s="1"/>
  <c r="AF234" i="8" a="1"/>
  <c r="AF234" i="8" s="1"/>
  <c r="AC232" i="8" a="1"/>
  <c r="AC232" i="8" s="1"/>
  <c r="AC225" i="8" a="1"/>
  <c r="AC225" i="8" s="1"/>
  <c r="AE223" i="8" a="1"/>
  <c r="AE223" i="8" s="1"/>
  <c r="AF221" i="8" a="1"/>
  <c r="AF221" i="8" s="1"/>
  <c r="AC218" i="8" a="1"/>
  <c r="AC218" i="8" s="1"/>
  <c r="AF216" i="8" a="1"/>
  <c r="AF216" i="8" s="1"/>
  <c r="AF213" i="8" a="1"/>
  <c r="AF213" i="8" s="1"/>
  <c r="AG209" i="8" a="1"/>
  <c r="AG209" i="8" s="1"/>
  <c r="AE207" i="8" a="1"/>
  <c r="AE207" i="8" s="1"/>
  <c r="AG206" i="8" a="1"/>
  <c r="AG206" i="8" s="1"/>
  <c r="AC205" i="8" a="1"/>
  <c r="AC205" i="8" s="1"/>
  <c r="AE204" i="8" a="1"/>
  <c r="AE204" i="8" s="1"/>
  <c r="AC202" i="8" a="1"/>
  <c r="AC202" i="8" s="1"/>
  <c r="AF200" i="8" a="1"/>
  <c r="AF200" i="8" s="1"/>
  <c r="AF197" i="8" a="1"/>
  <c r="AF197" i="8" s="1"/>
  <c r="AG193" i="8" a="1"/>
  <c r="AG193" i="8" s="1"/>
  <c r="AE191" i="8" a="1"/>
  <c r="AE191" i="8" s="1"/>
  <c r="AG190" i="8" a="1"/>
  <c r="AG190" i="8" s="1"/>
  <c r="AC189" i="8" a="1"/>
  <c r="AC189" i="8" s="1"/>
  <c r="AE188" i="8" a="1"/>
  <c r="AE188" i="8" s="1"/>
  <c r="AC186" i="8" a="1"/>
  <c r="AC186" i="8" s="1"/>
  <c r="AF184" i="8" a="1"/>
  <c r="AF184" i="8" s="1"/>
  <c r="AF181" i="8" a="1"/>
  <c r="AF181" i="8" s="1"/>
  <c r="AE305" i="8" a="1"/>
  <c r="AE305" i="8" s="1"/>
  <c r="AF277" i="8" a="1"/>
  <c r="AF277" i="8" s="1"/>
  <c r="AC272" i="8" a="1"/>
  <c r="AC272" i="8" s="1"/>
  <c r="AE258" i="8" a="1"/>
  <c r="AE258" i="8" s="1"/>
  <c r="AF255" i="8" a="1"/>
  <c r="AF255" i="8" s="1"/>
  <c r="AE252" i="8" a="1"/>
  <c r="AE252" i="8" s="1"/>
  <c r="AG247" i="8" a="1"/>
  <c r="AG247" i="8" s="1"/>
  <c r="AE245" i="8" a="1"/>
  <c r="AE245" i="8" s="1"/>
  <c r="AG243" i="8" a="1"/>
  <c r="AG243" i="8" s="1"/>
  <c r="AE238" i="8" a="1"/>
  <c r="AE238" i="8" s="1"/>
  <c r="AF235" i="8" a="1"/>
  <c r="AF235" i="8" s="1"/>
  <c r="AE234" i="8" a="1"/>
  <c r="AE234" i="8" s="1"/>
  <c r="AG230" i="8" a="1"/>
  <c r="AG230" i="8" s="1"/>
  <c r="AG228" i="8" a="1"/>
  <c r="AG228" i="8" s="1"/>
  <c r="AG227" i="8" a="1"/>
  <c r="AG227" i="8" s="1"/>
  <c r="AG226" i="8" a="1"/>
  <c r="AG226" i="8" s="1"/>
  <c r="AC224" i="8" a="1"/>
  <c r="AC224" i="8" s="1"/>
  <c r="AE222" i="8" a="1"/>
  <c r="AE222" i="8" s="1"/>
  <c r="AG215" i="8" a="1"/>
  <c r="AG215" i="8" s="1"/>
  <c r="AE213" i="8" a="1"/>
  <c r="AE213" i="8" s="1"/>
  <c r="AG212" i="8" a="1"/>
  <c r="AG212" i="8" s="1"/>
  <c r="AC211" i="8" a="1"/>
  <c r="AC211" i="8" s="1"/>
  <c r="AE210" i="8" a="1"/>
  <c r="AE210" i="8" s="1"/>
  <c r="AC208" i="8" a="1"/>
  <c r="AC208" i="8" s="1"/>
  <c r="AF206" i="8" a="1"/>
  <c r="AF206" i="8" s="1"/>
  <c r="AF203" i="8" a="1"/>
  <c r="AF203" i="8" s="1"/>
  <c r="AG199" i="8" a="1"/>
  <c r="AG199" i="8" s="1"/>
  <c r="AE197" i="8" a="1"/>
  <c r="AE197" i="8" s="1"/>
  <c r="AG196" i="8" a="1"/>
  <c r="AG196" i="8" s="1"/>
  <c r="AC195" i="8" a="1"/>
  <c r="AC195" i="8" s="1"/>
  <c r="AE194" i="8" a="1"/>
  <c r="AE194" i="8" s="1"/>
  <c r="AC192" i="8" a="1"/>
  <c r="AC192" i="8" s="1"/>
  <c r="AF190" i="8" a="1"/>
  <c r="AF190" i="8" s="1"/>
  <c r="AC334" i="8" a="1"/>
  <c r="AC334" i="8" s="1"/>
  <c r="AC309" i="8" a="1"/>
  <c r="AC309" i="8" s="1"/>
  <c r="AG298" i="8" a="1"/>
  <c r="AG298" i="8" s="1"/>
  <c r="AG285" i="8" a="1"/>
  <c r="AG285" i="8" s="1"/>
  <c r="AE280" i="8" a="1"/>
  <c r="AE280" i="8" s="1"/>
  <c r="AF249" i="8" a="1"/>
  <c r="AF249" i="8" s="1"/>
  <c r="AC243" i="8" a="1"/>
  <c r="AC243" i="8" s="1"/>
  <c r="AE241" i="8" a="1"/>
  <c r="AE241" i="8" s="1"/>
  <c r="AG239" i="8" a="1"/>
  <c r="AG239" i="8" s="1"/>
  <c r="AC238" i="8" a="1"/>
  <c r="AC238" i="8" s="1"/>
  <c r="AG236" i="8" a="1"/>
  <c r="AG236" i="8" s="1"/>
  <c r="AG231" i="8" a="1"/>
  <c r="AG231" i="8" s="1"/>
  <c r="AF230" i="8" a="1"/>
  <c r="AF230" i="8" s="1"/>
  <c r="AF229" i="8" a="1"/>
  <c r="AF229" i="8" s="1"/>
  <c r="AF227" i="8" a="1"/>
  <c r="AF227" i="8" s="1"/>
  <c r="AC223" i="8" a="1"/>
  <c r="AC223" i="8" s="1"/>
  <c r="AE221" i="8" a="1"/>
  <c r="AE221" i="8" s="1"/>
  <c r="AF220" i="8" a="1"/>
  <c r="AF220" i="8" s="1"/>
  <c r="AC217" i="8" a="1"/>
  <c r="AC217" i="8" s="1"/>
  <c r="AE216" i="8" a="1"/>
  <c r="AE216" i="8" s="1"/>
  <c r="AC214" i="8" a="1"/>
  <c r="AC214" i="8" s="1"/>
  <c r="AF212" i="8" a="1"/>
  <c r="AF212" i="8" s="1"/>
  <c r="AF209" i="8" a="1"/>
  <c r="AF209" i="8" s="1"/>
  <c r="AG205" i="8" a="1"/>
  <c r="AG205" i="8" s="1"/>
  <c r="AE203" i="8" a="1"/>
  <c r="AE203" i="8" s="1"/>
  <c r="AG202" i="8" a="1"/>
  <c r="AG202" i="8" s="1"/>
  <c r="AC201" i="8" a="1"/>
  <c r="AC201" i="8" s="1"/>
  <c r="AE200" i="8" a="1"/>
  <c r="AE200" i="8" s="1"/>
  <c r="AC198" i="8" a="1"/>
  <c r="AC198" i="8" s="1"/>
  <c r="AF196" i="8" a="1"/>
  <c r="AF196" i="8" s="1"/>
  <c r="AF193" i="8" a="1"/>
  <c r="AF193" i="8" s="1"/>
  <c r="AG189" i="8" a="1"/>
  <c r="AG189" i="8" s="1"/>
  <c r="AE187" i="8" a="1"/>
  <c r="AE187" i="8" s="1"/>
  <c r="AG186" i="8" a="1"/>
  <c r="AG186" i="8" s="1"/>
  <c r="AC185" i="8" a="1"/>
  <c r="AC185" i="8" s="1"/>
  <c r="AE184" i="8" a="1"/>
  <c r="AE184" i="8" s="1"/>
  <c r="AC182" i="8" a="1"/>
  <c r="AC182" i="8" s="1"/>
  <c r="AF180" i="8" a="1"/>
  <c r="AF180" i="8" s="1"/>
  <c r="AF341" i="8" a="1"/>
  <c r="AF341" i="8" s="1"/>
  <c r="AF314" i="8" a="1"/>
  <c r="AF314" i="8" s="1"/>
  <c r="AE297" i="8" a="1"/>
  <c r="AE297" i="8" s="1"/>
  <c r="AF293" i="8" a="1"/>
  <c r="AF293" i="8" s="1"/>
  <c r="AC290" i="8" a="1"/>
  <c r="AC290" i="8" s="1"/>
  <c r="AG287" i="8" a="1"/>
  <c r="AG287" i="8" s="1"/>
  <c r="AG281" i="8" a="1"/>
  <c r="AG281" i="8" s="1"/>
  <c r="AE276" i="8" a="1"/>
  <c r="AE276" i="8" s="1"/>
  <c r="AG262" i="8" a="1"/>
  <c r="AG262" i="8" s="1"/>
  <c r="AG256" i="8" a="1"/>
  <c r="AG256" i="8" s="1"/>
  <c r="AG246" i="8" a="1"/>
  <c r="AG246" i="8" s="1"/>
  <c r="AE242" i="8" a="1"/>
  <c r="AE242" i="8" s="1"/>
  <c r="AG240" i="8" a="1"/>
  <c r="AG240" i="8" s="1"/>
  <c r="AC239" i="8" a="1"/>
  <c r="AC239" i="8" s="1"/>
  <c r="AF237" i="8" a="1"/>
  <c r="AF237" i="8" s="1"/>
  <c r="AE232" i="8" a="1"/>
  <c r="AE232" i="8" s="1"/>
  <c r="AC230" i="8" a="1"/>
  <c r="AC230" i="8" s="1"/>
  <c r="AC227" i="8" a="1"/>
  <c r="AC227" i="8" s="1"/>
  <c r="AE225" i="8" a="1"/>
  <c r="AE225" i="8" s="1"/>
  <c r="AF224" i="8" a="1"/>
  <c r="AF224" i="8" s="1"/>
  <c r="AG223" i="8" a="1"/>
  <c r="AG223" i="8" s="1"/>
  <c r="AC221" i="8" a="1"/>
  <c r="AC221" i="8" s="1"/>
  <c r="AC216" i="8" a="1"/>
  <c r="AC216" i="8" s="1"/>
  <c r="AF214" i="8" a="1"/>
  <c r="AF214" i="8" s="1"/>
  <c r="AF211" i="8" a="1"/>
  <c r="AF211" i="8" s="1"/>
  <c r="AG207" i="8" a="1"/>
  <c r="AG207" i="8" s="1"/>
  <c r="AE205" i="8" a="1"/>
  <c r="AE205" i="8" s="1"/>
  <c r="AG204" i="8" a="1"/>
  <c r="AG204" i="8" s="1"/>
  <c r="AC203" i="8" a="1"/>
  <c r="AC203" i="8" s="1"/>
  <c r="AE202" i="8" a="1"/>
  <c r="AE202" i="8" s="1"/>
  <c r="AC200" i="8" a="1"/>
  <c r="AC200" i="8" s="1"/>
  <c r="AF198" i="8" a="1"/>
  <c r="AF198" i="8" s="1"/>
  <c r="AF195" i="8" a="1"/>
  <c r="AF195" i="8" s="1"/>
  <c r="AF282" i="8" a="1"/>
  <c r="AF282" i="8" s="1"/>
  <c r="AF260" i="8" a="1"/>
  <c r="AF260" i="8" s="1"/>
  <c r="AF219" i="8" a="1"/>
  <c r="AF219" i="8" s="1"/>
  <c r="AC207" i="8" a="1"/>
  <c r="AC207" i="8" s="1"/>
  <c r="AC204" i="8" a="1"/>
  <c r="AC204" i="8" s="1"/>
  <c r="AC184" i="8" a="1"/>
  <c r="AC184" i="8" s="1"/>
  <c r="AG181" i="8" a="1"/>
  <c r="AG181" i="8" s="1"/>
  <c r="AE180" i="8" a="1"/>
  <c r="AE180" i="8" s="1"/>
  <c r="AE179" i="8" a="1"/>
  <c r="AE179" i="8" s="1"/>
  <c r="AG173" i="8" a="1"/>
  <c r="AG173" i="8" s="1"/>
  <c r="AE171" i="8" a="1"/>
  <c r="AE171" i="8" s="1"/>
  <c r="AG170" i="8" a="1"/>
  <c r="AG170" i="8" s="1"/>
  <c r="AC169" i="8" a="1"/>
  <c r="AC169" i="8" s="1"/>
  <c r="AE168" i="8" a="1"/>
  <c r="AE168" i="8" s="1"/>
  <c r="AC166" i="8" a="1"/>
  <c r="AC166" i="8" s="1"/>
  <c r="AF164" i="8" a="1"/>
  <c r="AF164" i="8" s="1"/>
  <c r="AG160" i="8" a="1"/>
  <c r="AG160" i="8" s="1"/>
  <c r="AG158" i="8" a="1"/>
  <c r="AG158" i="8" s="1"/>
  <c r="AE157" i="8" a="1"/>
  <c r="AE157" i="8" s="1"/>
  <c r="AC156" i="8" a="1"/>
  <c r="AC156" i="8" s="1"/>
  <c r="AE155" i="8" a="1"/>
  <c r="AE155" i="8" s="1"/>
  <c r="AC154" i="8" a="1"/>
  <c r="AC154" i="8" s="1"/>
  <c r="AF151" i="8" a="1"/>
  <c r="AF151" i="8" s="1"/>
  <c r="AF149" i="8" a="1"/>
  <c r="AF149" i="8" s="1"/>
  <c r="AG143" i="8" a="1"/>
  <c r="AG143" i="8" s="1"/>
  <c r="AC143" i="8" a="1"/>
  <c r="AC143" i="8" s="1"/>
  <c r="AF142" i="8" a="1"/>
  <c r="AF142" i="8" s="1"/>
  <c r="AE141" i="8" a="1"/>
  <c r="AE141" i="8" s="1"/>
  <c r="AG139" i="8" a="1"/>
  <c r="AG139" i="8" s="1"/>
  <c r="AC139" i="8" a="1"/>
  <c r="AC139" i="8" s="1"/>
  <c r="AF138" i="8" a="1"/>
  <c r="AF138" i="8" s="1"/>
  <c r="AE137" i="8" a="1"/>
  <c r="AE137" i="8" s="1"/>
  <c r="AG135" i="8" a="1"/>
  <c r="AG135" i="8" s="1"/>
  <c r="AC135" i="8" a="1"/>
  <c r="AC135" i="8" s="1"/>
  <c r="AF134" i="8" a="1"/>
  <c r="AF134" i="8" s="1"/>
  <c r="AE133" i="8" a="1"/>
  <c r="AE133" i="8" s="1"/>
  <c r="AG131" i="8" a="1"/>
  <c r="AG131" i="8" s="1"/>
  <c r="AC131" i="8" a="1"/>
  <c r="AC131" i="8" s="1"/>
  <c r="AF130" i="8" a="1"/>
  <c r="AF130" i="8" s="1"/>
  <c r="AE129" i="8" a="1"/>
  <c r="AE129" i="8" s="1"/>
  <c r="AG127" i="8" a="1"/>
  <c r="AG127" i="8" s="1"/>
  <c r="AC127" i="8" a="1"/>
  <c r="AC127" i="8" s="1"/>
  <c r="AF126" i="8" a="1"/>
  <c r="AF126" i="8" s="1"/>
  <c r="AE125" i="8" a="1"/>
  <c r="AE125" i="8" s="1"/>
  <c r="AG123" i="8" a="1"/>
  <c r="AG123" i="8" s="1"/>
  <c r="AG259" i="8" a="1"/>
  <c r="AG259" i="8" s="1"/>
  <c r="AE249" i="8" a="1"/>
  <c r="AE249" i="8" s="1"/>
  <c r="AC235" i="8" a="1"/>
  <c r="AC235" i="8" s="1"/>
  <c r="AE230" i="8" a="1"/>
  <c r="AE230" i="8" s="1"/>
  <c r="AE226" i="8" a="1"/>
  <c r="AE226" i="8" s="1"/>
  <c r="AC213" i="8" a="1"/>
  <c r="AC213" i="8" s="1"/>
  <c r="AC210" i="8" a="1"/>
  <c r="AC210" i="8" s="1"/>
  <c r="AF187" i="8" a="1"/>
  <c r="AF187" i="8" s="1"/>
  <c r="AE186" i="8" a="1"/>
  <c r="AE186" i="8" s="1"/>
  <c r="AG182" i="8" a="1"/>
  <c r="AG182" i="8" s="1"/>
  <c r="AE181" i="8" a="1"/>
  <c r="AE181" i="8" s="1"/>
  <c r="AE178" i="8" a="1"/>
  <c r="AE178" i="8" s="1"/>
  <c r="AF177" i="8" a="1"/>
  <c r="AF177" i="8" s="1"/>
  <c r="AG176" i="8" a="1"/>
  <c r="AG176" i="8" s="1"/>
  <c r="AC175" i="8" a="1"/>
  <c r="AC175" i="8" s="1"/>
  <c r="AE174" i="8" a="1"/>
  <c r="AE174" i="8" s="1"/>
  <c r="AC172" i="8" a="1"/>
  <c r="AC172" i="8" s="1"/>
  <c r="AF170" i="8" a="1"/>
  <c r="AF170" i="8" s="1"/>
  <c r="AF167" i="8" a="1"/>
  <c r="AF167" i="8" s="1"/>
  <c r="AF162" i="8" a="1"/>
  <c r="AF162" i="8" s="1"/>
  <c r="AF160" i="8" a="1"/>
  <c r="AF160" i="8" s="1"/>
  <c r="AG156" i="8" a="1"/>
  <c r="AG156" i="8" s="1"/>
  <c r="AG154" i="8" a="1"/>
  <c r="AG154" i="8" s="1"/>
  <c r="AE153" i="8" a="1"/>
  <c r="AE153" i="8" s="1"/>
  <c r="AC152" i="8" a="1"/>
  <c r="AC152" i="8" s="1"/>
  <c r="AE151" i="8" a="1"/>
  <c r="AE151" i="8" s="1"/>
  <c r="AC150" i="8" a="1"/>
  <c r="AC150" i="8" s="1"/>
  <c r="AF147" i="8" a="1"/>
  <c r="AF147" i="8" s="1"/>
  <c r="AF145" i="8" a="1"/>
  <c r="AF145" i="8" s="1"/>
  <c r="AC304" i="8" a="1"/>
  <c r="AC304" i="8" s="1"/>
  <c r="AF279" i="8" a="1"/>
  <c r="AF279" i="8" s="1"/>
  <c r="AC268" i="8" a="1"/>
  <c r="AC268" i="8" s="1"/>
  <c r="AF218" i="8" a="1"/>
  <c r="AF218" i="8" s="1"/>
  <c r="AE215" i="8" a="1"/>
  <c r="AE215" i="8" s="1"/>
  <c r="AE212" i="8" a="1"/>
  <c r="AE212" i="8" s="1"/>
  <c r="AC197" i="8" a="1"/>
  <c r="AC197" i="8" s="1"/>
  <c r="AC194" i="8" a="1"/>
  <c r="AC194" i="8" s="1"/>
  <c r="AG191" i="8" a="1"/>
  <c r="AG191" i="8" s="1"/>
  <c r="AF188" i="8" a="1"/>
  <c r="AF188" i="8" s="1"/>
  <c r="AF183" i="8" a="1"/>
  <c r="AF183" i="8" s="1"/>
  <c r="AC181" i="8" a="1"/>
  <c r="AC181" i="8" s="1"/>
  <c r="AG175" i="8" a="1"/>
  <c r="AG175" i="8" s="1"/>
  <c r="AE173" i="8" a="1"/>
  <c r="AE173" i="8" s="1"/>
  <c r="AG172" i="8" a="1"/>
  <c r="AG172" i="8" s="1"/>
  <c r="AC171" i="8" a="1"/>
  <c r="AC171" i="8" s="1"/>
  <c r="AE170" i="8" a="1"/>
  <c r="AE170" i="8" s="1"/>
  <c r="AC168" i="8" a="1"/>
  <c r="AC168" i="8" s="1"/>
  <c r="AF166" i="8" a="1"/>
  <c r="AF166" i="8" s="1"/>
  <c r="AG163" i="8" a="1"/>
  <c r="AG163" i="8" s="1"/>
  <c r="AE162" i="8" a="1"/>
  <c r="AE162" i="8" s="1"/>
  <c r="AG161" i="8" a="1"/>
  <c r="AG161" i="8" s="1"/>
  <c r="AE160" i="8" a="1"/>
  <c r="AE160" i="8" s="1"/>
  <c r="AC159" i="8" a="1"/>
  <c r="AC159" i="8" s="1"/>
  <c r="AC157" i="8" a="1"/>
  <c r="AC157" i="8" s="1"/>
  <c r="AF154" i="8" a="1"/>
  <c r="AF154" i="8" s="1"/>
  <c r="AF152" i="8" a="1"/>
  <c r="AF152" i="8" s="1"/>
  <c r="AG148" i="8" a="1"/>
  <c r="AG148" i="8" s="1"/>
  <c r="AG146" i="8" a="1"/>
  <c r="AG146" i="8" s="1"/>
  <c r="AE145" i="8" a="1"/>
  <c r="AE145" i="8" s="1"/>
  <c r="AC144" i="8" a="1"/>
  <c r="AC144" i="8" s="1"/>
  <c r="AE301" i="8" a="1"/>
  <c r="AE301" i="8" s="1"/>
  <c r="AE228" i="8" a="1"/>
  <c r="AE228" i="8" s="1"/>
  <c r="AG211" i="8" a="1"/>
  <c r="AG211" i="8" s="1"/>
  <c r="AG208" i="8" a="1"/>
  <c r="AG208" i="8" s="1"/>
  <c r="AF202" i="8" a="1"/>
  <c r="AF202" i="8" s="1"/>
  <c r="AF199" i="8" a="1"/>
  <c r="AF199" i="8" s="1"/>
  <c r="AE193" i="8" a="1"/>
  <c r="AE193" i="8" s="1"/>
  <c r="AC191" i="8" a="1"/>
  <c r="AC191" i="8" s="1"/>
  <c r="AF189" i="8" a="1"/>
  <c r="AF189" i="8" s="1"/>
  <c r="AC187" i="8" a="1"/>
  <c r="AC187" i="8" s="1"/>
  <c r="AE183" i="8" a="1"/>
  <c r="AE183" i="8" s="1"/>
  <c r="AC178" i="8" a="1"/>
  <c r="AC178" i="8" s="1"/>
  <c r="AE176" i="8" a="1"/>
  <c r="AE176" i="8" s="1"/>
  <c r="AC174" i="8" a="1"/>
  <c r="AC174" i="8" s="1"/>
  <c r="AF172" i="8" a="1"/>
  <c r="AF172" i="8" s="1"/>
  <c r="AF169" i="8" a="1"/>
  <c r="AF169" i="8" s="1"/>
  <c r="AG165" i="8" a="1"/>
  <c r="AG165" i="8" s="1"/>
  <c r="AG159" i="8" a="1"/>
  <c r="AG159" i="8" s="1"/>
  <c r="AE158" i="8" a="1"/>
  <c r="AE158" i="8" s="1"/>
  <c r="AG157" i="8" a="1"/>
  <c r="AG157" i="8" s="1"/>
  <c r="AE156" i="8" a="1"/>
  <c r="AE156" i="8" s="1"/>
  <c r="AC155" i="8" a="1"/>
  <c r="AC155" i="8" s="1"/>
  <c r="AC153" i="8" a="1"/>
  <c r="AC153" i="8" s="1"/>
  <c r="AF150" i="8" a="1"/>
  <c r="AF150" i="8" s="1"/>
  <c r="AF148" i="8" a="1"/>
  <c r="AF148" i="8" s="1"/>
  <c r="AG144" i="8" a="1"/>
  <c r="AG144" i="8" s="1"/>
  <c r="AE143" i="8" a="1"/>
  <c r="AE143" i="8" s="1"/>
  <c r="AG141" i="8" a="1"/>
  <c r="AG141" i="8" s="1"/>
  <c r="AC141" i="8" a="1"/>
  <c r="AC141" i="8" s="1"/>
  <c r="AF140" i="8" a="1"/>
  <c r="AF140" i="8" s="1"/>
  <c r="AE139" i="8" a="1"/>
  <c r="AE139" i="8" s="1"/>
  <c r="AG137" i="8" a="1"/>
  <c r="AG137" i="8" s="1"/>
  <c r="AC137" i="8" a="1"/>
  <c r="AC137" i="8" s="1"/>
  <c r="AF136" i="8" a="1"/>
  <c r="AF136" i="8" s="1"/>
  <c r="AE135" i="8" a="1"/>
  <c r="AE135" i="8" s="1"/>
  <c r="AG133" i="8" a="1"/>
  <c r="AG133" i="8" s="1"/>
  <c r="AC133" i="8" a="1"/>
  <c r="AC133" i="8" s="1"/>
  <c r="AF132" i="8" a="1"/>
  <c r="AF132" i="8" s="1"/>
  <c r="AE131" i="8" a="1"/>
  <c r="AE131" i="8" s="1"/>
  <c r="AG129" i="8" a="1"/>
  <c r="AG129" i="8" s="1"/>
  <c r="AC129" i="8" a="1"/>
  <c r="AC129" i="8" s="1"/>
  <c r="AF128" i="8" a="1"/>
  <c r="AF128" i="8" s="1"/>
  <c r="AF231" i="8" a="1"/>
  <c r="AF231" i="8" s="1"/>
  <c r="AG201" i="8" a="1"/>
  <c r="AG201" i="8" s="1"/>
  <c r="AG198" i="8" a="1"/>
  <c r="AG198" i="8" s="1"/>
  <c r="AF192" i="8" a="1"/>
  <c r="AF192" i="8" s="1"/>
  <c r="AE190" i="8" a="1"/>
  <c r="AE190" i="8" s="1"/>
  <c r="AF186" i="8" a="1"/>
  <c r="AF186" i="8" s="1"/>
  <c r="AF185" i="8" a="1"/>
  <c r="AF185" i="8" s="1"/>
  <c r="AF179" i="8" a="1"/>
  <c r="AF179" i="8" s="1"/>
  <c r="AG178" i="8" a="1"/>
  <c r="AG178" i="8" s="1"/>
  <c r="AG177" i="8" a="1"/>
  <c r="AG177" i="8" s="1"/>
  <c r="AC176" i="8" a="1"/>
  <c r="AC176" i="8" s="1"/>
  <c r="AF174" i="8" a="1"/>
  <c r="AF174" i="8" s="1"/>
  <c r="AF171" i="8" a="1"/>
  <c r="AF171" i="8" s="1"/>
  <c r="AG167" i="8" a="1"/>
  <c r="AG167" i="8" s="1"/>
  <c r="AE165" i="8" a="1"/>
  <c r="AE165" i="8" s="1"/>
  <c r="AG164" i="8" a="1"/>
  <c r="AG164" i="8" s="1"/>
  <c r="AG162" i="8" a="1"/>
  <c r="AG162" i="8" s="1"/>
  <c r="AE161" i="8" a="1"/>
  <c r="AE161" i="8" s="1"/>
  <c r="AC160" i="8" a="1"/>
  <c r="AC160" i="8" s="1"/>
  <c r="AE159" i="8" a="1"/>
  <c r="AE159" i="8" s="1"/>
  <c r="AC158" i="8" a="1"/>
  <c r="AC158" i="8" s="1"/>
  <c r="AF155" i="8" a="1"/>
  <c r="AF155" i="8" s="1"/>
  <c r="AF153" i="8" a="1"/>
  <c r="AF153" i="8" s="1"/>
  <c r="AG147" i="8" a="1"/>
  <c r="AG147" i="8" s="1"/>
  <c r="AE146" i="8" a="1"/>
  <c r="AE146" i="8" s="1"/>
  <c r="AG145" i="8" a="1"/>
  <c r="AG145" i="8" s="1"/>
  <c r="AE144" i="8" a="1"/>
  <c r="AE144" i="8" s="1"/>
  <c r="AG244" i="8" a="1"/>
  <c r="AG244" i="8" s="1"/>
  <c r="AE229" i="8" a="1"/>
  <c r="AE229" i="8" s="1"/>
  <c r="AE220" i="8" a="1"/>
  <c r="AE220" i="8" s="1"/>
  <c r="AG195" i="8" a="1"/>
  <c r="AG195" i="8" s="1"/>
  <c r="AE189" i="8" a="1"/>
  <c r="AE189" i="8" s="1"/>
  <c r="AG179" i="8" a="1"/>
  <c r="AG179" i="8" s="1"/>
  <c r="AE177" i="8" a="1"/>
  <c r="AE177" i="8" s="1"/>
  <c r="AE175" i="8" a="1"/>
  <c r="AE175" i="8" s="1"/>
  <c r="AC167" i="8" a="1"/>
  <c r="AC167" i="8" s="1"/>
  <c r="AC165" i="8" a="1"/>
  <c r="AC165" i="8" s="1"/>
  <c r="AE163" i="8" a="1"/>
  <c r="AE163" i="8" s="1"/>
  <c r="AF161" i="8" a="1"/>
  <c r="AF161" i="8" s="1"/>
  <c r="AC151" i="8" a="1"/>
  <c r="AC151" i="8" s="1"/>
  <c r="AE149" i="8" a="1"/>
  <c r="AE149" i="8" s="1"/>
  <c r="AG142" i="8" a="1"/>
  <c r="AG142" i="8" s="1"/>
  <c r="AF139" i="8" a="1"/>
  <c r="AF139" i="8" s="1"/>
  <c r="AC138" i="8" a="1"/>
  <c r="AC138" i="8" s="1"/>
  <c r="AF133" i="8" a="1"/>
  <c r="AF133" i="8" s="1"/>
  <c r="AE130" i="8" a="1"/>
  <c r="AE130" i="8" s="1"/>
  <c r="AF127" i="8" a="1"/>
  <c r="AF127" i="8" s="1"/>
  <c r="AE126" i="8" a="1"/>
  <c r="AE126" i="8" s="1"/>
  <c r="AC124" i="8" a="1"/>
  <c r="AC124" i="8" s="1"/>
  <c r="AC123" i="8" a="1"/>
  <c r="AC123" i="8" s="1"/>
  <c r="AE120" i="8" a="1"/>
  <c r="AE120" i="8" s="1"/>
  <c r="AG185" i="8" a="1"/>
  <c r="AG185" i="8" s="1"/>
  <c r="AF182" i="8" a="1"/>
  <c r="AF182" i="8" s="1"/>
  <c r="AC177" i="8" a="1"/>
  <c r="AC177" i="8" s="1"/>
  <c r="AC173" i="8" a="1"/>
  <c r="AC173" i="8" s="1"/>
  <c r="AC163" i="8" a="1"/>
  <c r="AC163" i="8" s="1"/>
  <c r="AE154" i="8" a="1"/>
  <c r="AE154" i="8" s="1"/>
  <c r="AG152" i="8" a="1"/>
  <c r="AG152" i="8" s="1"/>
  <c r="AC149" i="8" a="1"/>
  <c r="AC149" i="8" s="1"/>
  <c r="AE147" i="8" a="1"/>
  <c r="AE147" i="8" s="1"/>
  <c r="AE142" i="8" a="1"/>
  <c r="AE142" i="8" s="1"/>
  <c r="AE136" i="8" a="1"/>
  <c r="AE136" i="8" s="1"/>
  <c r="AG128" i="8" a="1"/>
  <c r="AG128" i="8" s="1"/>
  <c r="AE127" i="8" a="1"/>
  <c r="AE127" i="8" s="1"/>
  <c r="AC125" i="8" a="1"/>
  <c r="AC125" i="8" s="1"/>
  <c r="AC122" i="8" a="1"/>
  <c r="AC122" i="8" s="1"/>
  <c r="AC121" i="8" a="1"/>
  <c r="AC121" i="8" s="1"/>
  <c r="O7" i="8"/>
  <c r="AF297" i="8" a="1"/>
  <c r="AF297" i="8" s="1"/>
  <c r="AG217" i="8" a="1"/>
  <c r="AG217" i="8" s="1"/>
  <c r="AE209" i="8" a="1"/>
  <c r="AE209" i="8" s="1"/>
  <c r="AG188" i="8" a="1"/>
  <c r="AG188" i="8" s="1"/>
  <c r="AC179" i="8" a="1"/>
  <c r="AC179" i="8" s="1"/>
  <c r="AG168" i="8" a="1"/>
  <c r="AG168" i="8" s="1"/>
  <c r="AG166" i="8" a="1"/>
  <c r="AG166" i="8" s="1"/>
  <c r="AC161" i="8" a="1"/>
  <c r="AC161" i="8" s="1"/>
  <c r="AF159" i="8" a="1"/>
  <c r="AF159" i="8" s="1"/>
  <c r="AE152" i="8" a="1"/>
  <c r="AE152" i="8" s="1"/>
  <c r="AG150" i="8" a="1"/>
  <c r="AG150" i="8" s="1"/>
  <c r="AG140" i="8" a="1"/>
  <c r="AG140" i="8" s="1"/>
  <c r="AC136" i="8" a="1"/>
  <c r="AC136" i="8" s="1"/>
  <c r="AG134" i="8" a="1"/>
  <c r="AG134" i="8" s="1"/>
  <c r="AF131" i="8" a="1"/>
  <c r="AF131" i="8" s="1"/>
  <c r="AC130" i="8" a="1"/>
  <c r="AC130" i="8" s="1"/>
  <c r="AC120" i="8" a="1"/>
  <c r="AC120" i="8" s="1"/>
  <c r="AE346" i="8" a="1"/>
  <c r="AE346" i="8" s="1"/>
  <c r="AG225" i="8" a="1"/>
  <c r="AG225" i="8" s="1"/>
  <c r="AF208" i="8" a="1"/>
  <c r="AF208" i="8" s="1"/>
  <c r="AG192" i="8" a="1"/>
  <c r="AG192" i="8" s="1"/>
  <c r="AC188" i="8" a="1"/>
  <c r="AC188" i="8" s="1"/>
  <c r="AF176" i="8" a="1"/>
  <c r="AF176" i="8" s="1"/>
  <c r="AG174" i="8" a="1"/>
  <c r="AG174" i="8" s="1"/>
  <c r="AF168" i="8" a="1"/>
  <c r="AF168" i="8" s="1"/>
  <c r="AE166" i="8" a="1"/>
  <c r="AE166" i="8" s="1"/>
  <c r="AE164" i="8" a="1"/>
  <c r="AE164" i="8" s="1"/>
  <c r="AF157" i="8" a="1"/>
  <c r="AF157" i="8" s="1"/>
  <c r="AG155" i="8" a="1"/>
  <c r="AG155" i="8" s="1"/>
  <c r="AC147" i="8" a="1"/>
  <c r="AC147" i="8" s="1"/>
  <c r="AF143" i="8" a="1"/>
  <c r="AF143" i="8" s="1"/>
  <c r="AC142" i="8" a="1"/>
  <c r="AC142" i="8" s="1"/>
  <c r="AF137" i="8" a="1"/>
  <c r="AF137" i="8" s="1"/>
  <c r="AE134" i="8" a="1"/>
  <c r="AE134" i="8" s="1"/>
  <c r="AE128" i="8" a="1"/>
  <c r="AE128" i="8" s="1"/>
  <c r="AC126" i="8" a="1"/>
  <c r="AC126" i="8" s="1"/>
  <c r="AF257" i="8" a="1"/>
  <c r="AF257" i="8" s="1"/>
  <c r="AG224" i="8" a="1"/>
  <c r="AG224" i="8" s="1"/>
  <c r="AF215" i="8" a="1"/>
  <c r="AF215" i="8" s="1"/>
  <c r="AE199" i="8" a="1"/>
  <c r="AE199" i="8" s="1"/>
  <c r="AE172" i="8" a="1"/>
  <c r="AE172" i="8" s="1"/>
  <c r="AG153" i="8" a="1"/>
  <c r="AG153" i="8" s="1"/>
  <c r="AE150" i="8" a="1"/>
  <c r="AE150" i="8" s="1"/>
  <c r="AC145" i="8" a="1"/>
  <c r="AC145" i="8" s="1"/>
  <c r="AE140" i="8" a="1"/>
  <c r="AE140" i="8" s="1"/>
  <c r="AG132" i="8" a="1"/>
  <c r="AG132" i="8" s="1"/>
  <c r="AC128" i="8" a="1"/>
  <c r="AC128" i="8" s="1"/>
  <c r="AG124" i="8" a="1"/>
  <c r="AG124" i="8" s="1"/>
  <c r="AF123" i="8" a="1"/>
  <c r="AF123" i="8" s="1"/>
  <c r="AG122" i="8" a="1"/>
  <c r="AG122" i="8" s="1"/>
  <c r="AG121" i="8" a="1"/>
  <c r="AG121" i="8" s="1"/>
  <c r="AE254" i="8" a="1"/>
  <c r="AE254" i="8" s="1"/>
  <c r="AG214" i="8" a="1"/>
  <c r="AG214" i="8" s="1"/>
  <c r="AE206" i="8" a="1"/>
  <c r="AE206" i="8" s="1"/>
  <c r="AC170" i="8" a="1"/>
  <c r="AC170" i="8" s="1"/>
  <c r="AC164" i="8" a="1"/>
  <c r="AC164" i="8" s="1"/>
  <c r="AE148" i="8" a="1"/>
  <c r="AE148" i="8" s="1"/>
  <c r="AC140" i="8" a="1"/>
  <c r="AC140" i="8" s="1"/>
  <c r="AG138" i="8" a="1"/>
  <c r="AG138" i="8" s="1"/>
  <c r="AC134" i="8" a="1"/>
  <c r="AC134" i="8" s="1"/>
  <c r="AG125" i="8" a="1"/>
  <c r="AG125" i="8" s="1"/>
  <c r="AE123" i="8" a="1"/>
  <c r="AE123" i="8" s="1"/>
  <c r="AG120" i="8" a="1"/>
  <c r="AG120" i="8" s="1"/>
  <c r="AG279" i="8" a="1"/>
  <c r="AG279" i="8" s="1"/>
  <c r="AC222" i="8" a="1"/>
  <c r="AC222" i="8" s="1"/>
  <c r="AG183" i="8" a="1"/>
  <c r="AG183" i="8" s="1"/>
  <c r="AG180" i="8" a="1"/>
  <c r="AG180" i="8" s="1"/>
  <c r="AG171" i="8" a="1"/>
  <c r="AG171" i="8" s="1"/>
  <c r="AG169" i="8" a="1"/>
  <c r="AG169" i="8" s="1"/>
  <c r="AC162" i="8" a="1"/>
  <c r="AC162" i="8" s="1"/>
  <c r="AG151" i="8" a="1"/>
  <c r="AG151" i="8" s="1"/>
  <c r="AC148" i="8" a="1"/>
  <c r="AC148" i="8" s="1"/>
  <c r="AE138" i="8" a="1"/>
  <c r="AE138" i="8" s="1"/>
  <c r="AE132" i="8" a="1"/>
  <c r="AE132" i="8" s="1"/>
  <c r="AE122" i="8" a="1"/>
  <c r="AE122" i="8" s="1"/>
  <c r="AE196" i="8" a="1"/>
  <c r="AE196" i="8" s="1"/>
  <c r="AC190" i="8" a="1"/>
  <c r="AC190" i="8" s="1"/>
  <c r="AF175" i="8" a="1"/>
  <c r="AF175" i="8" s="1"/>
  <c r="AF173" i="8" a="1"/>
  <c r="AF173" i="8" s="1"/>
  <c r="AE169" i="8" a="1"/>
  <c r="AE169" i="8" s="1"/>
  <c r="AE167" i="8" a="1"/>
  <c r="AE167" i="8" s="1"/>
  <c r="AF165" i="8" a="1"/>
  <c r="AF165" i="8" s="1"/>
  <c r="AF163" i="8" a="1"/>
  <c r="AF163" i="8" s="1"/>
  <c r="AF156" i="8" a="1"/>
  <c r="AF156" i="8" s="1"/>
  <c r="AG149" i="8" a="1"/>
  <c r="AG149" i="8" s="1"/>
  <c r="AC146" i="8" a="1"/>
  <c r="AC146" i="8" s="1"/>
  <c r="AG136" i="8" a="1"/>
  <c r="AG136" i="8" s="1"/>
  <c r="AC132" i="8" a="1"/>
  <c r="AC132" i="8" s="1"/>
  <c r="AG130" i="8" a="1"/>
  <c r="AG130" i="8" s="1"/>
  <c r="AG126" i="8" a="1"/>
  <c r="AG126" i="8" s="1"/>
  <c r="AF125" i="8" a="1"/>
  <c r="AF125" i="8" s="1"/>
  <c r="AE124" i="8" a="1"/>
  <c r="AE124" i="8" s="1"/>
  <c r="AE121" i="8" a="1"/>
  <c r="AE121" i="8" s="1"/>
  <c r="S20" i="8"/>
  <c r="S23" i="8"/>
  <c r="S21" i="8"/>
  <c r="S19" i="8"/>
  <c r="S27" i="8"/>
  <c r="AC33" i="9"/>
  <c r="AA33" i="9" s="1"/>
  <c r="AC27" i="9"/>
  <c r="AA27" i="9" s="1"/>
  <c r="J35" i="14" l="1"/>
  <c r="N36" i="19"/>
  <c r="I20" i="38"/>
  <c r="P20" i="38"/>
  <c r="I19" i="60"/>
  <c r="P19" i="60"/>
  <c r="I18" i="78"/>
  <c r="P18" i="78"/>
  <c r="I17" i="70"/>
  <c r="P17" i="70"/>
  <c r="I17" i="80"/>
  <c r="P17" i="80"/>
  <c r="I17" i="96"/>
  <c r="P17" i="96"/>
  <c r="I18" i="94"/>
  <c r="P18" i="94"/>
  <c r="I19" i="89"/>
  <c r="P19" i="89"/>
  <c r="I19" i="95"/>
  <c r="P19" i="95"/>
  <c r="I20" i="95"/>
  <c r="P20" i="95"/>
  <c r="I20" i="93"/>
  <c r="P20" i="93"/>
  <c r="I17" i="105"/>
  <c r="P17" i="105"/>
  <c r="I17" i="112"/>
  <c r="P17" i="112"/>
  <c r="I18" i="106"/>
  <c r="P18" i="106"/>
  <c r="I18" i="110"/>
  <c r="P18" i="110"/>
  <c r="I19" i="102"/>
  <c r="P19" i="102"/>
  <c r="I19" i="111"/>
  <c r="P19" i="111"/>
  <c r="I20" i="105"/>
  <c r="P20" i="105"/>
  <c r="I20" i="109"/>
  <c r="P20" i="109"/>
  <c r="I20" i="19"/>
  <c r="G18" i="43" s="1"/>
  <c r="P20" i="19"/>
  <c r="I19" i="32"/>
  <c r="P19" i="32"/>
  <c r="I18" i="36"/>
  <c r="P18" i="36"/>
  <c r="I20" i="35"/>
  <c r="P20" i="35"/>
  <c r="I18" i="40"/>
  <c r="P18" i="40"/>
  <c r="I19" i="41"/>
  <c r="P19" i="41"/>
  <c r="I17" i="60"/>
  <c r="P17" i="60"/>
  <c r="I18" i="54"/>
  <c r="G16" i="49" s="1"/>
  <c r="P18" i="54"/>
  <c r="I18" i="60"/>
  <c r="P18" i="60"/>
  <c r="I19" i="61"/>
  <c r="P19" i="61"/>
  <c r="I20" i="60"/>
  <c r="P20" i="60"/>
  <c r="I20" i="73"/>
  <c r="P20" i="73"/>
  <c r="I18" i="72"/>
  <c r="G16" i="66" s="1"/>
  <c r="P18" i="72"/>
  <c r="I18" i="74"/>
  <c r="P18" i="74"/>
  <c r="I19" i="71"/>
  <c r="P19" i="71"/>
  <c r="I17" i="71"/>
  <c r="P17" i="71"/>
  <c r="I17" i="85"/>
  <c r="P17" i="85"/>
  <c r="I17" i="94"/>
  <c r="P17" i="94"/>
  <c r="I19" i="94"/>
  <c r="P19" i="94"/>
  <c r="I20" i="87"/>
  <c r="P20" i="87"/>
  <c r="I20" i="86"/>
  <c r="P20" i="86"/>
  <c r="I17" i="103"/>
  <c r="P17" i="103"/>
  <c r="I18" i="104"/>
  <c r="P18" i="104"/>
  <c r="I19" i="107"/>
  <c r="P19" i="107"/>
  <c r="I20" i="102"/>
  <c r="P20" i="102"/>
  <c r="I20" i="104"/>
  <c r="P20" i="104"/>
  <c r="I18" i="35"/>
  <c r="P18" i="35"/>
  <c r="I19" i="40"/>
  <c r="P19" i="40"/>
  <c r="I18" i="56"/>
  <c r="P18" i="56"/>
  <c r="I20" i="77"/>
  <c r="P20" i="77"/>
  <c r="I19" i="38"/>
  <c r="P19" i="38"/>
  <c r="I17" i="61"/>
  <c r="P17" i="61"/>
  <c r="I18" i="79"/>
  <c r="P18" i="79"/>
  <c r="I17" i="72"/>
  <c r="P17" i="72"/>
  <c r="I18" i="85"/>
  <c r="P18" i="85"/>
  <c r="I17" i="104"/>
  <c r="P17" i="104"/>
  <c r="I19" i="103"/>
  <c r="P19" i="103"/>
  <c r="I18" i="32"/>
  <c r="P18" i="32"/>
  <c r="I20" i="33"/>
  <c r="P20" i="33"/>
  <c r="I17" i="35"/>
  <c r="P17" i="35"/>
  <c r="I19" i="35"/>
  <c r="G17" i="44" s="1"/>
  <c r="P19" i="35"/>
  <c r="I17" i="40"/>
  <c r="P17" i="40"/>
  <c r="I20" i="41"/>
  <c r="P20" i="41"/>
  <c r="I17" i="54"/>
  <c r="P17" i="54"/>
  <c r="I17" i="62"/>
  <c r="P17" i="62"/>
  <c r="I18" i="55"/>
  <c r="P18" i="55"/>
  <c r="I18" i="57"/>
  <c r="P18" i="57"/>
  <c r="I19" i="55"/>
  <c r="P19" i="55"/>
  <c r="I19" i="63"/>
  <c r="P19" i="63"/>
  <c r="I20" i="54"/>
  <c r="P20" i="54"/>
  <c r="I20" i="62"/>
  <c r="P20" i="62"/>
  <c r="I20" i="70"/>
  <c r="P20" i="70"/>
  <c r="I20" i="74"/>
  <c r="P20" i="74"/>
  <c r="I18" i="73"/>
  <c r="P18" i="73"/>
  <c r="I19" i="77"/>
  <c r="P19" i="77"/>
  <c r="I17" i="78"/>
  <c r="P17" i="78"/>
  <c r="I17" i="86"/>
  <c r="P17" i="86"/>
  <c r="I18" i="89"/>
  <c r="P18" i="89"/>
  <c r="I18" i="95"/>
  <c r="P18" i="95"/>
  <c r="I19" i="90"/>
  <c r="P19" i="90"/>
  <c r="I20" i="90"/>
  <c r="P20" i="90"/>
  <c r="I17" i="109"/>
  <c r="P17" i="109"/>
  <c r="I18" i="107"/>
  <c r="P18" i="107"/>
  <c r="I19" i="105"/>
  <c r="P19" i="105"/>
  <c r="I19" i="112"/>
  <c r="P19" i="112"/>
  <c r="I20" i="107"/>
  <c r="P20" i="107"/>
  <c r="I20" i="75"/>
  <c r="P20" i="75"/>
  <c r="I19" i="72"/>
  <c r="P19" i="72"/>
  <c r="I17" i="19"/>
  <c r="P17" i="19"/>
  <c r="I20" i="40"/>
  <c r="P20" i="40"/>
  <c r="I18" i="59"/>
  <c r="P18" i="59"/>
  <c r="I18" i="88"/>
  <c r="G16" i="82" s="1"/>
  <c r="P18" i="88"/>
  <c r="I20" i="88"/>
  <c r="P20" i="88"/>
  <c r="M18" i="82" s="1"/>
  <c r="I20" i="106"/>
  <c r="P20" i="106"/>
  <c r="I18" i="33"/>
  <c r="P18" i="33"/>
  <c r="I20" i="34"/>
  <c r="P20" i="34"/>
  <c r="I17" i="37"/>
  <c r="P17" i="37"/>
  <c r="I19" i="36"/>
  <c r="P19" i="36"/>
  <c r="I17" i="41"/>
  <c r="P17" i="41"/>
  <c r="I20" i="42"/>
  <c r="P20" i="42"/>
  <c r="I17" i="55"/>
  <c r="P17" i="55"/>
  <c r="I17" i="63"/>
  <c r="P17" i="63"/>
  <c r="I18" i="58"/>
  <c r="P18" i="58"/>
  <c r="I19" i="57"/>
  <c r="P19" i="57"/>
  <c r="I20" i="63"/>
  <c r="P20" i="63"/>
  <c r="I20" i="78"/>
  <c r="P20" i="78"/>
  <c r="I18" i="76"/>
  <c r="P18" i="76"/>
  <c r="I19" i="75"/>
  <c r="P19" i="75"/>
  <c r="I17" i="69"/>
  <c r="P17" i="69"/>
  <c r="M15" i="65" s="1"/>
  <c r="I17" i="73"/>
  <c r="P17" i="73"/>
  <c r="I17" i="89"/>
  <c r="P17" i="89"/>
  <c r="I17" i="93"/>
  <c r="P17" i="93"/>
  <c r="I18" i="86"/>
  <c r="P18" i="86"/>
  <c r="I18" i="96"/>
  <c r="P18" i="96"/>
  <c r="I19" i="85"/>
  <c r="P19" i="85"/>
  <c r="I19" i="91"/>
  <c r="P19" i="91"/>
  <c r="I20" i="92"/>
  <c r="P20" i="92"/>
  <c r="I17" i="106"/>
  <c r="P17" i="106"/>
  <c r="I18" i="108"/>
  <c r="P18" i="108"/>
  <c r="I19" i="108"/>
  <c r="P19" i="108"/>
  <c r="I20" i="101"/>
  <c r="P20" i="101"/>
  <c r="I20" i="108"/>
  <c r="P20" i="108"/>
  <c r="I18" i="39"/>
  <c r="P18" i="39"/>
  <c r="I18" i="62"/>
  <c r="P18" i="62"/>
  <c r="I19" i="64"/>
  <c r="P19" i="64"/>
  <c r="I19" i="62"/>
  <c r="P19" i="62"/>
  <c r="I20" i="72"/>
  <c r="P20" i="72"/>
  <c r="I19" i="86"/>
  <c r="P19" i="86"/>
  <c r="I20" i="85"/>
  <c r="P20" i="85"/>
  <c r="M18" i="81" s="1"/>
  <c r="I17" i="102"/>
  <c r="P17" i="102"/>
  <c r="I19" i="104"/>
  <c r="P19" i="104"/>
  <c r="I17" i="32"/>
  <c r="P17" i="32"/>
  <c r="I18" i="34"/>
  <c r="G16" i="43" s="1"/>
  <c r="P18" i="34"/>
  <c r="I19" i="34"/>
  <c r="P19" i="34"/>
  <c r="I17" i="38"/>
  <c r="P17" i="38"/>
  <c r="I19" i="37"/>
  <c r="P19" i="37"/>
  <c r="I17" i="42"/>
  <c r="G15" i="48" s="1"/>
  <c r="P17" i="42"/>
  <c r="I20" i="39"/>
  <c r="P20" i="39"/>
  <c r="I17" i="57"/>
  <c r="P17" i="57"/>
  <c r="I17" i="64"/>
  <c r="P17" i="64"/>
  <c r="I18" i="53"/>
  <c r="P18" i="53"/>
  <c r="I18" i="63"/>
  <c r="P18" i="63"/>
  <c r="I19" i="53"/>
  <c r="P19" i="53"/>
  <c r="I19" i="56"/>
  <c r="P19" i="56"/>
  <c r="I20" i="59"/>
  <c r="G18" i="51" s="1"/>
  <c r="P20" i="59"/>
  <c r="M18" i="51" s="1"/>
  <c r="I20" i="64"/>
  <c r="P20" i="64"/>
  <c r="I20" i="69"/>
  <c r="P20" i="69"/>
  <c r="I20" i="76"/>
  <c r="G18" i="67" s="1"/>
  <c r="P20" i="76"/>
  <c r="I18" i="71"/>
  <c r="P18" i="71"/>
  <c r="I18" i="80"/>
  <c r="P18" i="80"/>
  <c r="I19" i="69"/>
  <c r="P19" i="69"/>
  <c r="I19" i="76"/>
  <c r="P19" i="76"/>
  <c r="I17" i="74"/>
  <c r="P17" i="74"/>
  <c r="I17" i="77"/>
  <c r="P17" i="77"/>
  <c r="I17" i="88"/>
  <c r="P17" i="88"/>
  <c r="I17" i="87"/>
  <c r="P17" i="87"/>
  <c r="I18" i="87"/>
  <c r="P18" i="87"/>
  <c r="I18" i="90"/>
  <c r="P18" i="90"/>
  <c r="I19" i="87"/>
  <c r="P19" i="87"/>
  <c r="I19" i="92"/>
  <c r="P19" i="92"/>
  <c r="I20" i="91"/>
  <c r="G18" i="83" s="1"/>
  <c r="P20" i="91"/>
  <c r="M18" i="83" s="1"/>
  <c r="I20" i="89"/>
  <c r="P20" i="89"/>
  <c r="I17" i="107"/>
  <c r="P17" i="107"/>
  <c r="I18" i="101"/>
  <c r="P18" i="101"/>
  <c r="I18" i="111"/>
  <c r="P18" i="111"/>
  <c r="I19" i="101"/>
  <c r="P19" i="101"/>
  <c r="I19" i="106"/>
  <c r="P19" i="106"/>
  <c r="I20" i="110"/>
  <c r="P20" i="110"/>
  <c r="I20" i="58"/>
  <c r="P20" i="58"/>
  <c r="I19" i="79"/>
  <c r="P19" i="79"/>
  <c r="I17" i="53"/>
  <c r="P17" i="53"/>
  <c r="I19" i="74"/>
  <c r="P19" i="74"/>
  <c r="I18" i="105"/>
  <c r="P18" i="105"/>
  <c r="I17" i="33"/>
  <c r="P17" i="33"/>
  <c r="I19" i="33"/>
  <c r="P19" i="33"/>
  <c r="I18" i="37"/>
  <c r="P18" i="37"/>
  <c r="I20" i="36"/>
  <c r="P20" i="36"/>
  <c r="I18" i="41"/>
  <c r="P18" i="41"/>
  <c r="I19" i="42"/>
  <c r="P19" i="42"/>
  <c r="I17" i="58"/>
  <c r="P17" i="58"/>
  <c r="I18" i="64"/>
  <c r="P18" i="64"/>
  <c r="I19" i="58"/>
  <c r="P19" i="58"/>
  <c r="I20" i="55"/>
  <c r="P20" i="55"/>
  <c r="I20" i="61"/>
  <c r="P20" i="61"/>
  <c r="I20" i="79"/>
  <c r="P20" i="79"/>
  <c r="I18" i="75"/>
  <c r="P18" i="75"/>
  <c r="I19" i="73"/>
  <c r="P19" i="73"/>
  <c r="I19" i="80"/>
  <c r="P19" i="80"/>
  <c r="I17" i="75"/>
  <c r="G15" i="67" s="1"/>
  <c r="P17" i="75"/>
  <c r="M15" i="67" s="1"/>
  <c r="I17" i="76"/>
  <c r="P17" i="76"/>
  <c r="I17" i="90"/>
  <c r="P17" i="90"/>
  <c r="I17" i="91"/>
  <c r="P17" i="91"/>
  <c r="I18" i="92"/>
  <c r="P18" i="92"/>
  <c r="I19" i="88"/>
  <c r="P19" i="88"/>
  <c r="I19" i="93"/>
  <c r="P19" i="93"/>
  <c r="I20" i="94"/>
  <c r="P20" i="94"/>
  <c r="I17" i="101"/>
  <c r="G15" i="97" s="1"/>
  <c r="P17" i="101"/>
  <c r="M15" i="97" s="1"/>
  <c r="I17" i="110"/>
  <c r="P17" i="110"/>
  <c r="I18" i="102"/>
  <c r="P18" i="102"/>
  <c r="I18" i="112"/>
  <c r="P18" i="112"/>
  <c r="I19" i="109"/>
  <c r="P19" i="109"/>
  <c r="I20" i="111"/>
  <c r="P20" i="111"/>
  <c r="P18" i="19"/>
  <c r="I17" i="59"/>
  <c r="P17" i="59"/>
  <c r="I20" i="53"/>
  <c r="P20" i="53"/>
  <c r="M18" i="49" s="1"/>
  <c r="I17" i="36"/>
  <c r="G15" i="44" s="1"/>
  <c r="P17" i="36"/>
  <c r="I17" i="39"/>
  <c r="P17" i="39"/>
  <c r="I19" i="54"/>
  <c r="P19" i="54"/>
  <c r="I20" i="57"/>
  <c r="P20" i="57"/>
  <c r="I18" i="69"/>
  <c r="P18" i="69"/>
  <c r="I17" i="92"/>
  <c r="P17" i="92"/>
  <c r="I20" i="32"/>
  <c r="P20" i="32"/>
  <c r="I17" i="34"/>
  <c r="P17" i="34"/>
  <c r="I18" i="38"/>
  <c r="P18" i="38"/>
  <c r="I20" i="37"/>
  <c r="P20" i="37"/>
  <c r="I18" i="42"/>
  <c r="P18" i="42"/>
  <c r="I19" i="39"/>
  <c r="G17" i="47" s="1"/>
  <c r="P19" i="39"/>
  <c r="I17" i="56"/>
  <c r="G15" i="50" s="1"/>
  <c r="P17" i="56"/>
  <c r="I18" i="61"/>
  <c r="P18" i="61"/>
  <c r="I19" i="59"/>
  <c r="P19" i="59"/>
  <c r="M17" i="51" s="1"/>
  <c r="I20" i="56"/>
  <c r="P20" i="56"/>
  <c r="I20" i="71"/>
  <c r="G18" i="65" s="1"/>
  <c r="P20" i="71"/>
  <c r="I20" i="80"/>
  <c r="P20" i="80"/>
  <c r="I18" i="70"/>
  <c r="P18" i="70"/>
  <c r="I18" i="77"/>
  <c r="G16" i="67" s="1"/>
  <c r="P18" i="77"/>
  <c r="I19" i="70"/>
  <c r="G17" i="65" s="1"/>
  <c r="P19" i="70"/>
  <c r="I19" i="78"/>
  <c r="P19" i="78"/>
  <c r="I17" i="79"/>
  <c r="P17" i="79"/>
  <c r="I17" i="95"/>
  <c r="G15" i="84" s="1"/>
  <c r="P17" i="95"/>
  <c r="I18" i="91"/>
  <c r="P18" i="91"/>
  <c r="I18" i="93"/>
  <c r="P18" i="93"/>
  <c r="I19" i="96"/>
  <c r="P19" i="96"/>
  <c r="I20" i="96"/>
  <c r="P20" i="96"/>
  <c r="I17" i="108"/>
  <c r="G15" i="99" s="1"/>
  <c r="P17" i="108"/>
  <c r="I17" i="111"/>
  <c r="P17" i="111"/>
  <c r="I18" i="103"/>
  <c r="P18" i="103"/>
  <c r="I18" i="109"/>
  <c r="G16" i="99" s="1"/>
  <c r="P18" i="109"/>
  <c r="I19" i="110"/>
  <c r="G17" i="100" s="1"/>
  <c r="P19" i="110"/>
  <c r="I20" i="103"/>
  <c r="P20" i="103"/>
  <c r="I20" i="112"/>
  <c r="P20" i="112"/>
  <c r="P19" i="19"/>
  <c r="M17" i="43" s="1"/>
  <c r="I34" i="43"/>
  <c r="G21" i="50"/>
  <c r="E21" i="50" s="1"/>
  <c r="G21" i="100"/>
  <c r="E21" i="100" s="1"/>
  <c r="G19" i="65"/>
  <c r="E19" i="65" s="1"/>
  <c r="G29" i="67"/>
  <c r="E29" i="67" s="1"/>
  <c r="G31" i="49"/>
  <c r="E31" i="49" s="1"/>
  <c r="G20" i="66"/>
  <c r="E20" i="66" s="1"/>
  <c r="G19" i="67"/>
  <c r="E19" i="67" s="1"/>
  <c r="G23" i="99"/>
  <c r="E23" i="99" s="1"/>
  <c r="G26" i="100"/>
  <c r="E26" i="100" s="1"/>
  <c r="G31" i="100"/>
  <c r="E31" i="100" s="1"/>
  <c r="E23" i="100"/>
  <c r="G12" i="13" a="1"/>
  <c r="G12" i="13" s="1"/>
  <c r="G11" i="13" a="1"/>
  <c r="G11" i="13" s="1"/>
  <c r="G10" i="13" a="1"/>
  <c r="G10" i="13" s="1"/>
  <c r="G9" i="13" a="1"/>
  <c r="G9" i="13" s="1"/>
  <c r="G8" i="13" a="1"/>
  <c r="G8" i="13" s="1"/>
  <c r="G14" i="13" a="1"/>
  <c r="G14" i="13" s="1"/>
  <c r="G7" i="13" a="1"/>
  <c r="G7" i="13" s="1"/>
  <c r="G6" i="13" a="1"/>
  <c r="G6" i="13" s="1"/>
  <c r="G13" i="13" a="1"/>
  <c r="G13" i="13" s="1"/>
  <c r="G27" i="65"/>
  <c r="E27" i="65" s="1"/>
  <c r="G22" i="65"/>
  <c r="E22" i="65" s="1"/>
  <c r="G31" i="68"/>
  <c r="E31" i="68" s="1"/>
  <c r="G20" i="82"/>
  <c r="E20" i="82" s="1"/>
  <c r="G27" i="82"/>
  <c r="E27" i="82" s="1"/>
  <c r="G25" i="98"/>
  <c r="E25" i="98" s="1"/>
  <c r="G19" i="98"/>
  <c r="E19" i="98" s="1"/>
  <c r="G20" i="97"/>
  <c r="E20" i="97" s="1"/>
  <c r="G21" i="98"/>
  <c r="E21" i="98" s="1"/>
  <c r="G28" i="84"/>
  <c r="E28" i="84" s="1"/>
  <c r="G30" i="83"/>
  <c r="E30" i="83" s="1"/>
  <c r="G23" i="82"/>
  <c r="E23" i="82" s="1"/>
  <c r="G25" i="84"/>
  <c r="E25" i="84" s="1"/>
  <c r="G32" i="81"/>
  <c r="E32" i="81" s="1"/>
  <c r="G26" i="84"/>
  <c r="E26" i="84" s="1"/>
  <c r="G27" i="81"/>
  <c r="E27" i="81" s="1"/>
  <c r="G25" i="97"/>
  <c r="E25" i="97" s="1"/>
  <c r="G26" i="97"/>
  <c r="E26" i="97" s="1"/>
  <c r="G27" i="98"/>
  <c r="E27" i="98" s="1"/>
  <c r="G29" i="97"/>
  <c r="E29" i="97" s="1"/>
  <c r="U357" i="14" a="1"/>
  <c r="U357" i="14" s="1"/>
  <c r="I16" i="32"/>
  <c r="P16" i="32"/>
  <c r="I16" i="42"/>
  <c r="P16" i="42"/>
  <c r="I16" i="58"/>
  <c r="P16" i="58"/>
  <c r="I16" i="73"/>
  <c r="P16" i="73"/>
  <c r="I16" i="77"/>
  <c r="P16" i="77"/>
  <c r="I16" i="96"/>
  <c r="P16" i="96"/>
  <c r="I16" i="91"/>
  <c r="P16" i="91"/>
  <c r="I16" i="103"/>
  <c r="P16" i="103"/>
  <c r="I16" i="106"/>
  <c r="P16" i="106"/>
  <c r="I16" i="35"/>
  <c r="P16" i="35"/>
  <c r="I16" i="108"/>
  <c r="P16" i="108"/>
  <c r="I16" i="72"/>
  <c r="P16" i="72"/>
  <c r="I16" i="109"/>
  <c r="P16" i="109"/>
  <c r="I16" i="34"/>
  <c r="P16" i="34"/>
  <c r="I16" i="39"/>
  <c r="P16" i="39"/>
  <c r="I16" i="59"/>
  <c r="P16" i="59"/>
  <c r="I16" i="76"/>
  <c r="P16" i="76"/>
  <c r="I16" i="85"/>
  <c r="P16" i="85"/>
  <c r="I16" i="92"/>
  <c r="P16" i="92"/>
  <c r="I16" i="101"/>
  <c r="P16" i="101"/>
  <c r="I16" i="112"/>
  <c r="P16" i="112"/>
  <c r="I16" i="63"/>
  <c r="P16" i="63"/>
  <c r="I16" i="80"/>
  <c r="P16" i="80"/>
  <c r="I16" i="36"/>
  <c r="P16" i="36"/>
  <c r="I16" i="105"/>
  <c r="P16" i="105"/>
  <c r="I16" i="60"/>
  <c r="P16" i="60"/>
  <c r="I16" i="86"/>
  <c r="P16" i="86"/>
  <c r="I16" i="33"/>
  <c r="P16" i="33"/>
  <c r="I16" i="40"/>
  <c r="P16" i="40"/>
  <c r="I16" i="53"/>
  <c r="P16" i="53"/>
  <c r="I16" i="64"/>
  <c r="P16" i="64"/>
  <c r="I16" i="71"/>
  <c r="P16" i="71"/>
  <c r="I16" i="78"/>
  <c r="P16" i="78"/>
  <c r="I16" i="88"/>
  <c r="P16" i="88"/>
  <c r="I16" i="94"/>
  <c r="P16" i="94"/>
  <c r="I16" i="104"/>
  <c r="P16" i="104"/>
  <c r="I16" i="110"/>
  <c r="P16" i="110"/>
  <c r="I16" i="54"/>
  <c r="P16" i="54"/>
  <c r="I16" i="69"/>
  <c r="P16" i="69"/>
  <c r="I16" i="37"/>
  <c r="P16" i="37"/>
  <c r="I16" i="75"/>
  <c r="P16" i="75"/>
  <c r="M14" i="67" s="1"/>
  <c r="I16" i="41"/>
  <c r="P16" i="41"/>
  <c r="I16" i="56"/>
  <c r="P16" i="56"/>
  <c r="I16" i="61"/>
  <c r="P16" i="61"/>
  <c r="I16" i="70"/>
  <c r="P16" i="70"/>
  <c r="I16" i="79"/>
  <c r="P16" i="79"/>
  <c r="I16" i="87"/>
  <c r="P16" i="87"/>
  <c r="I16" i="95"/>
  <c r="P16" i="95"/>
  <c r="I16" i="102"/>
  <c r="P16" i="102"/>
  <c r="I16" i="111"/>
  <c r="P16" i="111"/>
  <c r="I16" i="93"/>
  <c r="P16" i="93"/>
  <c r="I16" i="55"/>
  <c r="P16" i="55"/>
  <c r="I16" i="89"/>
  <c r="P16" i="89"/>
  <c r="I16" i="38"/>
  <c r="P16" i="38"/>
  <c r="I16" i="57"/>
  <c r="P16" i="57"/>
  <c r="I16" i="62"/>
  <c r="P16" i="62"/>
  <c r="I16" i="74"/>
  <c r="P16" i="74"/>
  <c r="I16" i="90"/>
  <c r="P16" i="90"/>
  <c r="I16" i="107"/>
  <c r="P16" i="107"/>
  <c r="P16" i="19"/>
  <c r="G32" i="98"/>
  <c r="E32" i="98" s="1"/>
  <c r="G30" i="99"/>
  <c r="E30" i="99" s="1"/>
  <c r="G22" i="99"/>
  <c r="E22" i="99" s="1"/>
  <c r="G28" i="67"/>
  <c r="E28" i="67" s="1"/>
  <c r="G23" i="97"/>
  <c r="E23" i="97" s="1"/>
  <c r="G32" i="99"/>
  <c r="E32" i="99" s="1"/>
  <c r="G24" i="97"/>
  <c r="E24" i="97" s="1"/>
  <c r="G29" i="83"/>
  <c r="E29" i="83" s="1"/>
  <c r="G22" i="100"/>
  <c r="E22" i="100" s="1"/>
  <c r="G26" i="67"/>
  <c r="E26" i="67" s="1"/>
  <c r="G31" i="98"/>
  <c r="E31" i="98" s="1"/>
  <c r="G32" i="100"/>
  <c r="E32" i="100" s="1"/>
  <c r="G24" i="100"/>
  <c r="E24" i="100" s="1"/>
  <c r="G16" i="100"/>
  <c r="G27" i="100"/>
  <c r="E27" i="100" s="1"/>
  <c r="G30" i="98"/>
  <c r="E30" i="98" s="1"/>
  <c r="U365" i="14" a="1"/>
  <c r="U365" i="14" s="1"/>
  <c r="S389" i="14" a="1"/>
  <c r="S389" i="14" s="1"/>
  <c r="U148" i="14" a="1"/>
  <c r="U148" i="14" s="1"/>
  <c r="U181" i="14" a="1"/>
  <c r="U181" i="14" s="1"/>
  <c r="U263" i="14" a="1"/>
  <c r="U263" i="14" s="1"/>
  <c r="U205" i="14" a="1"/>
  <c r="U205" i="14" s="1"/>
  <c r="W147" i="14" a="1"/>
  <c r="W147" i="14" s="1"/>
  <c r="U266" i="14" a="1"/>
  <c r="U266" i="14" s="1"/>
  <c r="U294" i="14" a="1"/>
  <c r="U294" i="14" s="1"/>
  <c r="S363" i="14" a="1"/>
  <c r="S363" i="14" s="1"/>
  <c r="S399" i="14" a="1"/>
  <c r="S399" i="14" s="1"/>
  <c r="S256" i="14" a="1"/>
  <c r="S256" i="14" s="1"/>
  <c r="S227" i="14" a="1"/>
  <c r="S227" i="14" s="1"/>
  <c r="S266" i="14" a="1"/>
  <c r="S266" i="14" s="1"/>
  <c r="S237" i="14" a="1"/>
  <c r="S237" i="14" s="1"/>
  <c r="S181" i="14" a="1"/>
  <c r="S181" i="14" s="1"/>
  <c r="S320" i="14" a="1"/>
  <c r="S320" i="14" s="1"/>
  <c r="S185" i="14" a="1"/>
  <c r="S185" i="14" s="1"/>
  <c r="S312" i="14" a="1"/>
  <c r="S312" i="14" s="1"/>
  <c r="S155" i="14" a="1"/>
  <c r="S155" i="14" s="1"/>
  <c r="S342" i="14" a="1"/>
  <c r="S342" i="14" s="1"/>
  <c r="S176" i="14" a="1"/>
  <c r="S176" i="14" s="1"/>
  <c r="S371" i="14" a="1"/>
  <c r="S371" i="14" s="1"/>
  <c r="S180" i="14" a="1"/>
  <c r="S180" i="14" s="1"/>
  <c r="S231" i="14" a="1"/>
  <c r="S231" i="14" s="1"/>
  <c r="S344" i="14" a="1"/>
  <c r="S344" i="14" s="1"/>
  <c r="S123" i="14" a="1"/>
  <c r="S123" i="14" s="1"/>
  <c r="S190" i="14" a="1"/>
  <c r="S190" i="14" s="1"/>
  <c r="S235" i="14" a="1"/>
  <c r="S235" i="14" s="1"/>
  <c r="S310" i="14" a="1"/>
  <c r="S310" i="14" s="1"/>
  <c r="S199" i="14" a="1"/>
  <c r="S199" i="14" s="1"/>
  <c r="S252" i="14" a="1"/>
  <c r="S252" i="14" s="1"/>
  <c r="S338" i="14" a="1"/>
  <c r="S338" i="14" s="1"/>
  <c r="S147" i="14" a="1"/>
  <c r="S147" i="14" s="1"/>
  <c r="S221" i="14" a="1"/>
  <c r="S221" i="14" s="1"/>
  <c r="S253" i="14" a="1"/>
  <c r="S253" i="14" s="1"/>
  <c r="S325" i="14" a="1"/>
  <c r="S325" i="14" s="1"/>
  <c r="S356" i="14" a="1"/>
  <c r="S356" i="14" s="1"/>
  <c r="S427" i="14" a="1"/>
  <c r="S427" i="14" s="1"/>
  <c r="S387" i="14" a="1"/>
  <c r="S387" i="14" s="1"/>
  <c r="S413" i="14" a="1"/>
  <c r="S413" i="14" s="1"/>
  <c r="S406" i="14" a="1"/>
  <c r="S406" i="14" s="1"/>
  <c r="S127" i="14" a="1"/>
  <c r="S127" i="14" s="1"/>
  <c r="S139" i="14" a="1"/>
  <c r="S139" i="14" s="1"/>
  <c r="S223" i="14" a="1"/>
  <c r="S223" i="14" s="1"/>
  <c r="S128" i="14" a="1"/>
  <c r="S128" i="14" s="1"/>
  <c r="S162" i="14" a="1"/>
  <c r="S162" i="14" s="1"/>
  <c r="S187" i="14" a="1"/>
  <c r="S187" i="14" s="1"/>
  <c r="S192" i="14" a="1"/>
  <c r="S192" i="14" s="1"/>
  <c r="S195" i="14" a="1"/>
  <c r="S195" i="14" s="1"/>
  <c r="S194" i="14" a="1"/>
  <c r="S194" i="14" s="1"/>
  <c r="S274" i="14" a="1"/>
  <c r="S274" i="14" s="1"/>
  <c r="S259" i="14" a="1"/>
  <c r="S259" i="14" s="1"/>
  <c r="S238" i="14" a="1"/>
  <c r="S238" i="14" s="1"/>
  <c r="S254" i="14" a="1"/>
  <c r="S254" i="14" s="1"/>
  <c r="S318" i="14" a="1"/>
  <c r="S318" i="14" s="1"/>
  <c r="S300" i="14" a="1"/>
  <c r="S300" i="14" s="1"/>
  <c r="S317" i="14" a="1"/>
  <c r="S317" i="14" s="1"/>
  <c r="S359" i="14" a="1"/>
  <c r="S359" i="14" s="1"/>
  <c r="S372" i="14" a="1"/>
  <c r="S372" i="14" s="1"/>
  <c r="S390" i="14" a="1"/>
  <c r="S390" i="14" s="1"/>
  <c r="S431" i="14" a="1"/>
  <c r="S431" i="14" s="1"/>
  <c r="S423" i="14" a="1"/>
  <c r="S423" i="14" s="1"/>
  <c r="S179" i="14" a="1"/>
  <c r="S179" i="14" s="1"/>
  <c r="S140" i="14" a="1"/>
  <c r="S140" i="14" s="1"/>
  <c r="S165" i="14" a="1"/>
  <c r="S165" i="14" s="1"/>
  <c r="S220" i="14" a="1"/>
  <c r="S220" i="14" s="1"/>
  <c r="S209" i="14" a="1"/>
  <c r="S209" i="14" s="1"/>
  <c r="S232" i="14" a="1"/>
  <c r="S232" i="14" s="1"/>
  <c r="S280" i="14" a="1"/>
  <c r="S280" i="14" s="1"/>
  <c r="S251" i="14" a="1"/>
  <c r="S251" i="14" s="1"/>
  <c r="S268" i="14" a="1"/>
  <c r="S268" i="14" s="1"/>
  <c r="S299" i="14" a="1"/>
  <c r="S299" i="14" s="1"/>
  <c r="S306" i="14" a="1"/>
  <c r="S306" i="14" s="1"/>
  <c r="S351" i="14" a="1"/>
  <c r="S351" i="14" s="1"/>
  <c r="S364" i="14" a="1"/>
  <c r="S364" i="14" s="1"/>
  <c r="S374" i="14" a="1"/>
  <c r="S374" i="14" s="1"/>
  <c r="S402" i="14" a="1"/>
  <c r="S402" i="14" s="1"/>
  <c r="S395" i="14" a="1"/>
  <c r="S395" i="14" s="1"/>
  <c r="S441" i="14" a="1"/>
  <c r="S441" i="14" s="1"/>
  <c r="S157" i="14" a="1"/>
  <c r="S157" i="14" s="1"/>
  <c r="S200" i="14" a="1"/>
  <c r="S200" i="14" s="1"/>
  <c r="S263" i="14" a="1"/>
  <c r="S263" i="14" s="1"/>
  <c r="S347" i="14" a="1"/>
  <c r="S347" i="14" s="1"/>
  <c r="S378" i="14" a="1"/>
  <c r="S378" i="14" s="1"/>
  <c r="S409" i="14" a="1"/>
  <c r="S409" i="14" s="1"/>
  <c r="S143" i="14" a="1"/>
  <c r="S143" i="14" s="1"/>
  <c r="S137" i="14" a="1"/>
  <c r="S137" i="14" s="1"/>
  <c r="S156" i="14" a="1"/>
  <c r="S156" i="14" s="1"/>
  <c r="S151" i="14" a="1"/>
  <c r="S151" i="14" s="1"/>
  <c r="S188" i="14" a="1"/>
  <c r="S188" i="14" s="1"/>
  <c r="S152" i="14" a="1"/>
  <c r="S152" i="14" s="1"/>
  <c r="S218" i="14" a="1"/>
  <c r="S218" i="14" s="1"/>
  <c r="S202" i="14" a="1"/>
  <c r="S202" i="14" s="1"/>
  <c r="S275" i="14" a="1"/>
  <c r="S275" i="14" s="1"/>
  <c r="S250" i="14" a="1"/>
  <c r="S250" i="14" s="1"/>
  <c r="S269" i="14" a="1"/>
  <c r="S269" i="14" s="1"/>
  <c r="S283" i="14" a="1"/>
  <c r="S283" i="14" s="1"/>
  <c r="S292" i="14" a="1"/>
  <c r="S292" i="14" s="1"/>
  <c r="S361" i="14" a="1"/>
  <c r="S361" i="14" s="1"/>
  <c r="S346" i="14" a="1"/>
  <c r="S346" i="14" s="1"/>
  <c r="S357" i="14" a="1"/>
  <c r="S357" i="14" s="1"/>
  <c r="S380" i="14" a="1"/>
  <c r="S380" i="14" s="1"/>
  <c r="S391" i="14" a="1"/>
  <c r="S391" i="14" s="1"/>
  <c r="S435" i="14" a="1"/>
  <c r="S435" i="14" s="1"/>
  <c r="S224" i="14" a="1"/>
  <c r="S224" i="14" s="1"/>
  <c r="S201" i="14" a="1"/>
  <c r="S201" i="14" s="1"/>
  <c r="S249" i="14" a="1"/>
  <c r="S249" i="14" s="1"/>
  <c r="S284" i="14" a="1"/>
  <c r="S284" i="14" s="1"/>
  <c r="S343" i="14" a="1"/>
  <c r="S343" i="14" s="1"/>
  <c r="S403" i="14" a="1"/>
  <c r="S403" i="14" s="1"/>
  <c r="S142" i="14" a="1"/>
  <c r="S142" i="14" s="1"/>
  <c r="S158" i="14" a="1"/>
  <c r="S158" i="14" s="1"/>
  <c r="S135" i="14" a="1"/>
  <c r="S135" i="14" s="1"/>
  <c r="S173" i="14" a="1"/>
  <c r="S173" i="14" s="1"/>
  <c r="S153" i="14" a="1"/>
  <c r="S153" i="14" s="1"/>
  <c r="S159" i="14" a="1"/>
  <c r="S159" i="14" s="1"/>
  <c r="S169" i="14" a="1"/>
  <c r="S169" i="14" s="1"/>
  <c r="S234" i="14" a="1"/>
  <c r="S234" i="14" s="1"/>
  <c r="S217" i="14" a="1"/>
  <c r="S217" i="14" s="1"/>
  <c r="S240" i="14" a="1"/>
  <c r="S240" i="14" s="1"/>
  <c r="S271" i="14" a="1"/>
  <c r="S271" i="14" s="1"/>
  <c r="S286" i="14" a="1"/>
  <c r="S286" i="14" s="1"/>
  <c r="S358" i="14" a="1"/>
  <c r="S358" i="14" s="1"/>
  <c r="S314" i="14" a="1"/>
  <c r="S314" i="14" s="1"/>
  <c r="S328" i="14" a="1"/>
  <c r="S328" i="14" s="1"/>
  <c r="S362" i="14" a="1"/>
  <c r="S362" i="14" s="1"/>
  <c r="S366" i="14" a="1"/>
  <c r="S366" i="14" s="1"/>
  <c r="S360" i="14" a="1"/>
  <c r="S360" i="14" s="1"/>
  <c r="S434" i="14" a="1"/>
  <c r="S434" i="14" s="1"/>
  <c r="S432" i="14" a="1"/>
  <c r="S432" i="14" s="1"/>
  <c r="S141" i="14" a="1"/>
  <c r="S141" i="14" s="1"/>
  <c r="S210" i="14" a="1"/>
  <c r="S210" i="14" s="1"/>
  <c r="S267" i="14" a="1"/>
  <c r="S267" i="14" s="1"/>
  <c r="S281" i="14" a="1"/>
  <c r="S281" i="14" s="1"/>
  <c r="S341" i="14" a="1"/>
  <c r="S341" i="14" s="1"/>
  <c r="S144" i="14" a="1"/>
  <c r="S144" i="14" s="1"/>
  <c r="S186" i="14" a="1"/>
  <c r="S186" i="14" s="1"/>
  <c r="S183" i="14" a="1"/>
  <c r="S183" i="14" s="1"/>
  <c r="S161" i="14" a="1"/>
  <c r="S161" i="14" s="1"/>
  <c r="S182" i="14" a="1"/>
  <c r="S182" i="14" s="1"/>
  <c r="S205" i="14" a="1"/>
  <c r="S205" i="14" s="1"/>
  <c r="S219" i="14" a="1"/>
  <c r="S219" i="14" s="1"/>
  <c r="S273" i="14" a="1"/>
  <c r="S273" i="14" s="1"/>
  <c r="S233" i="14" a="1"/>
  <c r="S233" i="14" s="1"/>
  <c r="S245" i="14" a="1"/>
  <c r="S245" i="14" s="1"/>
  <c r="S308" i="14" a="1"/>
  <c r="S308" i="14" s="1"/>
  <c r="S330" i="14" a="1"/>
  <c r="S330" i="14" s="1"/>
  <c r="S307" i="14" a="1"/>
  <c r="S307" i="14" s="1"/>
  <c r="S373" i="14" a="1"/>
  <c r="S373" i="14" s="1"/>
  <c r="S388" i="14" a="1"/>
  <c r="S388" i="14" s="1"/>
  <c r="S405" i="14" a="1"/>
  <c r="S405" i="14" s="1"/>
  <c r="S408" i="14" a="1"/>
  <c r="S408" i="14" s="1"/>
  <c r="S439" i="14" a="1"/>
  <c r="S439" i="14" s="1"/>
  <c r="E33" i="112"/>
  <c r="E33" i="111"/>
  <c r="E33" i="110"/>
  <c r="E33" i="109"/>
  <c r="E33" i="108"/>
  <c r="E33" i="107"/>
  <c r="E33" i="106"/>
  <c r="E33" i="104"/>
  <c r="E33" i="105"/>
  <c r="E33" i="103"/>
  <c r="D31" i="100"/>
  <c r="E33" i="102"/>
  <c r="D31" i="98"/>
  <c r="D31" i="97"/>
  <c r="E33" i="101"/>
  <c r="D31" i="99"/>
  <c r="E26" i="112"/>
  <c r="E26" i="111"/>
  <c r="E26" i="109"/>
  <c r="E26" i="108"/>
  <c r="E26" i="107"/>
  <c r="E26" i="110"/>
  <c r="E26" i="106"/>
  <c r="E26" i="104"/>
  <c r="E26" i="103"/>
  <c r="E26" i="102"/>
  <c r="E26" i="101"/>
  <c r="E26" i="105"/>
  <c r="D24" i="100"/>
  <c r="D24" i="99"/>
  <c r="D24" i="97"/>
  <c r="D24" i="98"/>
  <c r="E19" i="111"/>
  <c r="E19" i="110"/>
  <c r="E19" i="112"/>
  <c r="E19" i="106"/>
  <c r="E19" i="105"/>
  <c r="E19" i="108"/>
  <c r="E19" i="109"/>
  <c r="E19" i="102"/>
  <c r="E19" i="101"/>
  <c r="E19" i="107"/>
  <c r="D17" i="99"/>
  <c r="E19" i="103"/>
  <c r="D17" i="98"/>
  <c r="E19" i="104"/>
  <c r="D17" i="100"/>
  <c r="D17" i="97"/>
  <c r="E12" i="112"/>
  <c r="E12" i="111"/>
  <c r="E12" i="110"/>
  <c r="E12" i="109"/>
  <c r="E12" i="107"/>
  <c r="E12" i="104"/>
  <c r="E12" i="106"/>
  <c r="E12" i="103"/>
  <c r="E12" i="108"/>
  <c r="E12" i="105"/>
  <c r="D10" i="100"/>
  <c r="E12" i="101"/>
  <c r="E12" i="102"/>
  <c r="D10" i="98"/>
  <c r="D10" i="97"/>
  <c r="D10" i="99"/>
  <c r="G20" i="49"/>
  <c r="E20" i="49" s="1"/>
  <c r="G24" i="49"/>
  <c r="E24" i="49" s="1"/>
  <c r="G24" i="66"/>
  <c r="E24" i="66" s="1"/>
  <c r="G20" i="81"/>
  <c r="E20" i="81" s="1"/>
  <c r="G29" i="82"/>
  <c r="E29" i="82" s="1"/>
  <c r="G25" i="82"/>
  <c r="E25" i="82" s="1"/>
  <c r="G32" i="82"/>
  <c r="E32" i="82" s="1"/>
  <c r="G33" i="81"/>
  <c r="E33" i="81" s="1"/>
  <c r="G17" i="84"/>
  <c r="G23" i="98"/>
  <c r="E23" i="98" s="1"/>
  <c r="P11" i="107"/>
  <c r="I11" i="107"/>
  <c r="P11" i="112"/>
  <c r="I11" i="112"/>
  <c r="G26" i="98"/>
  <c r="E26" i="98" s="1"/>
  <c r="G18" i="98"/>
  <c r="I12" i="106"/>
  <c r="P12" i="106"/>
  <c r="I13" i="105"/>
  <c r="P13" i="105"/>
  <c r="I14" i="105"/>
  <c r="P14" i="105"/>
  <c r="P15" i="101"/>
  <c r="I15" i="101"/>
  <c r="I15" i="104"/>
  <c r="P15" i="104"/>
  <c r="E20" i="112"/>
  <c r="E20" i="111"/>
  <c r="E20" i="110"/>
  <c r="E20" i="107"/>
  <c r="E20" i="106"/>
  <c r="E20" i="104"/>
  <c r="E20" i="109"/>
  <c r="E20" i="105"/>
  <c r="E20" i="103"/>
  <c r="E20" i="108"/>
  <c r="D18" i="100"/>
  <c r="E20" i="101"/>
  <c r="D18" i="98"/>
  <c r="D18" i="97"/>
  <c r="D18" i="99"/>
  <c r="E20" i="102"/>
  <c r="E13" i="110"/>
  <c r="E13" i="109"/>
  <c r="E13" i="112"/>
  <c r="E13" i="111"/>
  <c r="E13" i="108"/>
  <c r="E13" i="105"/>
  <c r="E13" i="107"/>
  <c r="E13" i="104"/>
  <c r="E13" i="106"/>
  <c r="E13" i="102"/>
  <c r="E13" i="103"/>
  <c r="E13" i="101"/>
  <c r="D11" i="99"/>
  <c r="D11" i="100"/>
  <c r="D11" i="98"/>
  <c r="D11" i="97"/>
  <c r="E32" i="110"/>
  <c r="E32" i="109"/>
  <c r="E32" i="112"/>
  <c r="E32" i="105"/>
  <c r="E32" i="108"/>
  <c r="E32" i="107"/>
  <c r="E32" i="111"/>
  <c r="E32" i="106"/>
  <c r="E32" i="104"/>
  <c r="E32" i="102"/>
  <c r="E32" i="101"/>
  <c r="D30" i="100"/>
  <c r="D30" i="99"/>
  <c r="E32" i="103"/>
  <c r="D30" i="98"/>
  <c r="D30" i="97"/>
  <c r="G26" i="49"/>
  <c r="E26" i="49" s="1"/>
  <c r="I11" i="103"/>
  <c r="P11" i="103"/>
  <c r="P12" i="101"/>
  <c r="I12" i="101"/>
  <c r="P12" i="104"/>
  <c r="I12" i="104"/>
  <c r="P13" i="106"/>
  <c r="I13" i="106"/>
  <c r="P14" i="108"/>
  <c r="I14" i="108"/>
  <c r="I15" i="106"/>
  <c r="P15" i="106"/>
  <c r="E25" i="112"/>
  <c r="E25" i="111"/>
  <c r="E25" i="110"/>
  <c r="E25" i="109"/>
  <c r="E25" i="107"/>
  <c r="E25" i="106"/>
  <c r="E25" i="105"/>
  <c r="E25" i="108"/>
  <c r="E25" i="104"/>
  <c r="E25" i="103"/>
  <c r="E25" i="102"/>
  <c r="D23" i="100"/>
  <c r="D23" i="98"/>
  <c r="E25" i="101"/>
  <c r="D23" i="97"/>
  <c r="D23" i="99"/>
  <c r="E18" i="112"/>
  <c r="E18" i="111"/>
  <c r="E18" i="108"/>
  <c r="E18" i="107"/>
  <c r="E18" i="110"/>
  <c r="E18" i="106"/>
  <c r="E18" i="105"/>
  <c r="E18" i="104"/>
  <c r="E18" i="103"/>
  <c r="E18" i="109"/>
  <c r="E18" i="102"/>
  <c r="D16" i="99"/>
  <c r="D16" i="97"/>
  <c r="D16" i="100"/>
  <c r="E18" i="101"/>
  <c r="D16" i="98"/>
  <c r="G32" i="65"/>
  <c r="E32" i="65" s="1"/>
  <c r="G31" i="83"/>
  <c r="E31" i="83" s="1"/>
  <c r="G23" i="81"/>
  <c r="E23" i="81" s="1"/>
  <c r="G26" i="82"/>
  <c r="E26" i="82" s="1"/>
  <c r="G24" i="99"/>
  <c r="E24" i="99" s="1"/>
  <c r="I11" i="105"/>
  <c r="P11" i="105"/>
  <c r="G26" i="99"/>
  <c r="E26" i="99" s="1"/>
  <c r="G18" i="99"/>
  <c r="P12" i="105"/>
  <c r="I12" i="105"/>
  <c r="I12" i="107"/>
  <c r="P12" i="107"/>
  <c r="G27" i="99"/>
  <c r="E27" i="99" s="1"/>
  <c r="I13" i="107"/>
  <c r="P13" i="107"/>
  <c r="P14" i="106"/>
  <c r="I14" i="106"/>
  <c r="G29" i="99"/>
  <c r="E29" i="99" s="1"/>
  <c r="G21" i="97"/>
  <c r="E21" i="97" s="1"/>
  <c r="I15" i="107"/>
  <c r="P15" i="107"/>
  <c r="E11" i="111"/>
  <c r="E11" i="110"/>
  <c r="E11" i="112"/>
  <c r="E11" i="105"/>
  <c r="E11" i="109"/>
  <c r="E11" i="108"/>
  <c r="E11" i="106"/>
  <c r="E11" i="102"/>
  <c r="E11" i="104"/>
  <c r="E11" i="101"/>
  <c r="E11" i="103"/>
  <c r="D9" i="100"/>
  <c r="D9" i="99"/>
  <c r="D9" i="98"/>
  <c r="E11" i="107"/>
  <c r="D9" i="97"/>
  <c r="E30" i="111"/>
  <c r="E30" i="110"/>
  <c r="E30" i="109"/>
  <c r="E30" i="106"/>
  <c r="E30" i="112"/>
  <c r="E30" i="108"/>
  <c r="E30" i="103"/>
  <c r="E30" i="105"/>
  <c r="E30" i="107"/>
  <c r="E30" i="102"/>
  <c r="D28" i="99"/>
  <c r="D28" i="98"/>
  <c r="E30" i="104"/>
  <c r="D28" i="100"/>
  <c r="D28" i="97"/>
  <c r="E30" i="101"/>
  <c r="E31" i="109"/>
  <c r="E31" i="112"/>
  <c r="E31" i="108"/>
  <c r="E31" i="111"/>
  <c r="E31" i="110"/>
  <c r="E31" i="107"/>
  <c r="E31" i="106"/>
  <c r="E31" i="104"/>
  <c r="E31" i="105"/>
  <c r="E31" i="103"/>
  <c r="D29" i="97"/>
  <c r="E31" i="101"/>
  <c r="D29" i="100"/>
  <c r="E31" i="102"/>
  <c r="D29" i="99"/>
  <c r="D29" i="98"/>
  <c r="E24" i="110"/>
  <c r="E24" i="109"/>
  <c r="E24" i="112"/>
  <c r="E24" i="108"/>
  <c r="E24" i="107"/>
  <c r="E24" i="111"/>
  <c r="E24" i="104"/>
  <c r="E24" i="105"/>
  <c r="E24" i="102"/>
  <c r="E24" i="101"/>
  <c r="D22" i="100"/>
  <c r="E24" i="106"/>
  <c r="D22" i="99"/>
  <c r="D22" i="98"/>
  <c r="E24" i="103"/>
  <c r="D22" i="97"/>
  <c r="G21" i="49"/>
  <c r="E21" i="49" s="1"/>
  <c r="G26" i="65"/>
  <c r="E26" i="65" s="1"/>
  <c r="G18" i="68"/>
  <c r="G14" i="67"/>
  <c r="E14" i="67" s="1"/>
  <c r="G31" i="65"/>
  <c r="E31" i="65" s="1"/>
  <c r="G31" i="67"/>
  <c r="E31" i="67" s="1"/>
  <c r="G23" i="65"/>
  <c r="E23" i="65" s="1"/>
  <c r="G28" i="82"/>
  <c r="E28" i="82" s="1"/>
  <c r="G21" i="81"/>
  <c r="E21" i="81" s="1"/>
  <c r="G24" i="82"/>
  <c r="E24" i="82" s="1"/>
  <c r="G31" i="99"/>
  <c r="E31" i="99" s="1"/>
  <c r="G33" i="97"/>
  <c r="E33" i="97" s="1"/>
  <c r="I11" i="109"/>
  <c r="P11" i="109"/>
  <c r="P12" i="108"/>
  <c r="I12" i="108"/>
  <c r="G19" i="99"/>
  <c r="E19" i="99" s="1"/>
  <c r="I13" i="108"/>
  <c r="P13" i="108"/>
  <c r="G28" i="99"/>
  <c r="E28" i="99" s="1"/>
  <c r="G20" i="99"/>
  <c r="E20" i="99" s="1"/>
  <c r="I14" i="101"/>
  <c r="P14" i="101"/>
  <c r="I14" i="107"/>
  <c r="P14" i="107"/>
  <c r="G29" i="100"/>
  <c r="E29" i="100" s="1"/>
  <c r="G21" i="99"/>
  <c r="E21" i="99" s="1"/>
  <c r="I15" i="109"/>
  <c r="P15" i="109"/>
  <c r="E34" i="109"/>
  <c r="E34" i="112"/>
  <c r="E34" i="111"/>
  <c r="E34" i="107"/>
  <c r="E34" i="110"/>
  <c r="E34" i="106"/>
  <c r="E34" i="108"/>
  <c r="E34" i="104"/>
  <c r="E34" i="105"/>
  <c r="E34" i="103"/>
  <c r="E34" i="102"/>
  <c r="D32" i="97"/>
  <c r="E34" i="101"/>
  <c r="D32" i="99"/>
  <c r="D32" i="98"/>
  <c r="D32" i="100"/>
  <c r="E27" i="111"/>
  <c r="E27" i="110"/>
  <c r="E27" i="112"/>
  <c r="E27" i="106"/>
  <c r="E27" i="105"/>
  <c r="E27" i="109"/>
  <c r="E27" i="107"/>
  <c r="E27" i="102"/>
  <c r="E27" i="104"/>
  <c r="E27" i="101"/>
  <c r="E27" i="103"/>
  <c r="D25" i="100"/>
  <c r="D25" i="99"/>
  <c r="D25" i="98"/>
  <c r="E27" i="108"/>
  <c r="D25" i="97"/>
  <c r="E17" i="112"/>
  <c r="E17" i="111"/>
  <c r="E17" i="110"/>
  <c r="E17" i="109"/>
  <c r="E17" i="107"/>
  <c r="E17" i="106"/>
  <c r="E17" i="105"/>
  <c r="E17" i="104"/>
  <c r="E17" i="108"/>
  <c r="E17" i="103"/>
  <c r="E17" i="102"/>
  <c r="D15" i="100"/>
  <c r="E17" i="101"/>
  <c r="D15" i="98"/>
  <c r="D15" i="97"/>
  <c r="D15" i="99"/>
  <c r="E35" i="111"/>
  <c r="E35" i="110"/>
  <c r="E35" i="112"/>
  <c r="E35" i="109"/>
  <c r="E35" i="106"/>
  <c r="E35" i="105"/>
  <c r="E35" i="107"/>
  <c r="E35" i="103"/>
  <c r="E35" i="101"/>
  <c r="D33" i="99"/>
  <c r="D33" i="98"/>
  <c r="E35" i="108"/>
  <c r="E35" i="102"/>
  <c r="D33" i="100"/>
  <c r="D33" i="97"/>
  <c r="E35" i="104"/>
  <c r="E28" i="112"/>
  <c r="E28" i="111"/>
  <c r="E28" i="110"/>
  <c r="E28" i="109"/>
  <c r="E28" i="107"/>
  <c r="E28" i="106"/>
  <c r="E28" i="105"/>
  <c r="E28" i="104"/>
  <c r="E28" i="108"/>
  <c r="E28" i="103"/>
  <c r="D26" i="100"/>
  <c r="E28" i="101"/>
  <c r="D26" i="98"/>
  <c r="E28" i="102"/>
  <c r="D26" i="97"/>
  <c r="D26" i="99"/>
  <c r="G31" i="97"/>
  <c r="E31" i="97" s="1"/>
  <c r="G33" i="98"/>
  <c r="E33" i="98" s="1"/>
  <c r="I11" i="108"/>
  <c r="P11" i="108"/>
  <c r="I12" i="110"/>
  <c r="P12" i="110"/>
  <c r="I13" i="101"/>
  <c r="P13" i="101"/>
  <c r="P13" i="111"/>
  <c r="I13" i="111"/>
  <c r="G28" i="97"/>
  <c r="E28" i="97" s="1"/>
  <c r="I14" i="109"/>
  <c r="P14" i="109"/>
  <c r="P15" i="102"/>
  <c r="I15" i="102"/>
  <c r="I15" i="108"/>
  <c r="P15" i="108"/>
  <c r="E29" i="110"/>
  <c r="E29" i="109"/>
  <c r="E29" i="112"/>
  <c r="E29" i="111"/>
  <c r="E29" i="108"/>
  <c r="E29" i="105"/>
  <c r="E29" i="104"/>
  <c r="E29" i="102"/>
  <c r="E29" i="101"/>
  <c r="E29" i="106"/>
  <c r="E29" i="107"/>
  <c r="E29" i="103"/>
  <c r="D27" i="99"/>
  <c r="D27" i="98"/>
  <c r="D27" i="97"/>
  <c r="D27" i="100"/>
  <c r="E22" i="111"/>
  <c r="E22" i="110"/>
  <c r="E22" i="109"/>
  <c r="E22" i="106"/>
  <c r="E22" i="112"/>
  <c r="E22" i="108"/>
  <c r="E22" i="105"/>
  <c r="E22" i="103"/>
  <c r="E22" i="107"/>
  <c r="E22" i="102"/>
  <c r="E22" i="104"/>
  <c r="D20" i="99"/>
  <c r="D20" i="98"/>
  <c r="D20" i="97"/>
  <c r="E22" i="101"/>
  <c r="D20" i="100"/>
  <c r="E23" i="109"/>
  <c r="E23" i="112"/>
  <c r="E23" i="111"/>
  <c r="E23" i="110"/>
  <c r="E23" i="108"/>
  <c r="E23" i="107"/>
  <c r="E23" i="106"/>
  <c r="E23" i="104"/>
  <c r="E23" i="105"/>
  <c r="E23" i="103"/>
  <c r="E23" i="102"/>
  <c r="E23" i="101"/>
  <c r="D21" i="97"/>
  <c r="D21" i="99"/>
  <c r="D21" i="98"/>
  <c r="D21" i="100"/>
  <c r="E16" i="110"/>
  <c r="E16" i="109"/>
  <c r="E16" i="112"/>
  <c r="E16" i="108"/>
  <c r="E16" i="107"/>
  <c r="E16" i="105"/>
  <c r="E16" i="104"/>
  <c r="E16" i="102"/>
  <c r="E16" i="111"/>
  <c r="E16" i="101"/>
  <c r="D14" i="100"/>
  <c r="D14" i="99"/>
  <c r="D14" i="98"/>
  <c r="E16" i="103"/>
  <c r="E16" i="106"/>
  <c r="D14" i="97"/>
  <c r="I11" i="104"/>
  <c r="P11" i="104"/>
  <c r="I11" i="106"/>
  <c r="P11" i="106"/>
  <c r="P12" i="102"/>
  <c r="I12" i="102"/>
  <c r="I12" i="111"/>
  <c r="P12" i="111"/>
  <c r="G19" i="97"/>
  <c r="E19" i="97" s="1"/>
  <c r="I13" i="103"/>
  <c r="P13" i="103"/>
  <c r="I13" i="112"/>
  <c r="P13" i="112"/>
  <c r="G30" i="97"/>
  <c r="E30" i="97" s="1"/>
  <c r="G28" i="98"/>
  <c r="E28" i="98" s="1"/>
  <c r="G28" i="100"/>
  <c r="E28" i="100" s="1"/>
  <c r="G20" i="100"/>
  <c r="E20" i="100" s="1"/>
  <c r="P14" i="103"/>
  <c r="I14" i="103"/>
  <c r="I14" i="110"/>
  <c r="P14" i="110"/>
  <c r="P15" i="110"/>
  <c r="I15" i="110"/>
  <c r="G22" i="97"/>
  <c r="E22" i="97" s="1"/>
  <c r="G30" i="81"/>
  <c r="E30" i="81" s="1"/>
  <c r="G33" i="84"/>
  <c r="E33" i="84" s="1"/>
  <c r="G32" i="97"/>
  <c r="E32" i="97" s="1"/>
  <c r="G33" i="99"/>
  <c r="E33" i="99" s="1"/>
  <c r="G33" i="100"/>
  <c r="E33" i="100" s="1"/>
  <c r="G25" i="99"/>
  <c r="E25" i="99" s="1"/>
  <c r="G25" i="100"/>
  <c r="E25" i="100" s="1"/>
  <c r="I11" i="101"/>
  <c r="P11" i="101"/>
  <c r="I11" i="110"/>
  <c r="P11" i="110"/>
  <c r="P12" i="112"/>
  <c r="I12" i="112"/>
  <c r="G27" i="97"/>
  <c r="E27" i="97" s="1"/>
  <c r="I13" i="102"/>
  <c r="P13" i="102"/>
  <c r="I13" i="109"/>
  <c r="P13" i="109"/>
  <c r="G30" i="100"/>
  <c r="E30" i="100" s="1"/>
  <c r="I14" i="102"/>
  <c r="P14" i="102"/>
  <c r="P14" i="111"/>
  <c r="I14" i="111"/>
  <c r="P15" i="105"/>
  <c r="I15" i="105"/>
  <c r="I15" i="111"/>
  <c r="P15" i="111"/>
  <c r="G22" i="98"/>
  <c r="E22" i="98" s="1"/>
  <c r="E21" i="110"/>
  <c r="E21" i="109"/>
  <c r="E21" i="112"/>
  <c r="E21" i="111"/>
  <c r="E21" i="108"/>
  <c r="E21" i="107"/>
  <c r="E21" i="104"/>
  <c r="E21" i="105"/>
  <c r="E21" i="103"/>
  <c r="E21" i="102"/>
  <c r="E21" i="101"/>
  <c r="E21" i="106"/>
  <c r="D19" i="100"/>
  <c r="D19" i="99"/>
  <c r="D19" i="98"/>
  <c r="D19" i="97"/>
  <c r="E14" i="111"/>
  <c r="E14" i="110"/>
  <c r="E14" i="112"/>
  <c r="E14" i="106"/>
  <c r="E14" i="108"/>
  <c r="E14" i="103"/>
  <c r="E14" i="105"/>
  <c r="E14" i="109"/>
  <c r="E14" i="107"/>
  <c r="E14" i="102"/>
  <c r="E14" i="104"/>
  <c r="D12" i="99"/>
  <c r="E14" i="101"/>
  <c r="D12" i="100"/>
  <c r="D12" i="98"/>
  <c r="D12" i="97"/>
  <c r="E15" i="109"/>
  <c r="E15" i="112"/>
  <c r="E15" i="111"/>
  <c r="E15" i="110"/>
  <c r="E15" i="108"/>
  <c r="E15" i="107"/>
  <c r="E15" i="106"/>
  <c r="E15" i="104"/>
  <c r="E15" i="105"/>
  <c r="E15" i="103"/>
  <c r="D13" i="100"/>
  <c r="D13" i="97"/>
  <c r="E15" i="102"/>
  <c r="D13" i="99"/>
  <c r="E15" i="101"/>
  <c r="D13" i="98"/>
  <c r="G19" i="68"/>
  <c r="E19" i="68" s="1"/>
  <c r="G32" i="68"/>
  <c r="E32" i="68" s="1"/>
  <c r="G32" i="84"/>
  <c r="E32" i="84" s="1"/>
  <c r="G27" i="84"/>
  <c r="E27" i="84" s="1"/>
  <c r="G24" i="98"/>
  <c r="E24" i="98" s="1"/>
  <c r="I11" i="102"/>
  <c r="P11" i="102"/>
  <c r="I11" i="111"/>
  <c r="P11" i="111"/>
  <c r="I12" i="103"/>
  <c r="P12" i="103"/>
  <c r="I12" i="109"/>
  <c r="P12" i="109"/>
  <c r="G19" i="100"/>
  <c r="E19" i="100" s="1"/>
  <c r="I13" i="104"/>
  <c r="P13" i="104"/>
  <c r="I13" i="110"/>
  <c r="P13" i="110"/>
  <c r="G20" i="98"/>
  <c r="E20" i="98" s="1"/>
  <c r="P14" i="104"/>
  <c r="I14" i="104"/>
  <c r="P14" i="112"/>
  <c r="I14" i="112"/>
  <c r="G29" i="98"/>
  <c r="E29" i="98" s="1"/>
  <c r="I15" i="103"/>
  <c r="P15" i="103"/>
  <c r="I15" i="112"/>
  <c r="P15" i="112"/>
  <c r="E33" i="96"/>
  <c r="E33" i="95"/>
  <c r="E33" i="94"/>
  <c r="E33" i="92"/>
  <c r="E33" i="88"/>
  <c r="E33" i="91"/>
  <c r="E33" i="87"/>
  <c r="E33" i="90"/>
  <c r="D31" i="84"/>
  <c r="E33" i="86"/>
  <c r="E33" i="85"/>
  <c r="D31" i="81"/>
  <c r="E33" i="93"/>
  <c r="E33" i="89"/>
  <c r="D31" i="82"/>
  <c r="D31" i="83"/>
  <c r="I12" i="85"/>
  <c r="P12" i="85"/>
  <c r="E13" i="94"/>
  <c r="E13" i="95"/>
  <c r="E13" i="92"/>
  <c r="E13" i="90"/>
  <c r="E13" i="96"/>
  <c r="E13" i="85"/>
  <c r="E13" i="91"/>
  <c r="E13" i="89"/>
  <c r="D11" i="82"/>
  <c r="E13" i="88"/>
  <c r="E13" i="87"/>
  <c r="E13" i="93"/>
  <c r="D11" i="81"/>
  <c r="D11" i="83"/>
  <c r="D11" i="84"/>
  <c r="E13" i="86"/>
  <c r="E32" i="94"/>
  <c r="E32" i="95"/>
  <c r="E32" i="92"/>
  <c r="E32" i="93"/>
  <c r="E32" i="90"/>
  <c r="E32" i="89"/>
  <c r="E32" i="96"/>
  <c r="E32" i="85"/>
  <c r="E32" i="88"/>
  <c r="E32" i="86"/>
  <c r="D30" i="81"/>
  <c r="E32" i="91"/>
  <c r="E32" i="87"/>
  <c r="D30" i="82"/>
  <c r="D30" i="84"/>
  <c r="D30" i="83"/>
  <c r="I14" i="88"/>
  <c r="P14" i="88"/>
  <c r="G29" i="81"/>
  <c r="E29" i="81" s="1"/>
  <c r="P15" i="95"/>
  <c r="I15" i="95"/>
  <c r="I15" i="87"/>
  <c r="P15" i="87"/>
  <c r="G24" i="81"/>
  <c r="E24" i="81" s="1"/>
  <c r="G33" i="82"/>
  <c r="E33" i="82" s="1"/>
  <c r="I11" i="87"/>
  <c r="P11" i="87"/>
  <c r="I11" i="94"/>
  <c r="P11" i="94"/>
  <c r="G18" i="81"/>
  <c r="I12" i="95"/>
  <c r="P12" i="95"/>
  <c r="I12" i="87"/>
  <c r="P12" i="87"/>
  <c r="G19" i="81"/>
  <c r="E19" i="81" s="1"/>
  <c r="I13" i="86"/>
  <c r="P13" i="86"/>
  <c r="E26" i="95"/>
  <c r="E26" i="93"/>
  <c r="E26" i="89"/>
  <c r="E26" i="92"/>
  <c r="E26" i="96"/>
  <c r="E26" i="88"/>
  <c r="E26" i="87"/>
  <c r="E26" i="85"/>
  <c r="D24" i="82"/>
  <c r="E26" i="94"/>
  <c r="E26" i="91"/>
  <c r="E26" i="90"/>
  <c r="D24" i="81"/>
  <c r="E26" i="86"/>
  <c r="D24" i="83"/>
  <c r="D24" i="84"/>
  <c r="I15" i="92"/>
  <c r="P15" i="92"/>
  <c r="E25" i="96"/>
  <c r="E25" i="95"/>
  <c r="E25" i="93"/>
  <c r="E25" i="91"/>
  <c r="E25" i="89"/>
  <c r="E25" i="87"/>
  <c r="E25" i="94"/>
  <c r="E25" i="92"/>
  <c r="E25" i="88"/>
  <c r="E25" i="86"/>
  <c r="E25" i="85"/>
  <c r="D23" i="82"/>
  <c r="D23" i="84"/>
  <c r="E25" i="90"/>
  <c r="D23" i="81"/>
  <c r="D23" i="83"/>
  <c r="E18" i="94"/>
  <c r="E18" i="92"/>
  <c r="E18" i="96"/>
  <c r="E18" i="89"/>
  <c r="E18" i="88"/>
  <c r="E18" i="87"/>
  <c r="D16" i="82"/>
  <c r="E18" i="86"/>
  <c r="D16" i="81"/>
  <c r="D16" i="83"/>
  <c r="E18" i="93"/>
  <c r="E18" i="85"/>
  <c r="E18" i="95"/>
  <c r="D16" i="84"/>
  <c r="E18" i="91"/>
  <c r="E18" i="90"/>
  <c r="I14" i="86"/>
  <c r="P14" i="86"/>
  <c r="I14" i="92"/>
  <c r="P14" i="92"/>
  <c r="G21" i="84"/>
  <c r="E21" i="84" s="1"/>
  <c r="I15" i="90"/>
  <c r="P15" i="90"/>
  <c r="G25" i="81"/>
  <c r="E25" i="81" s="1"/>
  <c r="I11" i="88"/>
  <c r="P11" i="88"/>
  <c r="P11" i="86"/>
  <c r="I11" i="86"/>
  <c r="I12" i="94"/>
  <c r="P12" i="94"/>
  <c r="P12" i="92"/>
  <c r="I12" i="92"/>
  <c r="G19" i="83"/>
  <c r="E19" i="83" s="1"/>
  <c r="I13" i="93"/>
  <c r="P13" i="93"/>
  <c r="I13" i="88"/>
  <c r="P13" i="88"/>
  <c r="E11" i="95"/>
  <c r="E11" i="94"/>
  <c r="E11" i="96"/>
  <c r="E11" i="91"/>
  <c r="E11" i="93"/>
  <c r="E11" i="86"/>
  <c r="E11" i="85"/>
  <c r="D9" i="81"/>
  <c r="E11" i="92"/>
  <c r="E11" i="88"/>
  <c r="E11" i="87"/>
  <c r="D9" i="84"/>
  <c r="D9" i="83"/>
  <c r="E11" i="89"/>
  <c r="D9" i="82"/>
  <c r="E11" i="90"/>
  <c r="E30" i="95"/>
  <c r="E30" i="96"/>
  <c r="E30" i="94"/>
  <c r="E30" i="92"/>
  <c r="E30" i="93"/>
  <c r="E30" i="91"/>
  <c r="E30" i="90"/>
  <c r="E30" i="86"/>
  <c r="E30" i="89"/>
  <c r="D28" i="83"/>
  <c r="D28" i="84"/>
  <c r="D28" i="81"/>
  <c r="E30" i="87"/>
  <c r="E30" i="88"/>
  <c r="E30" i="85"/>
  <c r="D28" i="82"/>
  <c r="E31" i="93"/>
  <c r="E31" i="96"/>
  <c r="E31" i="91"/>
  <c r="E31" i="95"/>
  <c r="E31" i="89"/>
  <c r="E31" i="90"/>
  <c r="E31" i="88"/>
  <c r="D29" i="84"/>
  <c r="E31" i="92"/>
  <c r="D29" i="83"/>
  <c r="D29" i="82"/>
  <c r="E31" i="87"/>
  <c r="D29" i="81"/>
  <c r="E31" i="94"/>
  <c r="E31" i="86"/>
  <c r="E31" i="85"/>
  <c r="E24" i="94"/>
  <c r="E24" i="95"/>
  <c r="E24" i="92"/>
  <c r="E24" i="96"/>
  <c r="E24" i="90"/>
  <c r="E24" i="93"/>
  <c r="E24" i="85"/>
  <c r="E24" i="89"/>
  <c r="E24" i="88"/>
  <c r="D22" i="84"/>
  <c r="E24" i="91"/>
  <c r="D22" i="81"/>
  <c r="D22" i="82"/>
  <c r="E24" i="87"/>
  <c r="E24" i="86"/>
  <c r="D22" i="83"/>
  <c r="G20" i="67"/>
  <c r="E20" i="67" s="1"/>
  <c r="G21" i="65"/>
  <c r="E21" i="65" s="1"/>
  <c r="G15" i="65"/>
  <c r="G28" i="83"/>
  <c r="E28" i="83" s="1"/>
  <c r="I14" i="85"/>
  <c r="P14" i="85"/>
  <c r="P14" i="87"/>
  <c r="I14" i="87"/>
  <c r="I15" i="94"/>
  <c r="P15" i="94"/>
  <c r="I15" i="91"/>
  <c r="P15" i="91"/>
  <c r="G30" i="82"/>
  <c r="E30" i="82" s="1"/>
  <c r="G22" i="82"/>
  <c r="E22" i="82" s="1"/>
  <c r="G31" i="82"/>
  <c r="E31" i="82" s="1"/>
  <c r="G17" i="81"/>
  <c r="G17" i="83"/>
  <c r="I11" i="90"/>
  <c r="P11" i="90"/>
  <c r="I12" i="90"/>
  <c r="P12" i="90"/>
  <c r="I13" i="96"/>
  <c r="P13" i="96"/>
  <c r="I13" i="85"/>
  <c r="P13" i="85"/>
  <c r="E19" i="95"/>
  <c r="E19" i="94"/>
  <c r="E19" i="91"/>
  <c r="E19" i="86"/>
  <c r="E19" i="93"/>
  <c r="E19" i="90"/>
  <c r="D17" i="81"/>
  <c r="E19" i="92"/>
  <c r="E19" i="85"/>
  <c r="E19" i="96"/>
  <c r="E19" i="87"/>
  <c r="D17" i="84"/>
  <c r="E19" i="89"/>
  <c r="E19" i="88"/>
  <c r="D17" i="83"/>
  <c r="D17" i="82"/>
  <c r="I13" i="89"/>
  <c r="P13" i="89"/>
  <c r="E17" i="96"/>
  <c r="E17" i="95"/>
  <c r="E17" i="94"/>
  <c r="E17" i="87"/>
  <c r="E17" i="92"/>
  <c r="E17" i="90"/>
  <c r="D15" i="84"/>
  <c r="E17" i="91"/>
  <c r="E17" i="88"/>
  <c r="E17" i="85"/>
  <c r="D15" i="83"/>
  <c r="E17" i="89"/>
  <c r="D15" i="82"/>
  <c r="D15" i="81"/>
  <c r="E17" i="93"/>
  <c r="E17" i="86"/>
  <c r="E35" i="95"/>
  <c r="E35" i="96"/>
  <c r="E35" i="92"/>
  <c r="E35" i="94"/>
  <c r="E35" i="89"/>
  <c r="E35" i="86"/>
  <c r="E35" i="90"/>
  <c r="E35" i="87"/>
  <c r="D33" i="81"/>
  <c r="E35" i="93"/>
  <c r="E35" i="91"/>
  <c r="D33" i="84"/>
  <c r="E35" i="88"/>
  <c r="E35" i="85"/>
  <c r="D33" i="82"/>
  <c r="D33" i="83"/>
  <c r="E28" i="96"/>
  <c r="E28" i="94"/>
  <c r="E28" i="93"/>
  <c r="E28" i="91"/>
  <c r="E28" i="92"/>
  <c r="E28" i="87"/>
  <c r="E28" i="85"/>
  <c r="E28" i="89"/>
  <c r="D26" i="83"/>
  <c r="E28" i="95"/>
  <c r="D26" i="82"/>
  <c r="D26" i="81"/>
  <c r="E28" i="90"/>
  <c r="E28" i="88"/>
  <c r="D26" i="84"/>
  <c r="E28" i="86"/>
  <c r="I14" i="91"/>
  <c r="P14" i="91"/>
  <c r="I14" i="89"/>
  <c r="P14" i="89"/>
  <c r="G21" i="82"/>
  <c r="E21" i="82" s="1"/>
  <c r="I15" i="88"/>
  <c r="P15" i="88"/>
  <c r="G22" i="84"/>
  <c r="E22" i="84" s="1"/>
  <c r="G25" i="83"/>
  <c r="E25" i="83" s="1"/>
  <c r="G33" i="83"/>
  <c r="E33" i="83" s="1"/>
  <c r="I11" i="91"/>
  <c r="P11" i="91"/>
  <c r="I12" i="88"/>
  <c r="P12" i="88"/>
  <c r="G27" i="83"/>
  <c r="E27" i="83" s="1"/>
  <c r="I13" i="90"/>
  <c r="P13" i="90"/>
  <c r="E29" i="94"/>
  <c r="E29" i="92"/>
  <c r="E29" i="95"/>
  <c r="E29" i="96"/>
  <c r="E29" i="90"/>
  <c r="E29" i="85"/>
  <c r="E29" i="89"/>
  <c r="D27" i="82"/>
  <c r="E29" i="88"/>
  <c r="E29" i="93"/>
  <c r="E29" i="86"/>
  <c r="D27" i="83"/>
  <c r="E29" i="87"/>
  <c r="D27" i="84"/>
  <c r="D27" i="81"/>
  <c r="E29" i="91"/>
  <c r="E22" i="95"/>
  <c r="E22" i="96"/>
  <c r="E22" i="94"/>
  <c r="E22" i="92"/>
  <c r="E22" i="91"/>
  <c r="E22" i="90"/>
  <c r="E22" i="89"/>
  <c r="E22" i="86"/>
  <c r="E22" i="93"/>
  <c r="E22" i="85"/>
  <c r="D20" i="83"/>
  <c r="E22" i="87"/>
  <c r="E22" i="88"/>
  <c r="D20" i="82"/>
  <c r="D20" i="81"/>
  <c r="D20" i="84"/>
  <c r="E23" i="93"/>
  <c r="E23" i="96"/>
  <c r="E23" i="89"/>
  <c r="E23" i="92"/>
  <c r="E23" i="95"/>
  <c r="E23" i="94"/>
  <c r="E23" i="91"/>
  <c r="E23" i="88"/>
  <c r="D21" i="84"/>
  <c r="E23" i="90"/>
  <c r="D21" i="83"/>
  <c r="E23" i="87"/>
  <c r="E23" i="86"/>
  <c r="D21" i="82"/>
  <c r="D21" i="81"/>
  <c r="E23" i="85"/>
  <c r="E16" i="94"/>
  <c r="E16" i="93"/>
  <c r="E16" i="92"/>
  <c r="E16" i="90"/>
  <c r="E16" i="89"/>
  <c r="E16" i="85"/>
  <c r="E16" i="96"/>
  <c r="E16" i="95"/>
  <c r="E16" i="88"/>
  <c r="E16" i="87"/>
  <c r="D14" i="81"/>
  <c r="D14" i="84"/>
  <c r="E16" i="86"/>
  <c r="D14" i="82"/>
  <c r="D14" i="83"/>
  <c r="E16" i="91"/>
  <c r="G21" i="47"/>
  <c r="E21" i="47" s="1"/>
  <c r="G18" i="47"/>
  <c r="G20" i="84"/>
  <c r="E20" i="84" s="1"/>
  <c r="I14" i="93"/>
  <c r="P14" i="93"/>
  <c r="G21" i="83"/>
  <c r="E21" i="83" s="1"/>
  <c r="I15" i="85"/>
  <c r="P15" i="85"/>
  <c r="I15" i="93"/>
  <c r="P15" i="93"/>
  <c r="G22" i="83"/>
  <c r="E22" i="83" s="1"/>
  <c r="G23" i="83"/>
  <c r="E23" i="83" s="1"/>
  <c r="G15" i="83"/>
  <c r="G24" i="83"/>
  <c r="E24" i="83" s="1"/>
  <c r="I11" i="89"/>
  <c r="P11" i="89"/>
  <c r="I11" i="96"/>
  <c r="P11" i="96"/>
  <c r="G26" i="81"/>
  <c r="E26" i="81" s="1"/>
  <c r="G26" i="83"/>
  <c r="E26" i="83" s="1"/>
  <c r="I12" i="86"/>
  <c r="P12" i="86"/>
  <c r="I12" i="89"/>
  <c r="P12" i="89"/>
  <c r="P13" i="87"/>
  <c r="I13" i="87"/>
  <c r="I13" i="92"/>
  <c r="P13" i="92"/>
  <c r="E12" i="96"/>
  <c r="E12" i="93"/>
  <c r="E12" i="95"/>
  <c r="E12" i="94"/>
  <c r="E12" i="92"/>
  <c r="E12" i="91"/>
  <c r="E12" i="90"/>
  <c r="E12" i="89"/>
  <c r="E12" i="87"/>
  <c r="D10" i="84"/>
  <c r="E12" i="86"/>
  <c r="E12" i="88"/>
  <c r="D10" i="82"/>
  <c r="E12" i="85"/>
  <c r="D10" i="81"/>
  <c r="D10" i="83"/>
  <c r="I14" i="95"/>
  <c r="P14" i="95"/>
  <c r="E34" i="92"/>
  <c r="E34" i="93"/>
  <c r="E34" i="91"/>
  <c r="E34" i="89"/>
  <c r="E34" i="96"/>
  <c r="E34" i="94"/>
  <c r="E34" i="87"/>
  <c r="E34" i="86"/>
  <c r="D32" i="82"/>
  <c r="E34" i="95"/>
  <c r="E34" i="85"/>
  <c r="D32" i="81"/>
  <c r="D32" i="84"/>
  <c r="E34" i="88"/>
  <c r="E34" i="90"/>
  <c r="D32" i="83"/>
  <c r="E27" i="95"/>
  <c r="E27" i="96"/>
  <c r="E27" i="91"/>
  <c r="E27" i="86"/>
  <c r="E27" i="89"/>
  <c r="E27" i="93"/>
  <c r="D25" i="81"/>
  <c r="E27" i="94"/>
  <c r="E27" i="92"/>
  <c r="E27" i="88"/>
  <c r="E27" i="87"/>
  <c r="E27" i="90"/>
  <c r="D25" i="83"/>
  <c r="E27" i="85"/>
  <c r="D25" i="84"/>
  <c r="D25" i="82"/>
  <c r="E20" i="96"/>
  <c r="E20" i="92"/>
  <c r="E20" i="95"/>
  <c r="E20" i="94"/>
  <c r="E20" i="93"/>
  <c r="E20" i="91"/>
  <c r="E20" i="87"/>
  <c r="D18" i="84"/>
  <c r="D18" i="83"/>
  <c r="E20" i="89"/>
  <c r="D18" i="82"/>
  <c r="E20" i="90"/>
  <c r="E20" i="88"/>
  <c r="D18" i="81"/>
  <c r="E20" i="86"/>
  <c r="E20" i="85"/>
  <c r="G27" i="52"/>
  <c r="E27" i="52" s="1"/>
  <c r="G19" i="50"/>
  <c r="E19" i="50" s="1"/>
  <c r="I14" i="94"/>
  <c r="P14" i="94"/>
  <c r="I15" i="89"/>
  <c r="P15" i="89"/>
  <c r="G22" i="81"/>
  <c r="E22" i="81" s="1"/>
  <c r="G31" i="84"/>
  <c r="E31" i="84" s="1"/>
  <c r="I11" i="85"/>
  <c r="P11" i="85"/>
  <c r="I11" i="92"/>
  <c r="P11" i="92"/>
  <c r="I12" i="91"/>
  <c r="P12" i="91"/>
  <c r="I12" i="96"/>
  <c r="P12" i="96"/>
  <c r="I13" i="95"/>
  <c r="P13" i="95"/>
  <c r="G26" i="43"/>
  <c r="E21" i="94"/>
  <c r="E21" i="92"/>
  <c r="E21" i="93"/>
  <c r="E21" i="90"/>
  <c r="E21" i="96"/>
  <c r="E21" i="85"/>
  <c r="E21" i="95"/>
  <c r="E21" i="91"/>
  <c r="D19" i="82"/>
  <c r="E21" i="86"/>
  <c r="E21" i="87"/>
  <c r="D19" i="84"/>
  <c r="D19" i="81"/>
  <c r="E21" i="89"/>
  <c r="D19" i="83"/>
  <c r="E21" i="88"/>
  <c r="E14" i="95"/>
  <c r="E14" i="93"/>
  <c r="E14" i="92"/>
  <c r="E14" i="96"/>
  <c r="E14" i="91"/>
  <c r="E14" i="90"/>
  <c r="E14" i="86"/>
  <c r="E14" i="94"/>
  <c r="E14" i="87"/>
  <c r="D12" i="84"/>
  <c r="D12" i="83"/>
  <c r="D12" i="82"/>
  <c r="E14" i="85"/>
  <c r="E14" i="88"/>
  <c r="E14" i="89"/>
  <c r="D12" i="81"/>
  <c r="E15" i="93"/>
  <c r="E15" i="96"/>
  <c r="E15" i="95"/>
  <c r="E15" i="94"/>
  <c r="E15" i="89"/>
  <c r="E15" i="92"/>
  <c r="E15" i="88"/>
  <c r="E15" i="91"/>
  <c r="E15" i="86"/>
  <c r="D13" i="83"/>
  <c r="D13" i="82"/>
  <c r="E15" i="90"/>
  <c r="E15" i="87"/>
  <c r="D13" i="84"/>
  <c r="D13" i="81"/>
  <c r="E15" i="85"/>
  <c r="G28" i="81"/>
  <c r="E28" i="81" s="1"/>
  <c r="G20" i="83"/>
  <c r="E20" i="83" s="1"/>
  <c r="I14" i="90"/>
  <c r="P14" i="90"/>
  <c r="I14" i="96"/>
  <c r="P14" i="96"/>
  <c r="G29" i="84"/>
  <c r="E29" i="84" s="1"/>
  <c r="P15" i="86"/>
  <c r="I15" i="86"/>
  <c r="I15" i="96"/>
  <c r="P15" i="96"/>
  <c r="G30" i="84"/>
  <c r="E30" i="84" s="1"/>
  <c r="G31" i="81"/>
  <c r="E31" i="81" s="1"/>
  <c r="G23" i="84"/>
  <c r="E23" i="84" s="1"/>
  <c r="G32" i="83"/>
  <c r="E32" i="83" s="1"/>
  <c r="G24" i="84"/>
  <c r="E24" i="84" s="1"/>
  <c r="P11" i="93"/>
  <c r="I11" i="93"/>
  <c r="I11" i="95"/>
  <c r="P11" i="95"/>
  <c r="I12" i="93"/>
  <c r="P12" i="93"/>
  <c r="G19" i="82"/>
  <c r="E19" i="82" s="1"/>
  <c r="G19" i="84"/>
  <c r="E19" i="84" s="1"/>
  <c r="I13" i="91"/>
  <c r="P13" i="91"/>
  <c r="I13" i="94"/>
  <c r="P13" i="94"/>
  <c r="E14" i="79"/>
  <c r="E14" i="78"/>
  <c r="E14" i="76"/>
  <c r="E14" i="80"/>
  <c r="E14" i="75"/>
  <c r="E14" i="77"/>
  <c r="E14" i="74"/>
  <c r="E14" i="71"/>
  <c r="E14" i="73"/>
  <c r="E14" i="69"/>
  <c r="D12" i="68"/>
  <c r="E14" i="72"/>
  <c r="D12" i="67"/>
  <c r="D12" i="65"/>
  <c r="D12" i="66"/>
  <c r="E14" i="70"/>
  <c r="G33" i="43"/>
  <c r="E33" i="80"/>
  <c r="E33" i="79"/>
  <c r="E33" i="77"/>
  <c r="E33" i="76"/>
  <c r="E33" i="78"/>
  <c r="E33" i="75"/>
  <c r="E33" i="73"/>
  <c r="E33" i="74"/>
  <c r="E33" i="71"/>
  <c r="E33" i="72"/>
  <c r="E33" i="69"/>
  <c r="D31" i="67"/>
  <c r="E33" i="70"/>
  <c r="D31" i="66"/>
  <c r="D31" i="65"/>
  <c r="D31" i="68"/>
  <c r="E26" i="77"/>
  <c r="E26" i="80"/>
  <c r="E26" i="79"/>
  <c r="E26" i="74"/>
  <c r="E26" i="73"/>
  <c r="E26" i="78"/>
  <c r="E26" i="76"/>
  <c r="E26" i="71"/>
  <c r="D24" i="66"/>
  <c r="D24" i="65"/>
  <c r="E26" i="75"/>
  <c r="E26" i="70"/>
  <c r="E26" i="69"/>
  <c r="D24" i="68"/>
  <c r="E26" i="72"/>
  <c r="D24" i="67"/>
  <c r="E19" i="79"/>
  <c r="E19" i="78"/>
  <c r="E19" i="76"/>
  <c r="E19" i="75"/>
  <c r="E19" i="72"/>
  <c r="E19" i="77"/>
  <c r="E19" i="74"/>
  <c r="E19" i="80"/>
  <c r="E19" i="70"/>
  <c r="E19" i="73"/>
  <c r="D17" i="68"/>
  <c r="E19" i="71"/>
  <c r="D17" i="67"/>
  <c r="D17" i="66"/>
  <c r="E19" i="69"/>
  <c r="D17" i="65"/>
  <c r="E12" i="80"/>
  <c r="E12" i="79"/>
  <c r="E12" i="78"/>
  <c r="E12" i="76"/>
  <c r="E12" i="77"/>
  <c r="E12" i="73"/>
  <c r="E12" i="75"/>
  <c r="E12" i="72"/>
  <c r="E12" i="71"/>
  <c r="D10" i="67"/>
  <c r="E12" i="69"/>
  <c r="D10" i="66"/>
  <c r="D10" i="65"/>
  <c r="D10" i="68"/>
  <c r="E12" i="70"/>
  <c r="E12" i="74"/>
  <c r="P12" i="70"/>
  <c r="I12" i="70"/>
  <c r="I13" i="70"/>
  <c r="P13" i="70"/>
  <c r="I11" i="71"/>
  <c r="P11" i="71"/>
  <c r="I14" i="75"/>
  <c r="P14" i="75"/>
  <c r="I15" i="72"/>
  <c r="P15" i="72"/>
  <c r="G30" i="65"/>
  <c r="E30" i="65" s="1"/>
  <c r="G32" i="66"/>
  <c r="E32" i="66" s="1"/>
  <c r="E21" i="78"/>
  <c r="E21" i="77"/>
  <c r="E21" i="80"/>
  <c r="E21" i="79"/>
  <c r="E21" i="75"/>
  <c r="E21" i="73"/>
  <c r="E21" i="76"/>
  <c r="E21" i="72"/>
  <c r="D19" i="65"/>
  <c r="D19" i="68"/>
  <c r="E21" i="70"/>
  <c r="E21" i="74"/>
  <c r="D19" i="66"/>
  <c r="D19" i="67"/>
  <c r="E21" i="69"/>
  <c r="E21" i="71"/>
  <c r="G27" i="43"/>
  <c r="E13" i="78"/>
  <c r="E13" i="77"/>
  <c r="E13" i="75"/>
  <c r="E13" i="79"/>
  <c r="E13" i="80"/>
  <c r="E13" i="73"/>
  <c r="E13" i="76"/>
  <c r="E13" i="72"/>
  <c r="E13" i="74"/>
  <c r="E13" i="71"/>
  <c r="D11" i="65"/>
  <c r="E13" i="70"/>
  <c r="D11" i="68"/>
  <c r="D11" i="67"/>
  <c r="E13" i="69"/>
  <c r="D11" i="66"/>
  <c r="E32" i="78"/>
  <c r="E32" i="77"/>
  <c r="E32" i="79"/>
  <c r="E32" i="75"/>
  <c r="E32" i="80"/>
  <c r="E32" i="74"/>
  <c r="E32" i="73"/>
  <c r="E32" i="72"/>
  <c r="E32" i="70"/>
  <c r="D30" i="65"/>
  <c r="D30" i="68"/>
  <c r="E32" i="76"/>
  <c r="D30" i="67"/>
  <c r="E32" i="71"/>
  <c r="E32" i="69"/>
  <c r="D30" i="66"/>
  <c r="G31" i="43"/>
  <c r="G29" i="49"/>
  <c r="E29" i="49" s="1"/>
  <c r="G29" i="52"/>
  <c r="E29" i="52" s="1"/>
  <c r="G23" i="52"/>
  <c r="E23" i="52" s="1"/>
  <c r="G33" i="50"/>
  <c r="E33" i="50" s="1"/>
  <c r="G26" i="52"/>
  <c r="E26" i="52" s="1"/>
  <c r="G26" i="66"/>
  <c r="E26" i="66" s="1"/>
  <c r="I12" i="73"/>
  <c r="P12" i="73"/>
  <c r="P12" i="72"/>
  <c r="I12" i="72"/>
  <c r="I13" i="69"/>
  <c r="P13" i="69"/>
  <c r="P13" i="73"/>
  <c r="I13" i="73"/>
  <c r="G24" i="65"/>
  <c r="E24" i="65" s="1"/>
  <c r="G25" i="66"/>
  <c r="E25" i="66" s="1"/>
  <c r="I11" i="74"/>
  <c r="P11" i="74"/>
  <c r="P14" i="71"/>
  <c r="I14" i="71"/>
  <c r="G21" i="67"/>
  <c r="E21" i="67" s="1"/>
  <c r="I15" i="79"/>
  <c r="P15" i="79"/>
  <c r="I15" i="73"/>
  <c r="P15" i="73"/>
  <c r="G22" i="66"/>
  <c r="E22" i="66" s="1"/>
  <c r="G15" i="66"/>
  <c r="E15" i="77"/>
  <c r="E15" i="80"/>
  <c r="E15" i="78"/>
  <c r="E15" i="76"/>
  <c r="E15" i="74"/>
  <c r="E15" i="79"/>
  <c r="E15" i="75"/>
  <c r="E15" i="73"/>
  <c r="E15" i="72"/>
  <c r="D13" i="66"/>
  <c r="E15" i="70"/>
  <c r="E15" i="69"/>
  <c r="D13" i="65"/>
  <c r="E15" i="71"/>
  <c r="D13" i="67"/>
  <c r="D13" i="68"/>
  <c r="G19" i="43"/>
  <c r="E25" i="80"/>
  <c r="E25" i="79"/>
  <c r="E25" i="78"/>
  <c r="E25" i="76"/>
  <c r="E25" i="75"/>
  <c r="E25" i="73"/>
  <c r="E25" i="77"/>
  <c r="E25" i="71"/>
  <c r="E25" i="72"/>
  <c r="E25" i="70"/>
  <c r="E25" i="69"/>
  <c r="D23" i="67"/>
  <c r="E25" i="74"/>
  <c r="D23" i="66"/>
  <c r="D23" i="68"/>
  <c r="D23" i="65"/>
  <c r="E18" i="77"/>
  <c r="E18" i="80"/>
  <c r="E18" i="78"/>
  <c r="E18" i="79"/>
  <c r="E18" i="74"/>
  <c r="E18" i="76"/>
  <c r="E18" i="73"/>
  <c r="E18" i="75"/>
  <c r="E18" i="72"/>
  <c r="E18" i="71"/>
  <c r="D16" i="66"/>
  <c r="E18" i="70"/>
  <c r="D16" i="65"/>
  <c r="E18" i="69"/>
  <c r="D16" i="68"/>
  <c r="D16" i="67"/>
  <c r="G31" i="47"/>
  <c r="G28" i="47"/>
  <c r="E28" i="47" s="1"/>
  <c r="G22" i="48"/>
  <c r="E22" i="48" s="1"/>
  <c r="G25" i="48"/>
  <c r="E25" i="48" s="1"/>
  <c r="G18" i="52"/>
  <c r="I12" i="79"/>
  <c r="P12" i="79"/>
  <c r="G33" i="66"/>
  <c r="E33" i="66" s="1"/>
  <c r="I13" i="80"/>
  <c r="P13" i="80"/>
  <c r="G25" i="67"/>
  <c r="E25" i="67" s="1"/>
  <c r="I11" i="80"/>
  <c r="P11" i="80"/>
  <c r="I14" i="70"/>
  <c r="P14" i="70"/>
  <c r="I14" i="77"/>
  <c r="P14" i="77"/>
  <c r="G29" i="65"/>
  <c r="E29" i="65" s="1"/>
  <c r="I15" i="76"/>
  <c r="P15" i="76"/>
  <c r="G30" i="66"/>
  <c r="E30" i="66" s="1"/>
  <c r="G22" i="67"/>
  <c r="E22" i="67" s="1"/>
  <c r="G23" i="67"/>
  <c r="E23" i="67" s="1"/>
  <c r="E11" i="79"/>
  <c r="E11" i="78"/>
  <c r="E11" i="76"/>
  <c r="E11" i="75"/>
  <c r="E11" i="80"/>
  <c r="E11" i="74"/>
  <c r="E11" i="77"/>
  <c r="E11" i="73"/>
  <c r="E11" i="70"/>
  <c r="E11" i="72"/>
  <c r="D9" i="65"/>
  <c r="D9" i="68"/>
  <c r="D9" i="67"/>
  <c r="E11" i="71"/>
  <c r="E11" i="69"/>
  <c r="D9" i="66"/>
  <c r="E30" i="79"/>
  <c r="E30" i="78"/>
  <c r="E30" i="80"/>
  <c r="E30" i="77"/>
  <c r="E30" i="76"/>
  <c r="E30" i="75"/>
  <c r="E30" i="72"/>
  <c r="E30" i="74"/>
  <c r="E30" i="71"/>
  <c r="E30" i="70"/>
  <c r="E30" i="69"/>
  <c r="D28" i="68"/>
  <c r="D28" i="67"/>
  <c r="D28" i="66"/>
  <c r="E30" i="73"/>
  <c r="D28" i="65"/>
  <c r="E31" i="77"/>
  <c r="E31" i="80"/>
  <c r="E31" i="78"/>
  <c r="E31" i="79"/>
  <c r="E31" i="76"/>
  <c r="E31" i="74"/>
  <c r="E31" i="75"/>
  <c r="E31" i="72"/>
  <c r="E31" i="73"/>
  <c r="E31" i="70"/>
  <c r="D29" i="66"/>
  <c r="E31" i="71"/>
  <c r="E31" i="69"/>
  <c r="D29" i="65"/>
  <c r="D29" i="67"/>
  <c r="D29" i="68"/>
  <c r="E24" i="78"/>
  <c r="E24" i="77"/>
  <c r="E24" i="80"/>
  <c r="E24" i="75"/>
  <c r="E24" i="76"/>
  <c r="E24" i="74"/>
  <c r="E24" i="79"/>
  <c r="E24" i="73"/>
  <c r="E24" i="70"/>
  <c r="D22" i="65"/>
  <c r="E24" i="72"/>
  <c r="D22" i="68"/>
  <c r="E24" i="71"/>
  <c r="D22" i="67"/>
  <c r="E24" i="69"/>
  <c r="D22" i="66"/>
  <c r="G30" i="47"/>
  <c r="E30" i="47" s="1"/>
  <c r="I12" i="71"/>
  <c r="P12" i="71"/>
  <c r="I12" i="74"/>
  <c r="P12" i="74"/>
  <c r="I13" i="74"/>
  <c r="P13" i="74"/>
  <c r="I11" i="70"/>
  <c r="P11" i="70"/>
  <c r="I11" i="75"/>
  <c r="P11" i="75"/>
  <c r="I14" i="78"/>
  <c r="P14" i="78"/>
  <c r="I15" i="69"/>
  <c r="P15" i="69"/>
  <c r="I15" i="74"/>
  <c r="P15" i="74"/>
  <c r="E17" i="80"/>
  <c r="E17" i="79"/>
  <c r="E17" i="76"/>
  <c r="E17" i="77"/>
  <c r="E17" i="73"/>
  <c r="E17" i="75"/>
  <c r="E17" i="78"/>
  <c r="E17" i="72"/>
  <c r="E17" i="71"/>
  <c r="E17" i="74"/>
  <c r="E17" i="69"/>
  <c r="D15" i="67"/>
  <c r="D15" i="66"/>
  <c r="D15" i="65"/>
  <c r="E17" i="70"/>
  <c r="D15" i="68"/>
  <c r="E35" i="79"/>
  <c r="E35" i="78"/>
  <c r="E35" i="76"/>
  <c r="E35" i="75"/>
  <c r="E35" i="77"/>
  <c r="E35" i="72"/>
  <c r="E35" i="80"/>
  <c r="E35" i="70"/>
  <c r="E35" i="74"/>
  <c r="E35" i="73"/>
  <c r="E35" i="71"/>
  <c r="D33" i="68"/>
  <c r="D33" i="67"/>
  <c r="E35" i="69"/>
  <c r="D33" i="66"/>
  <c r="D33" i="65"/>
  <c r="E28" i="80"/>
  <c r="E28" i="79"/>
  <c r="E28" i="78"/>
  <c r="E28" i="76"/>
  <c r="E28" i="75"/>
  <c r="E28" i="73"/>
  <c r="E28" i="72"/>
  <c r="E28" i="77"/>
  <c r="E28" i="74"/>
  <c r="E28" i="71"/>
  <c r="E28" i="70"/>
  <c r="D26" i="67"/>
  <c r="E28" i="69"/>
  <c r="D26" i="66"/>
  <c r="D26" i="68"/>
  <c r="D26" i="65"/>
  <c r="G32" i="47"/>
  <c r="E32" i="47" s="1"/>
  <c r="G29" i="48"/>
  <c r="E29" i="48" s="1"/>
  <c r="G16" i="48"/>
  <c r="G26" i="48"/>
  <c r="E26" i="48" s="1"/>
  <c r="G28" i="51"/>
  <c r="E28" i="51" s="1"/>
  <c r="G30" i="49"/>
  <c r="E30" i="49" s="1"/>
  <c r="G22" i="51"/>
  <c r="E22" i="51" s="1"/>
  <c r="G33" i="51"/>
  <c r="E33" i="51" s="1"/>
  <c r="G25" i="49"/>
  <c r="E25" i="49" s="1"/>
  <c r="I12" i="75"/>
  <c r="P12" i="75"/>
  <c r="I12" i="76"/>
  <c r="P12" i="76"/>
  <c r="G33" i="67"/>
  <c r="E33" i="67" s="1"/>
  <c r="P13" i="71"/>
  <c r="I13" i="71"/>
  <c r="P13" i="79"/>
  <c r="I13" i="79"/>
  <c r="G25" i="65"/>
  <c r="E25" i="65" s="1"/>
  <c r="I11" i="76"/>
  <c r="P11" i="76"/>
  <c r="G28" i="68"/>
  <c r="E28" i="68" s="1"/>
  <c r="G20" i="68"/>
  <c r="E20" i="68" s="1"/>
  <c r="I14" i="72"/>
  <c r="P14" i="72"/>
  <c r="I14" i="73"/>
  <c r="P14" i="73"/>
  <c r="I15" i="70"/>
  <c r="P15" i="70"/>
  <c r="P15" i="75"/>
  <c r="I15" i="75"/>
  <c r="G30" i="67"/>
  <c r="E30" i="67" s="1"/>
  <c r="G23" i="68"/>
  <c r="E23" i="68" s="1"/>
  <c r="G32" i="67"/>
  <c r="E32" i="67" s="1"/>
  <c r="G26" i="68"/>
  <c r="E26" i="68" s="1"/>
  <c r="I12" i="69"/>
  <c r="P12" i="69"/>
  <c r="I12" i="78"/>
  <c r="P12" i="78"/>
  <c r="G27" i="67"/>
  <c r="E27" i="67" s="1"/>
  <c r="I13" i="75"/>
  <c r="P13" i="75"/>
  <c r="G24" i="67"/>
  <c r="E24" i="67" s="1"/>
  <c r="I11" i="72"/>
  <c r="P11" i="72"/>
  <c r="I11" i="77"/>
  <c r="P11" i="77"/>
  <c r="G20" i="65"/>
  <c r="E20" i="65" s="1"/>
  <c r="I14" i="76"/>
  <c r="P14" i="76"/>
  <c r="G29" i="68"/>
  <c r="E29" i="68" s="1"/>
  <c r="G21" i="68"/>
  <c r="E21" i="68" s="1"/>
  <c r="P15" i="78"/>
  <c r="I15" i="78"/>
  <c r="E29" i="78"/>
  <c r="E29" i="77"/>
  <c r="E29" i="75"/>
  <c r="E29" i="80"/>
  <c r="E29" i="79"/>
  <c r="E29" i="76"/>
  <c r="E29" i="73"/>
  <c r="E29" i="71"/>
  <c r="E29" i="72"/>
  <c r="D27" i="65"/>
  <c r="D27" i="68"/>
  <c r="D27" i="66"/>
  <c r="E29" i="70"/>
  <c r="E29" i="69"/>
  <c r="E29" i="74"/>
  <c r="D27" i="67"/>
  <c r="E22" i="79"/>
  <c r="E22" i="78"/>
  <c r="E22" i="76"/>
  <c r="E22" i="75"/>
  <c r="E22" i="74"/>
  <c r="E22" i="77"/>
  <c r="E22" i="71"/>
  <c r="E22" i="70"/>
  <c r="E22" i="73"/>
  <c r="E22" i="69"/>
  <c r="D20" i="68"/>
  <c r="D20" i="67"/>
  <c r="E22" i="80"/>
  <c r="D20" i="66"/>
  <c r="D20" i="65"/>
  <c r="E22" i="72"/>
  <c r="E23" i="77"/>
  <c r="E23" i="80"/>
  <c r="E23" i="78"/>
  <c r="E23" i="79"/>
  <c r="E23" i="76"/>
  <c r="E23" i="74"/>
  <c r="E23" i="75"/>
  <c r="E23" i="72"/>
  <c r="E23" i="73"/>
  <c r="D21" i="66"/>
  <c r="E23" i="69"/>
  <c r="D21" i="65"/>
  <c r="D21" i="68"/>
  <c r="D21" i="67"/>
  <c r="E23" i="71"/>
  <c r="E23" i="70"/>
  <c r="E16" i="78"/>
  <c r="E16" i="77"/>
  <c r="E16" i="75"/>
  <c r="E16" i="79"/>
  <c r="E16" i="80"/>
  <c r="E16" i="76"/>
  <c r="E16" i="74"/>
  <c r="E16" i="73"/>
  <c r="E16" i="70"/>
  <c r="E16" i="71"/>
  <c r="D14" i="65"/>
  <c r="D14" i="68"/>
  <c r="D14" i="67"/>
  <c r="E16" i="72"/>
  <c r="E16" i="69"/>
  <c r="D14" i="66"/>
  <c r="E34" i="77"/>
  <c r="E34" i="80"/>
  <c r="E34" i="78"/>
  <c r="E34" i="79"/>
  <c r="E34" i="76"/>
  <c r="E34" i="74"/>
  <c r="E34" i="73"/>
  <c r="E34" i="72"/>
  <c r="E34" i="71"/>
  <c r="D32" i="66"/>
  <c r="D32" i="65"/>
  <c r="E34" i="69"/>
  <c r="D32" i="68"/>
  <c r="E34" i="75"/>
  <c r="D32" i="67"/>
  <c r="E34" i="70"/>
  <c r="E27" i="79"/>
  <c r="E27" i="78"/>
  <c r="E27" i="77"/>
  <c r="E27" i="76"/>
  <c r="E27" i="80"/>
  <c r="E27" i="75"/>
  <c r="E27" i="72"/>
  <c r="E27" i="74"/>
  <c r="E27" i="70"/>
  <c r="E27" i="73"/>
  <c r="D25" i="68"/>
  <c r="D25" i="67"/>
  <c r="E27" i="71"/>
  <c r="E27" i="69"/>
  <c r="D25" i="65"/>
  <c r="D25" i="66"/>
  <c r="E20" i="80"/>
  <c r="E20" i="79"/>
  <c r="E20" i="77"/>
  <c r="E20" i="76"/>
  <c r="E20" i="75"/>
  <c r="E20" i="73"/>
  <c r="E20" i="74"/>
  <c r="E20" i="71"/>
  <c r="E20" i="70"/>
  <c r="D18" i="67"/>
  <c r="E20" i="72"/>
  <c r="E20" i="69"/>
  <c r="D18" i="66"/>
  <c r="D18" i="65"/>
  <c r="D18" i="68"/>
  <c r="E20" i="78"/>
  <c r="G20" i="47"/>
  <c r="E20" i="47" s="1"/>
  <c r="G22" i="50"/>
  <c r="E22" i="50" s="1"/>
  <c r="I12" i="80"/>
  <c r="P12" i="80"/>
  <c r="G33" i="65"/>
  <c r="E33" i="65" s="1"/>
  <c r="G33" i="68"/>
  <c r="E33" i="68" s="1"/>
  <c r="I13" i="72"/>
  <c r="P13" i="72"/>
  <c r="M11" i="66" s="1"/>
  <c r="I13" i="77"/>
  <c r="P13" i="77"/>
  <c r="G25" i="68"/>
  <c r="E25" i="68" s="1"/>
  <c r="I11" i="69"/>
  <c r="P11" i="69"/>
  <c r="I11" i="78"/>
  <c r="P11" i="78"/>
  <c r="G28" i="65"/>
  <c r="E28" i="65" s="1"/>
  <c r="I14" i="69"/>
  <c r="P14" i="69"/>
  <c r="I14" i="79"/>
  <c r="P14" i="79"/>
  <c r="I15" i="80"/>
  <c r="P15" i="80"/>
  <c r="G30" i="68"/>
  <c r="E30" i="68" s="1"/>
  <c r="G22" i="68"/>
  <c r="E22" i="68" s="1"/>
  <c r="G23" i="66"/>
  <c r="E23" i="66" s="1"/>
  <c r="I12" i="77"/>
  <c r="P12" i="77"/>
  <c r="G27" i="66"/>
  <c r="E27" i="66" s="1"/>
  <c r="G27" i="68"/>
  <c r="E27" i="68" s="1"/>
  <c r="G19" i="66"/>
  <c r="E19" i="66" s="1"/>
  <c r="I13" i="76"/>
  <c r="P13" i="76"/>
  <c r="I13" i="78"/>
  <c r="P13" i="78"/>
  <c r="G24" i="68"/>
  <c r="E24" i="68" s="1"/>
  <c r="I11" i="73"/>
  <c r="P11" i="73"/>
  <c r="I11" i="79"/>
  <c r="P11" i="79"/>
  <c r="G28" i="66"/>
  <c r="E28" i="66" s="1"/>
  <c r="I14" i="74"/>
  <c r="P14" i="74"/>
  <c r="I14" i="80"/>
  <c r="P14" i="80"/>
  <c r="G29" i="66"/>
  <c r="E29" i="66" s="1"/>
  <c r="G21" i="66"/>
  <c r="E21" i="66" s="1"/>
  <c r="I15" i="71"/>
  <c r="P15" i="71"/>
  <c r="I15" i="77"/>
  <c r="P15" i="77"/>
  <c r="G31" i="66"/>
  <c r="E31" i="66" s="1"/>
  <c r="G25" i="43"/>
  <c r="D11" i="48"/>
  <c r="E13" i="62"/>
  <c r="E13" i="61"/>
  <c r="E13" i="64"/>
  <c r="E13" i="63"/>
  <c r="E13" i="58"/>
  <c r="E13" i="57"/>
  <c r="E13" i="59"/>
  <c r="E13" i="60"/>
  <c r="E13" i="56"/>
  <c r="E13" i="55"/>
  <c r="E13" i="54"/>
  <c r="E13" i="53"/>
  <c r="D11" i="49"/>
  <c r="D11" i="52"/>
  <c r="D11" i="51"/>
  <c r="D11" i="50"/>
  <c r="D30" i="48"/>
  <c r="E32" i="62"/>
  <c r="E32" i="64"/>
  <c r="E32" i="63"/>
  <c r="E32" i="58"/>
  <c r="E32" i="57"/>
  <c r="E32" i="60"/>
  <c r="E32" i="55"/>
  <c r="E32" i="59"/>
  <c r="E32" i="54"/>
  <c r="E32" i="61"/>
  <c r="E32" i="56"/>
  <c r="D30" i="52"/>
  <c r="D30" i="51"/>
  <c r="E32" i="53"/>
  <c r="D30" i="50"/>
  <c r="D30" i="49"/>
  <c r="G26" i="47"/>
  <c r="E26" i="47" s="1"/>
  <c r="G20" i="48"/>
  <c r="E20" i="48" s="1"/>
  <c r="G31" i="48"/>
  <c r="E31" i="48" s="1"/>
  <c r="P13" i="55"/>
  <c r="I13" i="55"/>
  <c r="P13" i="62"/>
  <c r="I13" i="62"/>
  <c r="G20" i="52"/>
  <c r="E20" i="52" s="1"/>
  <c r="I14" i="61"/>
  <c r="P14" i="61"/>
  <c r="I15" i="57"/>
  <c r="P15" i="57"/>
  <c r="G31" i="52"/>
  <c r="E31" i="52" s="1"/>
  <c r="G24" i="51"/>
  <c r="E24" i="51" s="1"/>
  <c r="G25" i="52"/>
  <c r="E25" i="52" s="1"/>
  <c r="I11" i="59"/>
  <c r="P11" i="59"/>
  <c r="I12" i="59"/>
  <c r="P12" i="59"/>
  <c r="D23" i="48"/>
  <c r="E25" i="64"/>
  <c r="E25" i="63"/>
  <c r="E25" i="62"/>
  <c r="E25" i="61"/>
  <c r="E25" i="60"/>
  <c r="E25" i="59"/>
  <c r="E25" i="56"/>
  <c r="E25" i="57"/>
  <c r="E25" i="55"/>
  <c r="E25" i="58"/>
  <c r="E25" i="54"/>
  <c r="E25" i="53"/>
  <c r="D23" i="51"/>
  <c r="D23" i="52"/>
  <c r="D23" i="50"/>
  <c r="D23" i="49"/>
  <c r="D16" i="48"/>
  <c r="E18" i="64"/>
  <c r="E18" i="63"/>
  <c r="E18" i="62"/>
  <c r="E18" i="60"/>
  <c r="E18" i="59"/>
  <c r="E18" i="57"/>
  <c r="E18" i="55"/>
  <c r="E18" i="58"/>
  <c r="E18" i="54"/>
  <c r="E18" i="53"/>
  <c r="D16" i="52"/>
  <c r="E18" i="61"/>
  <c r="D16" i="51"/>
  <c r="D16" i="49"/>
  <c r="E18" i="56"/>
  <c r="D16" i="50"/>
  <c r="P13" i="59"/>
  <c r="I13" i="59"/>
  <c r="I14" i="53"/>
  <c r="P14" i="53"/>
  <c r="I14" i="62"/>
  <c r="P14" i="62"/>
  <c r="I15" i="61"/>
  <c r="P15" i="61"/>
  <c r="I11" i="54"/>
  <c r="P11" i="54"/>
  <c r="P11" i="64"/>
  <c r="I11" i="64"/>
  <c r="P12" i="60"/>
  <c r="I12" i="60"/>
  <c r="D9" i="48"/>
  <c r="E11" i="63"/>
  <c r="E11" i="62"/>
  <c r="E11" i="64"/>
  <c r="E11" i="59"/>
  <c r="E11" i="61"/>
  <c r="E11" i="58"/>
  <c r="E11" i="60"/>
  <c r="E11" i="55"/>
  <c r="E11" i="57"/>
  <c r="D9" i="52"/>
  <c r="D9" i="51"/>
  <c r="E11" i="53"/>
  <c r="E11" i="54"/>
  <c r="E11" i="56"/>
  <c r="D9" i="50"/>
  <c r="D9" i="49"/>
  <c r="D28" i="48"/>
  <c r="E30" i="63"/>
  <c r="E30" i="62"/>
  <c r="E30" i="61"/>
  <c r="E30" i="64"/>
  <c r="E30" i="59"/>
  <c r="E30" i="58"/>
  <c r="E30" i="56"/>
  <c r="E30" i="55"/>
  <c r="E30" i="60"/>
  <c r="D28" i="51"/>
  <c r="E30" i="54"/>
  <c r="E30" i="57"/>
  <c r="D28" i="52"/>
  <c r="E30" i="53"/>
  <c r="D28" i="50"/>
  <c r="D28" i="49"/>
  <c r="D29" i="48"/>
  <c r="E31" i="61"/>
  <c r="E31" i="64"/>
  <c r="E31" i="63"/>
  <c r="E31" i="62"/>
  <c r="E31" i="57"/>
  <c r="E31" i="60"/>
  <c r="E31" i="56"/>
  <c r="E31" i="55"/>
  <c r="E31" i="54"/>
  <c r="D29" i="50"/>
  <c r="E31" i="53"/>
  <c r="E31" i="59"/>
  <c r="E31" i="58"/>
  <c r="D29" i="51"/>
  <c r="D29" i="52"/>
  <c r="D29" i="49"/>
  <c r="D22" i="48"/>
  <c r="E24" i="62"/>
  <c r="E24" i="64"/>
  <c r="E24" i="63"/>
  <c r="E24" i="58"/>
  <c r="E24" i="57"/>
  <c r="E24" i="60"/>
  <c r="E24" i="55"/>
  <c r="E24" i="61"/>
  <c r="E24" i="59"/>
  <c r="E24" i="56"/>
  <c r="D22" i="52"/>
  <c r="E24" i="54"/>
  <c r="D22" i="51"/>
  <c r="E24" i="53"/>
  <c r="D22" i="50"/>
  <c r="D22" i="49"/>
  <c r="G33" i="47"/>
  <c r="E33" i="47" s="1"/>
  <c r="G19" i="48"/>
  <c r="E19" i="48" s="1"/>
  <c r="G24" i="48"/>
  <c r="E24" i="48" s="1"/>
  <c r="G27" i="48"/>
  <c r="P11" i="19"/>
  <c r="G27" i="49"/>
  <c r="E27" i="49" s="1"/>
  <c r="I13" i="60"/>
  <c r="P13" i="60"/>
  <c r="I14" i="55"/>
  <c r="P14" i="55"/>
  <c r="I14" i="63"/>
  <c r="P14" i="63"/>
  <c r="G29" i="50"/>
  <c r="E29" i="50" s="1"/>
  <c r="G21" i="52"/>
  <c r="E21" i="52" s="1"/>
  <c r="I15" i="59"/>
  <c r="P15" i="59"/>
  <c r="G23" i="49"/>
  <c r="E23" i="49" s="1"/>
  <c r="G15" i="52"/>
  <c r="G33" i="49"/>
  <c r="E33" i="49" s="1"/>
  <c r="I11" i="57"/>
  <c r="P11" i="57"/>
  <c r="I11" i="62"/>
  <c r="P11" i="62"/>
  <c r="I12" i="53"/>
  <c r="P12" i="53"/>
  <c r="I12" i="57"/>
  <c r="P12" i="57"/>
  <c r="E27" i="48"/>
  <c r="D15" i="48"/>
  <c r="E17" i="64"/>
  <c r="E17" i="63"/>
  <c r="E17" i="62"/>
  <c r="E17" i="61"/>
  <c r="E17" i="60"/>
  <c r="E17" i="59"/>
  <c r="E17" i="56"/>
  <c r="E17" i="58"/>
  <c r="E17" i="57"/>
  <c r="E17" i="55"/>
  <c r="E17" i="53"/>
  <c r="D15" i="51"/>
  <c r="D15" i="52"/>
  <c r="E17" i="54"/>
  <c r="D15" i="50"/>
  <c r="D15" i="49"/>
  <c r="D33" i="48"/>
  <c r="E35" i="63"/>
  <c r="E35" i="62"/>
  <c r="E35" i="61"/>
  <c r="E35" i="64"/>
  <c r="E35" i="59"/>
  <c r="E35" i="58"/>
  <c r="E35" i="60"/>
  <c r="E35" i="55"/>
  <c r="E35" i="54"/>
  <c r="D33" i="52"/>
  <c r="E35" i="56"/>
  <c r="E35" i="57"/>
  <c r="E35" i="53"/>
  <c r="D33" i="50"/>
  <c r="D33" i="49"/>
  <c r="D33" i="51"/>
  <c r="D26" i="48"/>
  <c r="E28" i="64"/>
  <c r="E28" i="63"/>
  <c r="E28" i="62"/>
  <c r="E28" i="61"/>
  <c r="E28" i="60"/>
  <c r="E28" i="59"/>
  <c r="E28" i="57"/>
  <c r="E28" i="56"/>
  <c r="E28" i="58"/>
  <c r="E28" i="54"/>
  <c r="E28" i="53"/>
  <c r="E28" i="55"/>
  <c r="D26" i="52"/>
  <c r="D26" i="51"/>
  <c r="D26" i="50"/>
  <c r="D26" i="49"/>
  <c r="G27" i="47"/>
  <c r="E27" i="47" s="1"/>
  <c r="G19" i="49"/>
  <c r="E19" i="49" s="1"/>
  <c r="I13" i="57"/>
  <c r="P13" i="57"/>
  <c r="G28" i="50"/>
  <c r="E28" i="50" s="1"/>
  <c r="I14" i="57"/>
  <c r="P14" i="57"/>
  <c r="I14" i="64"/>
  <c r="P14" i="64"/>
  <c r="I15" i="53"/>
  <c r="P15" i="53"/>
  <c r="I15" i="60"/>
  <c r="P15" i="60"/>
  <c r="G30" i="51"/>
  <c r="E30" i="51" s="1"/>
  <c r="G31" i="50"/>
  <c r="E31" i="50" s="1"/>
  <c r="G25" i="50"/>
  <c r="E25" i="50" s="1"/>
  <c r="P11" i="55"/>
  <c r="I11" i="55"/>
  <c r="P11" i="63"/>
  <c r="I11" i="63"/>
  <c r="I12" i="62"/>
  <c r="P12" i="62"/>
  <c r="D27" i="48"/>
  <c r="E29" i="62"/>
  <c r="E29" i="61"/>
  <c r="E29" i="64"/>
  <c r="E29" i="63"/>
  <c r="E29" i="58"/>
  <c r="E29" i="57"/>
  <c r="E29" i="59"/>
  <c r="E29" i="54"/>
  <c r="E29" i="56"/>
  <c r="E29" i="60"/>
  <c r="E29" i="55"/>
  <c r="D27" i="51"/>
  <c r="D27" i="49"/>
  <c r="D27" i="52"/>
  <c r="E29" i="53"/>
  <c r="D27" i="50"/>
  <c r="D20" i="48"/>
  <c r="E22" i="63"/>
  <c r="E22" i="62"/>
  <c r="E22" i="61"/>
  <c r="E22" i="64"/>
  <c r="E22" i="59"/>
  <c r="E22" i="58"/>
  <c r="E22" i="60"/>
  <c r="E22" i="56"/>
  <c r="E22" i="57"/>
  <c r="E22" i="55"/>
  <c r="D20" i="51"/>
  <c r="E22" i="54"/>
  <c r="D20" i="52"/>
  <c r="D20" i="50"/>
  <c r="D20" i="49"/>
  <c r="E22" i="53"/>
  <c r="D21" i="48"/>
  <c r="E23" i="61"/>
  <c r="E23" i="64"/>
  <c r="E23" i="63"/>
  <c r="E23" i="62"/>
  <c r="E23" i="57"/>
  <c r="E23" i="60"/>
  <c r="E23" i="59"/>
  <c r="E23" i="56"/>
  <c r="E23" i="55"/>
  <c r="E23" i="53"/>
  <c r="E23" i="58"/>
  <c r="E23" i="54"/>
  <c r="D21" i="51"/>
  <c r="D21" i="50"/>
  <c r="D21" i="49"/>
  <c r="D21" i="52"/>
  <c r="D14" i="48"/>
  <c r="E16" i="62"/>
  <c r="E16" i="64"/>
  <c r="E16" i="63"/>
  <c r="E16" i="58"/>
  <c r="E16" i="57"/>
  <c r="E16" i="60"/>
  <c r="E16" i="55"/>
  <c r="E16" i="61"/>
  <c r="E16" i="59"/>
  <c r="E16" i="56"/>
  <c r="D14" i="52"/>
  <c r="D14" i="51"/>
  <c r="E16" i="53"/>
  <c r="E16" i="54"/>
  <c r="D14" i="50"/>
  <c r="D14" i="49"/>
  <c r="G23" i="48"/>
  <c r="E23" i="48" s="1"/>
  <c r="G28" i="48"/>
  <c r="E28" i="48" s="1"/>
  <c r="G27" i="50"/>
  <c r="E27" i="50" s="1"/>
  <c r="P13" i="53"/>
  <c r="I13" i="53"/>
  <c r="I13" i="61"/>
  <c r="P13" i="61"/>
  <c r="G20" i="50"/>
  <c r="E20" i="50" s="1"/>
  <c r="I14" i="58"/>
  <c r="P14" i="58"/>
  <c r="I15" i="56"/>
  <c r="P15" i="56"/>
  <c r="P15" i="62"/>
  <c r="I15" i="62"/>
  <c r="G32" i="50"/>
  <c r="E32" i="50" s="1"/>
  <c r="G17" i="49"/>
  <c r="I11" i="60"/>
  <c r="P11" i="60"/>
  <c r="I12" i="54"/>
  <c r="P12" i="54"/>
  <c r="I12" i="63"/>
  <c r="P12" i="63"/>
  <c r="D32" i="48"/>
  <c r="E34" i="61"/>
  <c r="E34" i="64"/>
  <c r="E34" i="63"/>
  <c r="E34" i="62"/>
  <c r="E34" i="57"/>
  <c r="E34" i="60"/>
  <c r="E34" i="59"/>
  <c r="E34" i="54"/>
  <c r="E34" i="58"/>
  <c r="E34" i="55"/>
  <c r="E34" i="53"/>
  <c r="D32" i="52"/>
  <c r="D32" i="51"/>
  <c r="D32" i="49"/>
  <c r="E34" i="56"/>
  <c r="D32" i="50"/>
  <c r="D25" i="48"/>
  <c r="E27" i="63"/>
  <c r="E27" i="62"/>
  <c r="E27" i="61"/>
  <c r="E27" i="64"/>
  <c r="E27" i="59"/>
  <c r="E27" i="58"/>
  <c r="E27" i="60"/>
  <c r="E27" i="55"/>
  <c r="E27" i="54"/>
  <c r="D25" i="52"/>
  <c r="E27" i="57"/>
  <c r="E27" i="56"/>
  <c r="E27" i="53"/>
  <c r="D25" i="50"/>
  <c r="D25" i="51"/>
  <c r="D25" i="49"/>
  <c r="D18" i="48"/>
  <c r="E20" i="64"/>
  <c r="E20" i="63"/>
  <c r="E20" i="62"/>
  <c r="E20" i="61"/>
  <c r="E20" i="60"/>
  <c r="E20" i="59"/>
  <c r="E20" i="58"/>
  <c r="E20" i="56"/>
  <c r="E20" i="57"/>
  <c r="E20" i="53"/>
  <c r="E20" i="55"/>
  <c r="D18" i="52"/>
  <c r="D18" i="50"/>
  <c r="D18" i="51"/>
  <c r="D18" i="49"/>
  <c r="E20" i="54"/>
  <c r="G23" i="47"/>
  <c r="E23" i="47" s="1"/>
  <c r="G30" i="48"/>
  <c r="E30" i="48" s="1"/>
  <c r="G33" i="48"/>
  <c r="E33" i="48" s="1"/>
  <c r="I13" i="58"/>
  <c r="P13" i="58"/>
  <c r="G20" i="51"/>
  <c r="E20" i="51" s="1"/>
  <c r="I14" i="56"/>
  <c r="P14" i="56"/>
  <c r="I15" i="54"/>
  <c r="P15" i="54"/>
  <c r="I15" i="63"/>
  <c r="P15" i="63"/>
  <c r="G30" i="50"/>
  <c r="E30" i="50" s="1"/>
  <c r="G22" i="49"/>
  <c r="E22" i="49" s="1"/>
  <c r="G31" i="51"/>
  <c r="E31" i="51" s="1"/>
  <c r="G23" i="50"/>
  <c r="E23" i="50" s="1"/>
  <c r="G32" i="52"/>
  <c r="E32" i="52" s="1"/>
  <c r="G25" i="51"/>
  <c r="E25" i="51" s="1"/>
  <c r="I11" i="53"/>
  <c r="P11" i="53"/>
  <c r="I11" i="56"/>
  <c r="P11" i="56"/>
  <c r="G26" i="50"/>
  <c r="E26" i="50" s="1"/>
  <c r="I12" i="58"/>
  <c r="P12" i="58"/>
  <c r="I12" i="64"/>
  <c r="P12" i="64"/>
  <c r="D19" i="48"/>
  <c r="E21" i="62"/>
  <c r="E21" i="61"/>
  <c r="E21" i="64"/>
  <c r="E21" i="63"/>
  <c r="E21" i="58"/>
  <c r="E21" i="57"/>
  <c r="E21" i="59"/>
  <c r="E21" i="60"/>
  <c r="E21" i="56"/>
  <c r="D19" i="49"/>
  <c r="D19" i="52"/>
  <c r="E21" i="54"/>
  <c r="E21" i="53"/>
  <c r="D19" i="51"/>
  <c r="E21" i="55"/>
  <c r="D19" i="50"/>
  <c r="D12" i="48"/>
  <c r="E14" i="63"/>
  <c r="E14" i="62"/>
  <c r="E14" i="64"/>
  <c r="E14" i="61"/>
  <c r="E14" i="59"/>
  <c r="E14" i="58"/>
  <c r="E14" i="56"/>
  <c r="E14" i="60"/>
  <c r="E14" i="57"/>
  <c r="E14" i="55"/>
  <c r="D12" i="51"/>
  <c r="E14" i="54"/>
  <c r="E14" i="53"/>
  <c r="D12" i="52"/>
  <c r="D12" i="50"/>
  <c r="D12" i="49"/>
  <c r="D13" i="48"/>
  <c r="E15" i="61"/>
  <c r="E15" i="64"/>
  <c r="E15" i="63"/>
  <c r="E15" i="62"/>
  <c r="E15" i="57"/>
  <c r="E15" i="60"/>
  <c r="E15" i="58"/>
  <c r="E15" i="56"/>
  <c r="E15" i="55"/>
  <c r="E15" i="59"/>
  <c r="E15" i="54"/>
  <c r="D13" i="51"/>
  <c r="D13" i="50"/>
  <c r="D13" i="52"/>
  <c r="E15" i="53"/>
  <c r="D13" i="49"/>
  <c r="G22" i="47"/>
  <c r="E22" i="47" s="1"/>
  <c r="G25" i="47"/>
  <c r="E25" i="47" s="1"/>
  <c r="G32" i="48"/>
  <c r="E32" i="48" s="1"/>
  <c r="G17" i="48"/>
  <c r="G27" i="51"/>
  <c r="E27" i="51" s="1"/>
  <c r="I13" i="54"/>
  <c r="P13" i="54"/>
  <c r="P13" i="63"/>
  <c r="I13" i="63"/>
  <c r="G28" i="49"/>
  <c r="E28" i="49" s="1"/>
  <c r="P14" i="59"/>
  <c r="I14" i="59"/>
  <c r="G29" i="51"/>
  <c r="E29" i="51" s="1"/>
  <c r="I15" i="55"/>
  <c r="P15" i="55"/>
  <c r="I15" i="64"/>
  <c r="P15" i="64"/>
  <c r="G30" i="52"/>
  <c r="E30" i="52" s="1"/>
  <c r="G23" i="51"/>
  <c r="E23" i="51" s="1"/>
  <c r="G32" i="49"/>
  <c r="E32" i="49" s="1"/>
  <c r="G24" i="50"/>
  <c r="E24" i="50" s="1"/>
  <c r="G24" i="52"/>
  <c r="E24" i="52" s="1"/>
  <c r="G17" i="51"/>
  <c r="I11" i="58"/>
  <c r="P11" i="58"/>
  <c r="G26" i="51"/>
  <c r="E26" i="51" s="1"/>
  <c r="I12" i="55"/>
  <c r="P12" i="55"/>
  <c r="I12" i="61"/>
  <c r="P12" i="61"/>
  <c r="D31" i="48"/>
  <c r="E33" i="64"/>
  <c r="E33" i="63"/>
  <c r="E33" i="62"/>
  <c r="E33" i="61"/>
  <c r="E33" i="60"/>
  <c r="E33" i="59"/>
  <c r="E33" i="58"/>
  <c r="E33" i="56"/>
  <c r="E33" i="55"/>
  <c r="E33" i="54"/>
  <c r="E33" i="57"/>
  <c r="E33" i="53"/>
  <c r="D31" i="51"/>
  <c r="D31" i="52"/>
  <c r="D31" i="50"/>
  <c r="D31" i="49"/>
  <c r="D24" i="48"/>
  <c r="E26" i="61"/>
  <c r="E26" i="64"/>
  <c r="E26" i="63"/>
  <c r="E26" i="62"/>
  <c r="E26" i="57"/>
  <c r="E26" i="60"/>
  <c r="E26" i="59"/>
  <c r="E26" i="54"/>
  <c r="E26" i="58"/>
  <c r="E26" i="55"/>
  <c r="E26" i="56"/>
  <c r="E26" i="53"/>
  <c r="D24" i="52"/>
  <c r="D24" i="51"/>
  <c r="D24" i="49"/>
  <c r="D24" i="50"/>
  <c r="D17" i="48"/>
  <c r="E19" i="63"/>
  <c r="E19" i="62"/>
  <c r="E19" i="61"/>
  <c r="E19" i="64"/>
  <c r="E19" i="59"/>
  <c r="E19" i="58"/>
  <c r="E19" i="60"/>
  <c r="E19" i="57"/>
  <c r="E19" i="55"/>
  <c r="E19" i="54"/>
  <c r="D17" i="52"/>
  <c r="E19" i="56"/>
  <c r="E19" i="53"/>
  <c r="D17" i="51"/>
  <c r="D17" i="50"/>
  <c r="D17" i="49"/>
  <c r="D10" i="48"/>
  <c r="E12" i="64"/>
  <c r="E12" i="63"/>
  <c r="E12" i="62"/>
  <c r="E12" i="60"/>
  <c r="E12" i="59"/>
  <c r="E12" i="61"/>
  <c r="E12" i="56"/>
  <c r="E12" i="58"/>
  <c r="D10" i="51"/>
  <c r="E12" i="53"/>
  <c r="E12" i="55"/>
  <c r="D10" i="52"/>
  <c r="E12" i="54"/>
  <c r="E12" i="57"/>
  <c r="D10" i="50"/>
  <c r="D10" i="49"/>
  <c r="G29" i="47"/>
  <c r="E29" i="47" s="1"/>
  <c r="G24" i="47"/>
  <c r="E24" i="47" s="1"/>
  <c r="G19" i="47"/>
  <c r="E19" i="47" s="1"/>
  <c r="G21" i="48"/>
  <c r="E21" i="48" s="1"/>
  <c r="G19" i="51"/>
  <c r="E19" i="51" s="1"/>
  <c r="G19" i="52"/>
  <c r="E19" i="52" s="1"/>
  <c r="I13" i="56"/>
  <c r="P13" i="56"/>
  <c r="I13" i="64"/>
  <c r="P13" i="64"/>
  <c r="G28" i="52"/>
  <c r="E28" i="52" s="1"/>
  <c r="I14" i="54"/>
  <c r="P14" i="54"/>
  <c r="P14" i="60"/>
  <c r="I14" i="60"/>
  <c r="G21" i="51"/>
  <c r="E21" i="51" s="1"/>
  <c r="P15" i="58"/>
  <c r="I15" i="58"/>
  <c r="G22" i="52"/>
  <c r="E22" i="52" s="1"/>
  <c r="G15" i="51"/>
  <c r="G32" i="51"/>
  <c r="E32" i="51" s="1"/>
  <c r="G33" i="52"/>
  <c r="E33" i="52" s="1"/>
  <c r="I11" i="61"/>
  <c r="P11" i="61"/>
  <c r="G18" i="49"/>
  <c r="E18" i="49" s="1"/>
  <c r="I12" i="56"/>
  <c r="P12" i="56"/>
  <c r="I15" i="42"/>
  <c r="P15" i="42"/>
  <c r="I15" i="39"/>
  <c r="P15" i="39"/>
  <c r="I15" i="34"/>
  <c r="P15" i="34"/>
  <c r="I15" i="36"/>
  <c r="P15" i="36"/>
  <c r="I15" i="37"/>
  <c r="P15" i="37"/>
  <c r="I15" i="38"/>
  <c r="P15" i="38"/>
  <c r="I15" i="41"/>
  <c r="P15" i="41"/>
  <c r="I15" i="32"/>
  <c r="P15" i="32"/>
  <c r="I15" i="33"/>
  <c r="P15" i="33"/>
  <c r="I15" i="35"/>
  <c r="P15" i="35"/>
  <c r="I15" i="40"/>
  <c r="P15" i="40"/>
  <c r="P15" i="19"/>
  <c r="I14" i="41"/>
  <c r="P14" i="41"/>
  <c r="I14" i="35"/>
  <c r="P14" i="35"/>
  <c r="I14" i="39"/>
  <c r="P14" i="39"/>
  <c r="I14" i="32"/>
  <c r="P14" i="32"/>
  <c r="I14" i="33"/>
  <c r="P14" i="33"/>
  <c r="I14" i="36"/>
  <c r="P14" i="36"/>
  <c r="I14" i="40"/>
  <c r="P14" i="40"/>
  <c r="I14" i="19"/>
  <c r="P14" i="19"/>
  <c r="I14" i="38"/>
  <c r="P14" i="38"/>
  <c r="I14" i="42"/>
  <c r="P14" i="42"/>
  <c r="I14" i="34"/>
  <c r="P14" i="34"/>
  <c r="I14" i="37"/>
  <c r="P14" i="37"/>
  <c r="I13" i="37"/>
  <c r="P13" i="37"/>
  <c r="I13" i="35"/>
  <c r="P13" i="35"/>
  <c r="I13" i="36"/>
  <c r="P13" i="36"/>
  <c r="I13" i="33"/>
  <c r="P13" i="33"/>
  <c r="I13" i="42"/>
  <c r="P13" i="42"/>
  <c r="I13" i="32"/>
  <c r="P13" i="32"/>
  <c r="I13" i="34"/>
  <c r="P13" i="34"/>
  <c r="I13" i="39"/>
  <c r="P13" i="39"/>
  <c r="I13" i="41"/>
  <c r="P13" i="41"/>
  <c r="I13" i="40"/>
  <c r="P13" i="40"/>
  <c r="I13" i="38"/>
  <c r="P13" i="38"/>
  <c r="P13" i="19"/>
  <c r="I12" i="41"/>
  <c r="P12" i="41"/>
  <c r="I12" i="40"/>
  <c r="P12" i="40"/>
  <c r="I12" i="42"/>
  <c r="P12" i="42"/>
  <c r="I12" i="37"/>
  <c r="P12" i="37"/>
  <c r="I12" i="38"/>
  <c r="P12" i="38"/>
  <c r="I12" i="34"/>
  <c r="P12" i="34"/>
  <c r="I12" i="32"/>
  <c r="P12" i="32"/>
  <c r="I12" i="39"/>
  <c r="P12" i="39"/>
  <c r="I12" i="19"/>
  <c r="P12" i="19"/>
  <c r="I12" i="36"/>
  <c r="P12" i="36"/>
  <c r="I12" i="33"/>
  <c r="P12" i="33"/>
  <c r="I12" i="35"/>
  <c r="P12" i="35"/>
  <c r="I11" i="34"/>
  <c r="P11" i="34"/>
  <c r="I11" i="38"/>
  <c r="P11" i="38"/>
  <c r="I11" i="35"/>
  <c r="P11" i="35"/>
  <c r="I11" i="33"/>
  <c r="P11" i="33"/>
  <c r="I11" i="36"/>
  <c r="P11" i="36"/>
  <c r="I11" i="37"/>
  <c r="P11" i="37"/>
  <c r="I11" i="42"/>
  <c r="P11" i="42"/>
  <c r="I11" i="39"/>
  <c r="P11" i="39"/>
  <c r="I11" i="32"/>
  <c r="P11" i="32"/>
  <c r="I11" i="40"/>
  <c r="P11" i="40"/>
  <c r="I11" i="41"/>
  <c r="P11" i="41"/>
  <c r="G17" i="43"/>
  <c r="G20" i="43"/>
  <c r="D9" i="43"/>
  <c r="D9" i="47"/>
  <c r="D9" i="44"/>
  <c r="G29" i="44"/>
  <c r="E29" i="44" s="1"/>
  <c r="D28" i="44"/>
  <c r="D28" i="43"/>
  <c r="D28" i="47"/>
  <c r="D29" i="43"/>
  <c r="D29" i="47"/>
  <c r="D29" i="44"/>
  <c r="D22" i="47"/>
  <c r="D22" i="44"/>
  <c r="D22" i="43"/>
  <c r="G33" i="44"/>
  <c r="E33" i="44" s="1"/>
  <c r="G26" i="44"/>
  <c r="E26" i="44" s="1"/>
  <c r="G29" i="43"/>
  <c r="D11" i="47"/>
  <c r="D11" i="44"/>
  <c r="D11" i="43"/>
  <c r="G16" i="44"/>
  <c r="D23" i="44"/>
  <c r="D23" i="47"/>
  <c r="D23" i="43"/>
  <c r="G32" i="43"/>
  <c r="G30" i="43"/>
  <c r="G27" i="44"/>
  <c r="E27" i="44" s="1"/>
  <c r="G20" i="44"/>
  <c r="E20" i="44" s="1"/>
  <c r="G21" i="44"/>
  <c r="E21" i="44" s="1"/>
  <c r="D15" i="44"/>
  <c r="D15" i="47"/>
  <c r="D15" i="43"/>
  <c r="D33" i="43"/>
  <c r="D33" i="44"/>
  <c r="D33" i="47"/>
  <c r="D26" i="47"/>
  <c r="D26" i="44"/>
  <c r="D26" i="43"/>
  <c r="G23" i="44"/>
  <c r="E23" i="44" s="1"/>
  <c r="G24" i="43"/>
  <c r="G22" i="43"/>
  <c r="D27" i="47"/>
  <c r="D27" i="44"/>
  <c r="D27" i="43"/>
  <c r="D20" i="44"/>
  <c r="D20" i="43"/>
  <c r="D20" i="47"/>
  <c r="D21" i="43"/>
  <c r="D21" i="47"/>
  <c r="D21" i="44"/>
  <c r="D14" i="47"/>
  <c r="D14" i="44"/>
  <c r="D14" i="43"/>
  <c r="G32" i="44"/>
  <c r="E32" i="44" s="1"/>
  <c r="G25" i="44"/>
  <c r="E25" i="44" s="1"/>
  <c r="D30" i="44"/>
  <c r="D30" i="47"/>
  <c r="D30" i="43"/>
  <c r="G22" i="44"/>
  <c r="E22" i="44" s="1"/>
  <c r="G19" i="44"/>
  <c r="E19" i="44" s="1"/>
  <c r="G23" i="43"/>
  <c r="D32" i="47"/>
  <c r="D32" i="44"/>
  <c r="D32" i="43"/>
  <c r="D25" i="43"/>
  <c r="D25" i="47"/>
  <c r="D25" i="44"/>
  <c r="D18" i="47"/>
  <c r="D18" i="44"/>
  <c r="D18" i="43"/>
  <c r="G21" i="43"/>
  <c r="G28" i="43"/>
  <c r="G28" i="44"/>
  <c r="E28" i="44" s="1"/>
  <c r="D16" i="47"/>
  <c r="D16" i="44"/>
  <c r="D16" i="43"/>
  <c r="D19" i="47"/>
  <c r="D19" i="44"/>
  <c r="D19" i="43"/>
  <c r="D12" i="44"/>
  <c r="D12" i="43"/>
  <c r="D12" i="47"/>
  <c r="D13" i="43"/>
  <c r="D13" i="47"/>
  <c r="D13" i="44"/>
  <c r="E31" i="47"/>
  <c r="G31" i="44"/>
  <c r="E31" i="44" s="1"/>
  <c r="G24" i="44"/>
  <c r="E24" i="44" s="1"/>
  <c r="G30" i="44"/>
  <c r="E30" i="44" s="1"/>
  <c r="D31" i="44"/>
  <c r="D31" i="47"/>
  <c r="D31" i="43"/>
  <c r="D24" i="47"/>
  <c r="D24" i="44"/>
  <c r="D24" i="43"/>
  <c r="D17" i="43"/>
  <c r="D17" i="47"/>
  <c r="D17" i="44"/>
  <c r="D10" i="47"/>
  <c r="D10" i="44"/>
  <c r="D10" i="43"/>
  <c r="E21" i="40"/>
  <c r="E21" i="39"/>
  <c r="E21" i="42"/>
  <c r="E21" i="41"/>
  <c r="E22" i="41"/>
  <c r="E22" i="40"/>
  <c r="E22" i="39"/>
  <c r="E22" i="42"/>
  <c r="E31" i="39"/>
  <c r="E31" i="42"/>
  <c r="E31" i="41"/>
  <c r="E31" i="40"/>
  <c r="E27" i="41"/>
  <c r="E27" i="40"/>
  <c r="E27" i="42"/>
  <c r="E27" i="39"/>
  <c r="E32" i="40"/>
  <c r="E32" i="39"/>
  <c r="E32" i="42"/>
  <c r="E32" i="41"/>
  <c r="E17" i="42"/>
  <c r="E17" i="41"/>
  <c r="E17" i="40"/>
  <c r="E17" i="39"/>
  <c r="E28" i="42"/>
  <c r="E28" i="41"/>
  <c r="E28" i="40"/>
  <c r="E28" i="39"/>
  <c r="E12" i="42"/>
  <c r="E12" i="41"/>
  <c r="E12" i="40"/>
  <c r="E12" i="39"/>
  <c r="E11" i="41"/>
  <c r="E11" i="42"/>
  <c r="E11" i="40"/>
  <c r="E11" i="39"/>
  <c r="E13" i="40"/>
  <c r="E13" i="39"/>
  <c r="E13" i="42"/>
  <c r="E13" i="41"/>
  <c r="E18" i="39"/>
  <c r="E18" i="42"/>
  <c r="E18" i="41"/>
  <c r="E18" i="40"/>
  <c r="E14" i="41"/>
  <c r="E14" i="40"/>
  <c r="E14" i="39"/>
  <c r="E14" i="42"/>
  <c r="E23" i="39"/>
  <c r="E23" i="42"/>
  <c r="E23" i="41"/>
  <c r="E23" i="40"/>
  <c r="E33" i="42"/>
  <c r="E33" i="41"/>
  <c r="E33" i="40"/>
  <c r="E33" i="39"/>
  <c r="E19" i="41"/>
  <c r="E19" i="42"/>
  <c r="E19" i="40"/>
  <c r="E19" i="39"/>
  <c r="E29" i="40"/>
  <c r="E29" i="39"/>
  <c r="E29" i="42"/>
  <c r="E29" i="41"/>
  <c r="E24" i="40"/>
  <c r="E24" i="39"/>
  <c r="E24" i="42"/>
  <c r="E24" i="41"/>
  <c r="E34" i="39"/>
  <c r="E34" i="42"/>
  <c r="E34" i="41"/>
  <c r="E34" i="40"/>
  <c r="E20" i="42"/>
  <c r="E20" i="41"/>
  <c r="E20" i="40"/>
  <c r="E20" i="39"/>
  <c r="E16" i="40"/>
  <c r="E16" i="39"/>
  <c r="E16" i="42"/>
  <c r="E16" i="41"/>
  <c r="E30" i="41"/>
  <c r="E30" i="40"/>
  <c r="E30" i="39"/>
  <c r="E30" i="42"/>
  <c r="E35" i="41"/>
  <c r="E35" i="42"/>
  <c r="E35" i="40"/>
  <c r="E35" i="39"/>
  <c r="E26" i="39"/>
  <c r="E26" i="42"/>
  <c r="E26" i="41"/>
  <c r="E26" i="40"/>
  <c r="E15" i="39"/>
  <c r="E15" i="42"/>
  <c r="E15" i="41"/>
  <c r="E15" i="40"/>
  <c r="E25" i="42"/>
  <c r="E25" i="41"/>
  <c r="E25" i="40"/>
  <c r="E25" i="39"/>
  <c r="E29" i="36"/>
  <c r="E29" i="35"/>
  <c r="E29" i="38"/>
  <c r="E29" i="37"/>
  <c r="E24" i="36"/>
  <c r="E24" i="35"/>
  <c r="E24" i="38"/>
  <c r="E24" i="37"/>
  <c r="E34" i="35"/>
  <c r="E34" i="38"/>
  <c r="E34" i="36"/>
  <c r="E34" i="37"/>
  <c r="E20" i="38"/>
  <c r="E20" i="37"/>
  <c r="E20" i="35"/>
  <c r="E20" i="36"/>
  <c r="E14" i="37"/>
  <c r="E14" i="36"/>
  <c r="E14" i="38"/>
  <c r="E14" i="35"/>
  <c r="E23" i="35"/>
  <c r="E23" i="38"/>
  <c r="E23" i="37"/>
  <c r="E23" i="36"/>
  <c r="E33" i="38"/>
  <c r="E33" i="37"/>
  <c r="E33" i="36"/>
  <c r="E33" i="35"/>
  <c r="E19" i="37"/>
  <c r="E19" i="36"/>
  <c r="E19" i="35"/>
  <c r="E19" i="38"/>
  <c r="E30" i="37"/>
  <c r="E30" i="36"/>
  <c r="E30" i="38"/>
  <c r="E30" i="35"/>
  <c r="E35" i="37"/>
  <c r="E35" i="36"/>
  <c r="E35" i="35"/>
  <c r="E35" i="38"/>
  <c r="E15" i="35"/>
  <c r="E15" i="38"/>
  <c r="E15" i="37"/>
  <c r="E15" i="36"/>
  <c r="E25" i="38"/>
  <c r="E25" i="37"/>
  <c r="E25" i="36"/>
  <c r="E25" i="35"/>
  <c r="E21" i="36"/>
  <c r="E21" i="35"/>
  <c r="E21" i="38"/>
  <c r="E21" i="37"/>
  <c r="E16" i="36"/>
  <c r="E16" i="35"/>
  <c r="E16" i="38"/>
  <c r="E16" i="37"/>
  <c r="E26" i="35"/>
  <c r="E26" i="38"/>
  <c r="E26" i="37"/>
  <c r="E26" i="36"/>
  <c r="E12" i="38"/>
  <c r="E12" i="37"/>
  <c r="E12" i="36"/>
  <c r="E12" i="35"/>
  <c r="E22" i="37"/>
  <c r="E22" i="36"/>
  <c r="E22" i="35"/>
  <c r="E22" i="38"/>
  <c r="E31" i="35"/>
  <c r="E31" i="38"/>
  <c r="E31" i="37"/>
  <c r="E31" i="36"/>
  <c r="E27" i="37"/>
  <c r="E27" i="36"/>
  <c r="E27" i="35"/>
  <c r="E27" i="38"/>
  <c r="E32" i="36"/>
  <c r="E32" i="35"/>
  <c r="E32" i="38"/>
  <c r="E32" i="37"/>
  <c r="E17" i="38"/>
  <c r="E17" i="37"/>
  <c r="E17" i="36"/>
  <c r="E17" i="35"/>
  <c r="E28" i="38"/>
  <c r="E28" i="37"/>
  <c r="E28" i="35"/>
  <c r="E28" i="36"/>
  <c r="E11" i="37"/>
  <c r="E11" i="36"/>
  <c r="E11" i="35"/>
  <c r="E11" i="38"/>
  <c r="E13" i="36"/>
  <c r="E13" i="35"/>
  <c r="E13" i="38"/>
  <c r="E13" i="37"/>
  <c r="E18" i="35"/>
  <c r="E18" i="38"/>
  <c r="E18" i="36"/>
  <c r="E18" i="37"/>
  <c r="E21" i="34"/>
  <c r="E21" i="33"/>
  <c r="E16" i="34"/>
  <c r="E16" i="33"/>
  <c r="E26" i="33"/>
  <c r="E26" i="34"/>
  <c r="E12" i="34"/>
  <c r="E12" i="33"/>
  <c r="E22" i="33"/>
  <c r="E22" i="34"/>
  <c r="E31" i="34"/>
  <c r="E31" i="33"/>
  <c r="E27" i="33"/>
  <c r="E27" i="34"/>
  <c r="E32" i="34"/>
  <c r="E32" i="33"/>
  <c r="E17" i="34"/>
  <c r="E17" i="33"/>
  <c r="E28" i="34"/>
  <c r="E28" i="33"/>
  <c r="E11" i="33"/>
  <c r="E11" i="34"/>
  <c r="E13" i="34"/>
  <c r="E13" i="33"/>
  <c r="E18" i="33"/>
  <c r="E18" i="34"/>
  <c r="E14" i="33"/>
  <c r="E14" i="34"/>
  <c r="E23" i="34"/>
  <c r="E23" i="33"/>
  <c r="E33" i="34"/>
  <c r="E33" i="33"/>
  <c r="E19" i="33"/>
  <c r="E19" i="34"/>
  <c r="E29" i="34"/>
  <c r="E29" i="33"/>
  <c r="E24" i="34"/>
  <c r="E24" i="33"/>
  <c r="E34" i="33"/>
  <c r="E34" i="34"/>
  <c r="E20" i="34"/>
  <c r="E20" i="33"/>
  <c r="E30" i="33"/>
  <c r="E30" i="34"/>
  <c r="E35" i="33"/>
  <c r="E35" i="34"/>
  <c r="E15" i="34"/>
  <c r="E15" i="33"/>
  <c r="E25" i="34"/>
  <c r="E25" i="33"/>
  <c r="E31" i="32"/>
  <c r="E31" i="19"/>
  <c r="E32" i="19"/>
  <c r="E32" i="32"/>
  <c r="E17" i="32"/>
  <c r="E17" i="19"/>
  <c r="E13" i="19"/>
  <c r="E13" i="32"/>
  <c r="E18" i="32"/>
  <c r="E18" i="19"/>
  <c r="E28" i="19"/>
  <c r="E28" i="32"/>
  <c r="S411" i="14" a="1"/>
  <c r="S411" i="14" s="1"/>
  <c r="E14" i="19"/>
  <c r="E14" i="32"/>
  <c r="E23" i="32"/>
  <c r="E23" i="19"/>
  <c r="E33" i="32"/>
  <c r="E33" i="19"/>
  <c r="E19" i="19"/>
  <c r="E19" i="32"/>
  <c r="E29" i="19"/>
  <c r="E29" i="32"/>
  <c r="E24" i="19"/>
  <c r="E24" i="32"/>
  <c r="E34" i="32"/>
  <c r="E34" i="19"/>
  <c r="E20" i="19"/>
  <c r="E20" i="32"/>
  <c r="E11" i="19"/>
  <c r="E11" i="32"/>
  <c r="E30" i="19"/>
  <c r="E30" i="32"/>
  <c r="E35" i="19"/>
  <c r="E35" i="32"/>
  <c r="E15" i="32"/>
  <c r="E15" i="19"/>
  <c r="E25" i="32"/>
  <c r="E25" i="19"/>
  <c r="E22" i="19"/>
  <c r="E22" i="32"/>
  <c r="E27" i="19"/>
  <c r="E27" i="32"/>
  <c r="E21" i="19"/>
  <c r="E21" i="32"/>
  <c r="E16" i="19"/>
  <c r="E16" i="32"/>
  <c r="E26" i="32"/>
  <c r="E26" i="19"/>
  <c r="E12" i="19"/>
  <c r="E12" i="32"/>
  <c r="AE61" i="8"/>
  <c r="U251" i="14" a="1"/>
  <c r="U251" i="14" s="1"/>
  <c r="U331" i="14" a="1"/>
  <c r="U331" i="14" s="1"/>
  <c r="U169" i="14" a="1"/>
  <c r="U169" i="14" s="1"/>
  <c r="U173" i="14" a="1"/>
  <c r="U173" i="14" s="1"/>
  <c r="U265" i="14" a="1"/>
  <c r="U265" i="14" s="1"/>
  <c r="U320" i="14" a="1"/>
  <c r="U320" i="14" s="1"/>
  <c r="S124" i="14" a="1"/>
  <c r="S124" i="14" s="1"/>
  <c r="S149" i="14" a="1"/>
  <c r="S149" i="14" s="1"/>
  <c r="S166" i="14" a="1"/>
  <c r="S166" i="14" s="1"/>
  <c r="S172" i="14" a="1"/>
  <c r="S172" i="14" s="1"/>
  <c r="S178" i="14" a="1"/>
  <c r="S178" i="14" s="1"/>
  <c r="S184" i="14" a="1"/>
  <c r="S184" i="14" s="1"/>
  <c r="S216" i="14" a="1"/>
  <c r="S216" i="14" s="1"/>
  <c r="S207" i="14" a="1"/>
  <c r="S207" i="14" s="1"/>
  <c r="S215" i="14" a="1"/>
  <c r="S215" i="14" s="1"/>
  <c r="S222" i="14" a="1"/>
  <c r="S222" i="14" s="1"/>
  <c r="S225" i="14" a="1"/>
  <c r="S225" i="14" s="1"/>
  <c r="S272" i="14" a="1"/>
  <c r="S272" i="14" s="1"/>
  <c r="S260" i="14" a="1"/>
  <c r="S260" i="14" s="1"/>
  <c r="S241" i="14" a="1"/>
  <c r="S241" i="14" s="1"/>
  <c r="S277" i="14" a="1"/>
  <c r="S277" i="14" s="1"/>
  <c r="S264" i="14" a="1"/>
  <c r="S264" i="14" s="1"/>
  <c r="S352" i="14" a="1"/>
  <c r="S352" i="14" s="1"/>
  <c r="S296" i="14" a="1"/>
  <c r="S296" i="14" s="1"/>
  <c r="S309" i="14" a="1"/>
  <c r="S309" i="14" s="1"/>
  <c r="S303" i="14" a="1"/>
  <c r="S303" i="14" s="1"/>
  <c r="S297" i="14" a="1"/>
  <c r="S297" i="14" s="1"/>
  <c r="S339" i="14" a="1"/>
  <c r="S339" i="14" s="1"/>
  <c r="S345" i="14" a="1"/>
  <c r="S345" i="14" s="1"/>
  <c r="S337" i="14" a="1"/>
  <c r="S337" i="14" s="1"/>
  <c r="S379" i="14" a="1"/>
  <c r="S379" i="14" s="1"/>
  <c r="S397" i="14" a="1"/>
  <c r="S397" i="14" s="1"/>
  <c r="S384" i="14" a="1"/>
  <c r="S384" i="14" s="1"/>
  <c r="S392" i="14" a="1"/>
  <c r="S392" i="14" s="1"/>
  <c r="S393" i="14" a="1"/>
  <c r="S393" i="14" s="1"/>
  <c r="S415" i="14" a="1"/>
  <c r="S415" i="14" s="1"/>
  <c r="S407" i="14" a="1"/>
  <c r="S407" i="14" s="1"/>
  <c r="S414" i="14" a="1"/>
  <c r="S414" i="14" s="1"/>
  <c r="S196" i="14" a="1"/>
  <c r="S196" i="14" s="1"/>
  <c r="S191" i="14" a="1"/>
  <c r="S191" i="14" s="1"/>
  <c r="S236" i="14" a="1"/>
  <c r="S236" i="14" s="1"/>
  <c r="S247" i="14" a="1"/>
  <c r="S247" i="14" s="1"/>
  <c r="S287" i="14" a="1"/>
  <c r="S287" i="14" s="1"/>
  <c r="S279" i="14" a="1"/>
  <c r="S279" i="14" s="1"/>
  <c r="S261" i="14" a="1"/>
  <c r="S261" i="14" s="1"/>
  <c r="S226" i="14" a="1"/>
  <c r="S226" i="14" s="1"/>
  <c r="S293" i="14" a="1"/>
  <c r="S293" i="14" s="1"/>
  <c r="S282" i="14" a="1"/>
  <c r="S282" i="14" s="1"/>
  <c r="S302" i="14" a="1"/>
  <c r="S302" i="14" s="1"/>
  <c r="S321" i="14" a="1"/>
  <c r="S321" i="14" s="1"/>
  <c r="S315" i="14" a="1"/>
  <c r="S315" i="14" s="1"/>
  <c r="S334" i="14" a="1"/>
  <c r="S334" i="14" s="1"/>
  <c r="S301" i="14" a="1"/>
  <c r="S301" i="14" s="1"/>
  <c r="S385" i="14" a="1"/>
  <c r="S385" i="14" s="1"/>
  <c r="S375" i="14" a="1"/>
  <c r="S375" i="14" s="1"/>
  <c r="S368" i="14" a="1"/>
  <c r="S368" i="14" s="1"/>
  <c r="S376" i="14" a="1"/>
  <c r="S376" i="14" s="1"/>
  <c r="S367" i="14" a="1"/>
  <c r="S367" i="14" s="1"/>
  <c r="S410" i="14" a="1"/>
  <c r="S410" i="14" s="1"/>
  <c r="S437" i="14" a="1"/>
  <c r="S437" i="14" s="1"/>
  <c r="S425" i="14" a="1"/>
  <c r="S425" i="14" s="1"/>
  <c r="S416" i="14" a="1"/>
  <c r="S416" i="14" s="1"/>
  <c r="S440" i="14" a="1"/>
  <c r="S440" i="14" s="1"/>
  <c r="S146" i="14" a="1"/>
  <c r="S146" i="14" s="1"/>
  <c r="U243" i="14" a="1"/>
  <c r="U243" i="14" s="1"/>
  <c r="U217" i="14" a="1"/>
  <c r="U217" i="14" s="1"/>
  <c r="U291" i="14" a="1"/>
  <c r="U291" i="14" s="1"/>
  <c r="S285" i="14" a="1"/>
  <c r="S285" i="14" s="1"/>
  <c r="S197" i="14" a="1"/>
  <c r="S197" i="14" s="1"/>
  <c r="S246" i="14" a="1"/>
  <c r="S246" i="14" s="1"/>
  <c r="S211" i="14" a="1"/>
  <c r="S211" i="14" s="1"/>
  <c r="S204" i="14" a="1"/>
  <c r="S204" i="14" s="1"/>
  <c r="S255" i="14" a="1"/>
  <c r="S255" i="14" s="1"/>
  <c r="S257" i="14" a="1"/>
  <c r="S257" i="14" s="1"/>
  <c r="S305" i="14" a="1"/>
  <c r="S305" i="14" s="1"/>
  <c r="S289" i="14" a="1"/>
  <c r="S289" i="14" s="1"/>
  <c r="S262" i="14" a="1"/>
  <c r="S262" i="14" s="1"/>
  <c r="S239" i="14" a="1"/>
  <c r="S239" i="14" s="1"/>
  <c r="S348" i="14" a="1"/>
  <c r="S348" i="14" s="1"/>
  <c r="S295" i="14" a="1"/>
  <c r="S295" i="14" s="1"/>
  <c r="S324" i="14" a="1"/>
  <c r="S324" i="14" s="1"/>
  <c r="S322" i="14" a="1"/>
  <c r="S322" i="14" s="1"/>
  <c r="S316" i="14" a="1"/>
  <c r="S316" i="14" s="1"/>
  <c r="S355" i="14" a="1"/>
  <c r="S355" i="14" s="1"/>
  <c r="S327" i="14" a="1"/>
  <c r="S327" i="14" s="1"/>
  <c r="S333" i="14" a="1"/>
  <c r="S333" i="14" s="1"/>
  <c r="S350" i="14" a="1"/>
  <c r="S350" i="14" s="1"/>
  <c r="S383" i="14" a="1"/>
  <c r="S383" i="14" s="1"/>
  <c r="S394" i="14" a="1"/>
  <c r="S394" i="14" s="1"/>
  <c r="S369" i="14" a="1"/>
  <c r="S369" i="14" s="1"/>
  <c r="S418" i="14" a="1"/>
  <c r="S418" i="14" s="1"/>
  <c r="S400" i="14" a="1"/>
  <c r="S400" i="14" s="1"/>
  <c r="S428" i="14" a="1"/>
  <c r="S428" i="14" s="1"/>
  <c r="S426" i="14" a="1"/>
  <c r="S426" i="14" s="1"/>
  <c r="S420" i="14" a="1"/>
  <c r="S420" i="14" s="1"/>
  <c r="U198" i="14" a="1"/>
  <c r="U198" i="14" s="1"/>
  <c r="U407" i="14" a="1"/>
  <c r="U407" i="14" s="1"/>
  <c r="U210" i="14" a="1"/>
  <c r="U210" i="14" s="1"/>
  <c r="U244" i="14" a="1"/>
  <c r="U244" i="14" s="1"/>
  <c r="S171" i="14" a="1"/>
  <c r="S171" i="14" s="1"/>
  <c r="S193" i="14" a="1"/>
  <c r="S193" i="14" s="1"/>
  <c r="S208" i="14" a="1"/>
  <c r="S208" i="14" s="1"/>
  <c r="S174" i="14" a="1"/>
  <c r="S174" i="14" s="1"/>
  <c r="S150" i="14" a="1"/>
  <c r="S150" i="14" s="1"/>
  <c r="S212" i="14" a="1"/>
  <c r="S212" i="14" s="1"/>
  <c r="S203" i="14" a="1"/>
  <c r="S203" i="14" s="1"/>
  <c r="S213" i="14" a="1"/>
  <c r="S213" i="14" s="1"/>
  <c r="S206" i="14" a="1"/>
  <c r="S206" i="14" s="1"/>
  <c r="S265" i="14" a="1"/>
  <c r="S265" i="14" s="1"/>
  <c r="S258" i="14" a="1"/>
  <c r="S258" i="14" s="1"/>
  <c r="S229" i="14" a="1"/>
  <c r="S229" i="14" s="1"/>
  <c r="S291" i="14" a="1"/>
  <c r="S291" i="14" s="1"/>
  <c r="S278" i="14" a="1"/>
  <c r="S278" i="14" s="1"/>
  <c r="S242" i="14" a="1"/>
  <c r="S242" i="14" s="1"/>
  <c r="S313" i="14" a="1"/>
  <c r="S313" i="14" s="1"/>
  <c r="S298" i="14" a="1"/>
  <c r="S298" i="14" s="1"/>
  <c r="S336" i="14" a="1"/>
  <c r="S336" i="14" s="1"/>
  <c r="S323" i="14" a="1"/>
  <c r="S323" i="14" s="1"/>
  <c r="S329" i="14" a="1"/>
  <c r="S329" i="14" s="1"/>
  <c r="S304" i="14" a="1"/>
  <c r="S304" i="14" s="1"/>
  <c r="S332" i="14" a="1"/>
  <c r="S332" i="14" s="1"/>
  <c r="S349" i="14" a="1"/>
  <c r="S349" i="14" s="1"/>
  <c r="S377" i="14" a="1"/>
  <c r="S377" i="14" s="1"/>
  <c r="S386" i="14" a="1"/>
  <c r="S386" i="14" s="1"/>
  <c r="S401" i="14" a="1"/>
  <c r="S401" i="14" s="1"/>
  <c r="S382" i="14" a="1"/>
  <c r="S382" i="14" s="1"/>
  <c r="S424" i="14" a="1"/>
  <c r="S424" i="14" s="1"/>
  <c r="S404" i="14" a="1"/>
  <c r="S404" i="14" s="1"/>
  <c r="S438" i="14" a="1"/>
  <c r="S438" i="14" s="1"/>
  <c r="S429" i="14" a="1"/>
  <c r="S429" i="14" s="1"/>
  <c r="S433" i="14" a="1"/>
  <c r="S433" i="14" s="1"/>
  <c r="S430" i="14" a="1"/>
  <c r="S430" i="14" s="1"/>
  <c r="S125" i="14" a="1"/>
  <c r="S125" i="14" s="1"/>
  <c r="S442" i="14" a="1"/>
  <c r="S442" i="14" s="1"/>
  <c r="S177" i="14" a="1"/>
  <c r="S177" i="14" s="1"/>
  <c r="S175" i="14" a="1"/>
  <c r="S175" i="14" s="1"/>
  <c r="S417" i="14" a="1"/>
  <c r="S417" i="14" s="1"/>
  <c r="S145" i="14" a="1"/>
  <c r="S145" i="14" s="1"/>
  <c r="M6" i="13" a="1"/>
  <c r="M6" i="13" s="1"/>
  <c r="M13" i="13" a="1"/>
  <c r="M13" i="13" s="1"/>
  <c r="M7" i="13" a="1"/>
  <c r="M7" i="13" s="1"/>
  <c r="M10" i="13" a="1"/>
  <c r="M10" i="13" s="1"/>
  <c r="M9" i="13" a="1"/>
  <c r="M9" i="13" s="1"/>
  <c r="M12" i="13" a="1"/>
  <c r="M12" i="13" s="1"/>
  <c r="M8" i="13" a="1"/>
  <c r="M8" i="13" s="1"/>
  <c r="M11" i="13" a="1"/>
  <c r="M11" i="13" s="1"/>
  <c r="M14" i="13" a="1"/>
  <c r="M14" i="13" s="1"/>
  <c r="K14" i="13" a="1"/>
  <c r="K14" i="13" s="1"/>
  <c r="K6" i="13" a="1"/>
  <c r="K6" i="13" s="1"/>
  <c r="K11" i="13" a="1"/>
  <c r="K11" i="13" s="1"/>
  <c r="K13" i="13" a="1"/>
  <c r="K13" i="13" s="1"/>
  <c r="K8" i="13" a="1"/>
  <c r="K8" i="13" s="1"/>
  <c r="K10" i="13" a="1"/>
  <c r="K10" i="13" s="1"/>
  <c r="K12" i="13" a="1"/>
  <c r="K12" i="13" s="1"/>
  <c r="K7" i="13" a="1"/>
  <c r="K7" i="13" s="1"/>
  <c r="K9" i="13" a="1"/>
  <c r="K9" i="13" s="1"/>
  <c r="W175" i="14" a="1"/>
  <c r="W175" i="14" s="1"/>
  <c r="V287" i="14" a="1"/>
  <c r="V287" i="14" s="1"/>
  <c r="V365" i="14" a="1"/>
  <c r="V365" i="14" s="1"/>
  <c r="V425" i="14" a="1"/>
  <c r="V425" i="14" s="1"/>
  <c r="W204" i="14" a="1"/>
  <c r="W204" i="14" s="1"/>
  <c r="V179" i="14" a="1"/>
  <c r="V179" i="14" s="1"/>
  <c r="V245" i="14" a="1"/>
  <c r="V245" i="14" s="1"/>
  <c r="V312" i="14" a="1"/>
  <c r="V312" i="14" s="1"/>
  <c r="V373" i="14" a="1"/>
  <c r="V373" i="14" s="1"/>
  <c r="W232" i="14" a="1"/>
  <c r="W232" i="14" s="1"/>
  <c r="V211" i="14" a="1"/>
  <c r="V211" i="14" s="1"/>
  <c r="V255" i="14" a="1"/>
  <c r="V255" i="14" s="1"/>
  <c r="V330" i="14" a="1"/>
  <c r="V330" i="14" s="1"/>
  <c r="V379" i="14" a="1"/>
  <c r="V379" i="14" s="1"/>
  <c r="W353" i="14" a="1"/>
  <c r="W353" i="14" s="1"/>
  <c r="V219" i="14" a="1"/>
  <c r="V219" i="14" s="1"/>
  <c r="V256" i="14" a="1"/>
  <c r="V256" i="14" s="1"/>
  <c r="V323" i="14" a="1"/>
  <c r="V323" i="14" s="1"/>
  <c r="V435" i="14" a="1"/>
  <c r="V435" i="14" s="1"/>
  <c r="S148" i="14" a="1"/>
  <c r="S148" i="14" s="1"/>
  <c r="W419" i="14" a="1"/>
  <c r="W419" i="14" s="1"/>
  <c r="V241" i="14" a="1"/>
  <c r="V241" i="14" s="1"/>
  <c r="V272" i="14" a="1"/>
  <c r="V272" i="14" s="1"/>
  <c r="V321" i="14" a="1"/>
  <c r="V321" i="14" s="1"/>
  <c r="V401" i="14" a="1"/>
  <c r="V401" i="14" s="1"/>
  <c r="V195" i="14" a="1"/>
  <c r="V195" i="14" s="1"/>
  <c r="V249" i="14" a="1"/>
  <c r="V249" i="14" s="1"/>
  <c r="V374" i="14" a="1"/>
  <c r="V374" i="14" s="1"/>
  <c r="V440" i="14" a="1"/>
  <c r="V440" i="14" s="1"/>
  <c r="U171" i="14" a="1"/>
  <c r="U171" i="14" s="1"/>
  <c r="U213" i="14" a="1"/>
  <c r="U213" i="14" s="1"/>
  <c r="U207" i="14" a="1"/>
  <c r="U207" i="14" s="1"/>
  <c r="U247" i="14" a="1"/>
  <c r="U247" i="14" s="1"/>
  <c r="U298" i="14" a="1"/>
  <c r="U298" i="14" s="1"/>
  <c r="U352" i="14" a="1"/>
  <c r="U352" i="14" s="1"/>
  <c r="W220" i="14" a="1"/>
  <c r="W220" i="14" s="1"/>
  <c r="W339" i="14" a="1"/>
  <c r="W339" i="14" s="1"/>
  <c r="W395" i="14" a="1"/>
  <c r="W395" i="14" s="1"/>
  <c r="W127" i="14" a="1"/>
  <c r="W127" i="14" s="1"/>
  <c r="U140" i="14" a="1"/>
  <c r="U140" i="14" s="1"/>
  <c r="U165" i="14" a="1"/>
  <c r="U165" i="14" s="1"/>
  <c r="U184" i="14" a="1"/>
  <c r="U184" i="14" s="1"/>
  <c r="U160" i="14" a="1"/>
  <c r="U160" i="14" s="1"/>
  <c r="U153" i="14" a="1"/>
  <c r="U153" i="14" s="1"/>
  <c r="U215" i="14" a="1"/>
  <c r="U215" i="14" s="1"/>
  <c r="U268" i="14" a="1"/>
  <c r="U268" i="14" s="1"/>
  <c r="U225" i="14" a="1"/>
  <c r="U225" i="14" s="1"/>
  <c r="U203" i="14" a="1"/>
  <c r="U203" i="14" s="1"/>
  <c r="U221" i="14" a="1"/>
  <c r="U221" i="14" s="1"/>
  <c r="U262" i="14" a="1"/>
  <c r="U262" i="14" s="1"/>
  <c r="U285" i="14" a="1"/>
  <c r="U285" i="14" s="1"/>
  <c r="U232" i="14" a="1"/>
  <c r="U232" i="14" s="1"/>
  <c r="U248" i="14" a="1"/>
  <c r="U248" i="14" s="1"/>
  <c r="U259" i="14" a="1"/>
  <c r="U259" i="14" s="1"/>
  <c r="U261" i="14" a="1"/>
  <c r="U261" i="14" s="1"/>
  <c r="U300" i="14" a="1"/>
  <c r="U300" i="14" s="1"/>
  <c r="U326" i="14" a="1"/>
  <c r="U326" i="14" s="1"/>
  <c r="U348" i="14" a="1"/>
  <c r="U348" i="14" s="1"/>
  <c r="U341" i="14" a="1"/>
  <c r="U341" i="14" s="1"/>
  <c r="U384" i="14" a="1"/>
  <c r="U384" i="14" s="1"/>
  <c r="U392" i="14" a="1"/>
  <c r="U392" i="14" s="1"/>
  <c r="W142" i="14" a="1"/>
  <c r="W142" i="14" s="1"/>
  <c r="W259" i="14" a="1"/>
  <c r="W259" i="14" s="1"/>
  <c r="W314" i="14" a="1"/>
  <c r="W314" i="14" s="1"/>
  <c r="W352" i="14" a="1"/>
  <c r="W352" i="14" s="1"/>
  <c r="W412" i="14" a="1"/>
  <c r="W412" i="14" s="1"/>
  <c r="U175" i="14" a="1"/>
  <c r="U175" i="14" s="1"/>
  <c r="U201" i="14" a="1"/>
  <c r="U201" i="14" s="1"/>
  <c r="U281" i="14" a="1"/>
  <c r="U281" i="14" s="1"/>
  <c r="U297" i="14" a="1"/>
  <c r="U297" i="14" s="1"/>
  <c r="U388" i="14" a="1"/>
  <c r="U388" i="14" s="1"/>
  <c r="W185" i="14" a="1"/>
  <c r="W185" i="14" s="1"/>
  <c r="U142" i="14" a="1"/>
  <c r="U142" i="14" s="1"/>
  <c r="U167" i="14" a="1"/>
  <c r="U167" i="14" s="1"/>
  <c r="U186" i="14" a="1"/>
  <c r="U186" i="14" s="1"/>
  <c r="U177" i="14" a="1"/>
  <c r="U177" i="14" s="1"/>
  <c r="U155" i="14" a="1"/>
  <c r="U155" i="14" s="1"/>
  <c r="U219" i="14" a="1"/>
  <c r="U219" i="14" s="1"/>
  <c r="U288" i="14" a="1"/>
  <c r="U288" i="14" s="1"/>
  <c r="U235" i="14" a="1"/>
  <c r="U235" i="14" s="1"/>
  <c r="U218" i="14" a="1"/>
  <c r="U218" i="14" s="1"/>
  <c r="U228" i="14" a="1"/>
  <c r="U228" i="14" s="1"/>
  <c r="U277" i="14" a="1"/>
  <c r="U277" i="14" s="1"/>
  <c r="U230" i="14" a="1"/>
  <c r="U230" i="14" s="1"/>
  <c r="U234" i="14" a="1"/>
  <c r="U234" i="14" s="1"/>
  <c r="U258" i="14" a="1"/>
  <c r="U258" i="14" s="1"/>
  <c r="U260" i="14" a="1"/>
  <c r="U260" i="14" s="1"/>
  <c r="U270" i="14" a="1"/>
  <c r="U270" i="14" s="1"/>
  <c r="U310" i="14" a="1"/>
  <c r="U310" i="14" s="1"/>
  <c r="U332" i="14" a="1"/>
  <c r="U332" i="14" s="1"/>
  <c r="U302" i="14" a="1"/>
  <c r="U302" i="14" s="1"/>
  <c r="U306" i="14" a="1"/>
  <c r="U306" i="14" s="1"/>
  <c r="U353" i="14" a="1"/>
  <c r="U353" i="14" s="1"/>
  <c r="W128" i="14" a="1"/>
  <c r="W128" i="14" s="1"/>
  <c r="W178" i="14" a="1"/>
  <c r="W178" i="14" s="1"/>
  <c r="W262" i="14" a="1"/>
  <c r="W262" i="14" s="1"/>
  <c r="W333" i="14" a="1"/>
  <c r="W333" i="14" s="1"/>
  <c r="W372" i="14" a="1"/>
  <c r="W372" i="14" s="1"/>
  <c r="U196" i="14" a="1"/>
  <c r="U196" i="14" s="1"/>
  <c r="U135" i="14" a="1"/>
  <c r="U135" i="14" s="1"/>
  <c r="U133" i="14" a="1"/>
  <c r="U133" i="14" s="1"/>
  <c r="U144" i="14" a="1"/>
  <c r="U144" i="14" s="1"/>
  <c r="U419" i="14" a="1"/>
  <c r="U419" i="14" s="1"/>
  <c r="U428" i="14" a="1"/>
  <c r="U428" i="14" s="1"/>
  <c r="U401" i="14" a="1"/>
  <c r="U401" i="14" s="1"/>
  <c r="U414" i="14" a="1"/>
  <c r="U414" i="14" s="1"/>
  <c r="U440" i="14" a="1"/>
  <c r="U440" i="14" s="1"/>
  <c r="U423" i="14" a="1"/>
  <c r="U423" i="14" s="1"/>
  <c r="U412" i="14" a="1"/>
  <c r="U412" i="14" s="1"/>
  <c r="U386" i="14" a="1"/>
  <c r="U386" i="14" s="1"/>
  <c r="U371" i="14" a="1"/>
  <c r="U371" i="14" s="1"/>
  <c r="U382" i="14" a="1"/>
  <c r="U382" i="14" s="1"/>
  <c r="U355" i="14" a="1"/>
  <c r="U355" i="14" s="1"/>
  <c r="U374" i="14" a="1"/>
  <c r="U374" i="14" s="1"/>
  <c r="U329" i="14" a="1"/>
  <c r="U329" i="14" s="1"/>
  <c r="U323" i="14" a="1"/>
  <c r="U323" i="14" s="1"/>
  <c r="U350" i="14" a="1"/>
  <c r="U350" i="14" s="1"/>
  <c r="U137" i="14" a="1"/>
  <c r="U137" i="14" s="1"/>
  <c r="U151" i="14" a="1"/>
  <c r="U151" i="14" s="1"/>
  <c r="U147" i="14" a="1"/>
  <c r="U147" i="14" s="1"/>
  <c r="U416" i="14" a="1"/>
  <c r="U416" i="14" s="1"/>
  <c r="U418" i="14" a="1"/>
  <c r="U418" i="14" s="1"/>
  <c r="U397" i="14" a="1"/>
  <c r="U397" i="14" s="1"/>
  <c r="U406" i="14" a="1"/>
  <c r="U406" i="14" s="1"/>
  <c r="U403" i="14" a="1"/>
  <c r="U403" i="14" s="1"/>
  <c r="U420" i="14" a="1"/>
  <c r="U420" i="14" s="1"/>
  <c r="U391" i="14" a="1"/>
  <c r="U391" i="14" s="1"/>
  <c r="U379" i="14" a="1"/>
  <c r="U379" i="14" s="1"/>
  <c r="U369" i="14" a="1"/>
  <c r="U369" i="14" s="1"/>
  <c r="U343" i="14" a="1"/>
  <c r="U343" i="14" s="1"/>
  <c r="U339" i="14" a="1"/>
  <c r="U339" i="14" s="1"/>
  <c r="U367" i="14" a="1"/>
  <c r="U367" i="14" s="1"/>
  <c r="U315" i="14" a="1"/>
  <c r="U315" i="14" s="1"/>
  <c r="U322" i="14" a="1"/>
  <c r="U322" i="14" s="1"/>
  <c r="U336" i="14" a="1"/>
  <c r="U336" i="14" s="1"/>
  <c r="U345" i="14" a="1"/>
  <c r="U345" i="14" s="1"/>
  <c r="U425" i="14" a="1"/>
  <c r="U425" i="14" s="1"/>
  <c r="U415" i="14" a="1"/>
  <c r="U415" i="14" s="1"/>
  <c r="U430" i="14" a="1"/>
  <c r="U430" i="14" s="1"/>
  <c r="U402" i="14" a="1"/>
  <c r="U402" i="14" s="1"/>
  <c r="U400" i="14" a="1"/>
  <c r="U400" i="14" s="1"/>
  <c r="U396" i="14" a="1"/>
  <c r="U396" i="14" s="1"/>
  <c r="U370" i="14" a="1"/>
  <c r="U370" i="14" s="1"/>
  <c r="U377" i="14" a="1"/>
  <c r="U377" i="14" s="1"/>
  <c r="U360" i="14" a="1"/>
  <c r="U360" i="14" s="1"/>
  <c r="U327" i="14" a="1"/>
  <c r="U327" i="14" s="1"/>
  <c r="U378" i="14" a="1"/>
  <c r="U378" i="14" s="1"/>
  <c r="U347" i="14" a="1"/>
  <c r="U347" i="14" s="1"/>
  <c r="U309" i="14" a="1"/>
  <c r="U309" i="14" s="1"/>
  <c r="U321" i="14" a="1"/>
  <c r="U321" i="14" s="1"/>
  <c r="U330" i="14" a="1"/>
  <c r="U330" i="14" s="1"/>
  <c r="U163" i="14" a="1"/>
  <c r="U163" i="14" s="1"/>
  <c r="U127" i="14" a="1"/>
  <c r="U127" i="14" s="1"/>
  <c r="U136" i="14" a="1"/>
  <c r="U136" i="14" s="1"/>
  <c r="U413" i="14" a="1"/>
  <c r="U413" i="14" s="1"/>
  <c r="U411" i="14" a="1"/>
  <c r="U411" i="14" s="1"/>
  <c r="U427" i="14" a="1"/>
  <c r="U427" i="14" s="1"/>
  <c r="U398" i="14" a="1"/>
  <c r="U398" i="14" s="1"/>
  <c r="U390" i="14" a="1"/>
  <c r="U390" i="14" s="1"/>
  <c r="U393" i="14" a="1"/>
  <c r="U393" i="14" s="1"/>
  <c r="U368" i="14" a="1"/>
  <c r="U368" i="14" s="1"/>
  <c r="U441" i="14" a="1"/>
  <c r="U441" i="14" s="1"/>
  <c r="U372" i="14" a="1"/>
  <c r="U372" i="14" s="1"/>
  <c r="U311" i="14" a="1"/>
  <c r="U311" i="14" s="1"/>
  <c r="U361" i="14" a="1"/>
  <c r="U361" i="14" s="1"/>
  <c r="U303" i="14" a="1"/>
  <c r="U303" i="14" s="1"/>
  <c r="U128" i="14" a="1"/>
  <c r="U128" i="14" s="1"/>
  <c r="U176" i="14" a="1"/>
  <c r="U176" i="14" s="1"/>
  <c r="U145" i="14" a="1"/>
  <c r="U145" i="14" s="1"/>
  <c r="U126" i="14" a="1"/>
  <c r="U126" i="14" s="1"/>
  <c r="U178" i="14" a="1"/>
  <c r="U178" i="14" s="1"/>
  <c r="U438" i="14" a="1"/>
  <c r="U438" i="14" s="1"/>
  <c r="U408" i="14" a="1"/>
  <c r="U408" i="14" s="1"/>
  <c r="U437" i="14" a="1"/>
  <c r="U437" i="14" s="1"/>
  <c r="U424" i="14" a="1"/>
  <c r="U424" i="14" s="1"/>
  <c r="U410" i="14" a="1"/>
  <c r="U410" i="14" s="1"/>
  <c r="U436" i="14" a="1"/>
  <c r="U436" i="14" s="1"/>
  <c r="U385" i="14" a="1"/>
  <c r="U385" i="14" s="1"/>
  <c r="U383" i="14" a="1"/>
  <c r="U383" i="14" s="1"/>
  <c r="U389" i="14" a="1"/>
  <c r="U389" i="14" s="1"/>
  <c r="U363" i="14" a="1"/>
  <c r="U363" i="14" s="1"/>
  <c r="U380" i="14" a="1"/>
  <c r="U380" i="14" s="1"/>
  <c r="U358" i="14" a="1"/>
  <c r="U358" i="14" s="1"/>
  <c r="U292" i="14" a="1"/>
  <c r="U292" i="14" s="1"/>
  <c r="U296" i="14" a="1"/>
  <c r="U296" i="14" s="1"/>
  <c r="U314" i="14" a="1"/>
  <c r="U314" i="14" s="1"/>
  <c r="U313" i="14" a="1"/>
  <c r="U313" i="14" s="1"/>
  <c r="U319" i="14" a="1"/>
  <c r="U319" i="14" s="1"/>
  <c r="U304" i="14" a="1"/>
  <c r="U304" i="14" s="1"/>
  <c r="U316" i="14" a="1"/>
  <c r="U316" i="14" s="1"/>
  <c r="U338" i="14" a="1"/>
  <c r="U338" i="14" s="1"/>
  <c r="U227" i="14" a="1"/>
  <c r="U227" i="14" s="1"/>
  <c r="U287" i="14" a="1"/>
  <c r="U287" i="14" s="1"/>
  <c r="U240" i="14" a="1"/>
  <c r="U240" i="14" s="1"/>
  <c r="U274" i="14" a="1"/>
  <c r="U274" i="14" s="1"/>
  <c r="U275" i="14" a="1"/>
  <c r="U275" i="14" s="1"/>
  <c r="U269" i="14" a="1"/>
  <c r="U269" i="14" s="1"/>
  <c r="U220" i="14" a="1"/>
  <c r="U220" i="14" s="1"/>
  <c r="U282" i="14" a="1"/>
  <c r="U282" i="14" s="1"/>
  <c r="U199" i="14" a="1"/>
  <c r="U199" i="14" s="1"/>
  <c r="U208" i="14" a="1"/>
  <c r="U208" i="14" s="1"/>
  <c r="U204" i="14" a="1"/>
  <c r="U204" i="14" s="1"/>
  <c r="U200" i="14" a="1"/>
  <c r="U200" i="14" s="1"/>
  <c r="U194" i="14" a="1"/>
  <c r="U194" i="14" s="1"/>
  <c r="U162" i="14" a="1"/>
  <c r="U162" i="14" s="1"/>
  <c r="U193" i="14" a="1"/>
  <c r="U193" i="14" s="1"/>
  <c r="U182" i="14" a="1"/>
  <c r="U182" i="14" s="1"/>
  <c r="U172" i="14" a="1"/>
  <c r="U172" i="14" s="1"/>
  <c r="U149" i="14" a="1"/>
  <c r="U149" i="14" s="1"/>
  <c r="U146" i="14" a="1"/>
  <c r="U146" i="14" s="1"/>
  <c r="U130" i="14" a="1"/>
  <c r="U130" i="14" s="1"/>
  <c r="U161" i="14" a="1"/>
  <c r="U161" i="14" s="1"/>
  <c r="U132" i="14" a="1"/>
  <c r="U132" i="14" s="1"/>
  <c r="U138" i="14" a="1"/>
  <c r="U138" i="14" s="1"/>
  <c r="U435" i="14" a="1"/>
  <c r="U435" i="14" s="1"/>
  <c r="U404" i="14" a="1"/>
  <c r="U404" i="14" s="1"/>
  <c r="U421" i="14" a="1"/>
  <c r="U421" i="14" s="1"/>
  <c r="U442" i="14" a="1"/>
  <c r="U442" i="14" s="1"/>
  <c r="U394" i="14" a="1"/>
  <c r="U394" i="14" s="1"/>
  <c r="U399" i="14" a="1"/>
  <c r="U399" i="14" s="1"/>
  <c r="U429" i="14" a="1"/>
  <c r="U429" i="14" s="1"/>
  <c r="U381" i="14" a="1"/>
  <c r="U381" i="14" s="1"/>
  <c r="U375" i="14" a="1"/>
  <c r="U375" i="14" s="1"/>
  <c r="U356" i="14" a="1"/>
  <c r="U356" i="14" s="1"/>
  <c r="U359" i="14" a="1"/>
  <c r="U359" i="14" s="1"/>
  <c r="U376" i="14" a="1"/>
  <c r="U376" i="14" s="1"/>
  <c r="U344" i="14" a="1"/>
  <c r="U344" i="14" s="1"/>
  <c r="U362" i="14" a="1"/>
  <c r="U362" i="14" s="1"/>
  <c r="U299" i="14" a="1"/>
  <c r="U299" i="14" s="1"/>
  <c r="U308" i="14" a="1"/>
  <c r="U308" i="14" s="1"/>
  <c r="U312" i="14" a="1"/>
  <c r="U312" i="14" s="1"/>
  <c r="U301" i="14" a="1"/>
  <c r="U301" i="14" s="1"/>
  <c r="U124" i="14" a="1"/>
  <c r="U124" i="14" s="1"/>
  <c r="U122" i="14" a="1"/>
  <c r="U122" i="14" s="1"/>
  <c r="U422" i="14" a="1"/>
  <c r="U422" i="14" s="1"/>
  <c r="U431" i="14" a="1"/>
  <c r="U431" i="14" s="1"/>
  <c r="U405" i="14" a="1"/>
  <c r="U405" i="14" s="1"/>
  <c r="U417" i="14" a="1"/>
  <c r="U417" i="14" s="1"/>
  <c r="U387" i="14" a="1"/>
  <c r="U387" i="14" s="1"/>
  <c r="U426" i="14" a="1"/>
  <c r="U426" i="14" s="1"/>
  <c r="U395" i="14" a="1"/>
  <c r="U395" i="14" s="1"/>
  <c r="W136" i="14" a="1"/>
  <c r="W136" i="14" s="1"/>
  <c r="W134" i="14" a="1"/>
  <c r="W134" i="14" s="1"/>
  <c r="W164" i="14" a="1"/>
  <c r="W164" i="14" s="1"/>
  <c r="W149" i="14" a="1"/>
  <c r="W149" i="14" s="1"/>
  <c r="W437" i="14" a="1"/>
  <c r="W437" i="14" s="1"/>
  <c r="W436" i="14" a="1"/>
  <c r="W436" i="14" s="1"/>
  <c r="W441" i="14" a="1"/>
  <c r="W441" i="14" s="1"/>
  <c r="W432" i="14" a="1"/>
  <c r="W432" i="14" s="1"/>
  <c r="W404" i="14" a="1"/>
  <c r="W404" i="14" s="1"/>
  <c r="W405" i="14" a="1"/>
  <c r="W405" i="14" s="1"/>
  <c r="W383" i="14" a="1"/>
  <c r="W383" i="14" s="1"/>
  <c r="W401" i="14" a="1"/>
  <c r="W401" i="14" s="1"/>
  <c r="W428" i="14" a="1"/>
  <c r="W428" i="14" s="1"/>
  <c r="W377" i="14" a="1"/>
  <c r="W377" i="14" s="1"/>
  <c r="W345" i="14" a="1"/>
  <c r="W345" i="14" s="1"/>
  <c r="W357" i="14" a="1"/>
  <c r="W357" i="14" s="1"/>
  <c r="W321" i="14" a="1"/>
  <c r="W321" i="14" s="1"/>
  <c r="W323" i="14" a="1"/>
  <c r="W323" i="14" s="1"/>
  <c r="W342" i="14" a="1"/>
  <c r="W342" i="14" s="1"/>
  <c r="W311" i="14" a="1"/>
  <c r="W311" i="14" s="1"/>
  <c r="W297" i="14" a="1"/>
  <c r="W297" i="14" s="1"/>
  <c r="W306" i="14" a="1"/>
  <c r="W306" i="14" s="1"/>
  <c r="W299" i="14" a="1"/>
  <c r="W299" i="14" s="1"/>
  <c r="W289" i="14" a="1"/>
  <c r="W289" i="14" s="1"/>
  <c r="W291" i="14" a="1"/>
  <c r="W291" i="14" s="1"/>
  <c r="W309" i="14" a="1"/>
  <c r="W309" i="14" s="1"/>
  <c r="W239" i="14" a="1"/>
  <c r="W239" i="14" s="1"/>
  <c r="W293" i="14" a="1"/>
  <c r="W293" i="14" s="1"/>
  <c r="W235" i="14" a="1"/>
  <c r="W235" i="14" s="1"/>
  <c r="W251" i="14" a="1"/>
  <c r="W251" i="14" s="1"/>
  <c r="W240" i="14" a="1"/>
  <c r="W240" i="14" s="1"/>
  <c r="W208" i="14" a="1"/>
  <c r="W208" i="14" s="1"/>
  <c r="W223" i="14" a="1"/>
  <c r="W223" i="14" s="1"/>
  <c r="W211" i="14" a="1"/>
  <c r="W211" i="14" s="1"/>
  <c r="W189" i="14" a="1"/>
  <c r="W189" i="14" s="1"/>
  <c r="W201" i="14" a="1"/>
  <c r="W201" i="14" s="1"/>
  <c r="W184" i="14" a="1"/>
  <c r="W184" i="14" s="1"/>
  <c r="W163" i="14" a="1"/>
  <c r="W163" i="14" s="1"/>
  <c r="W172" i="14" a="1"/>
  <c r="W172" i="14" s="1"/>
  <c r="W168" i="14" a="1"/>
  <c r="W168" i="14" s="1"/>
  <c r="W158" i="14" a="1"/>
  <c r="W158" i="14" s="1"/>
  <c r="W125" i="14" a="1"/>
  <c r="W125" i="14" s="1"/>
  <c r="W137" i="14" a="1"/>
  <c r="W137" i="14" s="1"/>
  <c r="W188" i="14" a="1"/>
  <c r="W188" i="14" s="1"/>
  <c r="W152" i="14" a="1"/>
  <c r="W152" i="14" s="1"/>
  <c r="W434" i="14" a="1"/>
  <c r="W434" i="14" s="1"/>
  <c r="W433" i="14" a="1"/>
  <c r="W433" i="14" s="1"/>
  <c r="W423" i="14" a="1"/>
  <c r="W423" i="14" s="1"/>
  <c r="W429" i="14" a="1"/>
  <c r="W429" i="14" s="1"/>
  <c r="W400" i="14" a="1"/>
  <c r="W400" i="14" s="1"/>
  <c r="W397" i="14" a="1"/>
  <c r="W397" i="14" s="1"/>
  <c r="W409" i="14" a="1"/>
  <c r="W409" i="14" s="1"/>
  <c r="W392" i="14" a="1"/>
  <c r="W392" i="14" s="1"/>
  <c r="W390" i="14" a="1"/>
  <c r="W390" i="14" s="1"/>
  <c r="W368" i="14" a="1"/>
  <c r="W368" i="14" s="1"/>
  <c r="W329" i="14" a="1"/>
  <c r="W329" i="14" s="1"/>
  <c r="W341" i="14" a="1"/>
  <c r="W341" i="14" s="1"/>
  <c r="W349" i="14" a="1"/>
  <c r="W349" i="14" s="1"/>
  <c r="W305" i="14" a="1"/>
  <c r="W305" i="14" s="1"/>
  <c r="W336" i="14" a="1"/>
  <c r="W336" i="14" s="1"/>
  <c r="W307" i="14" a="1"/>
  <c r="W307" i="14" s="1"/>
  <c r="W292" i="14" a="1"/>
  <c r="W292" i="14" s="1"/>
  <c r="W303" i="14" a="1"/>
  <c r="W303" i="14" s="1"/>
  <c r="W296" i="14" a="1"/>
  <c r="W296" i="14" s="1"/>
  <c r="W272" i="14" a="1"/>
  <c r="W272" i="14" s="1"/>
  <c r="W287" i="14" a="1"/>
  <c r="W287" i="14" s="1"/>
  <c r="W281" i="14" a="1"/>
  <c r="W281" i="14" s="1"/>
  <c r="W285" i="14" a="1"/>
  <c r="W285" i="14" s="1"/>
  <c r="W282" i="14" a="1"/>
  <c r="W282" i="14" s="1"/>
  <c r="W231" i="14" a="1"/>
  <c r="W231" i="14" s="1"/>
  <c r="W244" i="14" a="1"/>
  <c r="W244" i="14" s="1"/>
  <c r="W234" i="14" a="1"/>
  <c r="W234" i="14" s="1"/>
  <c r="W193" i="14" a="1"/>
  <c r="W193" i="14" s="1"/>
  <c r="W219" i="14" a="1"/>
  <c r="W219" i="14" s="1"/>
  <c r="W198" i="14" a="1"/>
  <c r="W198" i="14" s="1"/>
  <c r="W260" i="14" a="1"/>
  <c r="W260" i="14" s="1"/>
  <c r="W199" i="14" a="1"/>
  <c r="W199" i="14" s="1"/>
  <c r="W182" i="14" a="1"/>
  <c r="W182" i="14" s="1"/>
  <c r="W176" i="14" a="1"/>
  <c r="W176" i="14" s="1"/>
  <c r="W170" i="14" a="1"/>
  <c r="W170" i="14" s="1"/>
  <c r="W166" i="14" a="1"/>
  <c r="W166" i="14" s="1"/>
  <c r="W145" i="14" a="1"/>
  <c r="W145" i="14" s="1"/>
  <c r="W126" i="14" a="1"/>
  <c r="W126" i="14" s="1"/>
  <c r="W139" i="14" a="1"/>
  <c r="W139" i="14" s="1"/>
  <c r="W124" i="14" a="1"/>
  <c r="W124" i="14" s="1"/>
  <c r="W424" i="14" a="1"/>
  <c r="W424" i="14" s="1"/>
  <c r="W430" i="14" a="1"/>
  <c r="W430" i="14" s="1"/>
  <c r="W410" i="14" a="1"/>
  <c r="W410" i="14" s="1"/>
  <c r="W426" i="14" a="1"/>
  <c r="W426" i="14" s="1"/>
  <c r="W396" i="14" a="1"/>
  <c r="W396" i="14" s="1"/>
  <c r="W393" i="14" a="1"/>
  <c r="W393" i="14" s="1"/>
  <c r="W422" i="14" a="1"/>
  <c r="W422" i="14" s="1"/>
  <c r="W385" i="14" a="1"/>
  <c r="W385" i="14" s="1"/>
  <c r="W384" i="14" a="1"/>
  <c r="W384" i="14" s="1"/>
  <c r="W364" i="14" a="1"/>
  <c r="W364" i="14" s="1"/>
  <c r="W313" i="14" a="1"/>
  <c r="W313" i="14" s="1"/>
  <c r="W325" i="14" a="1"/>
  <c r="W325" i="14" s="1"/>
  <c r="W356" i="14" a="1"/>
  <c r="W356" i="14" s="1"/>
  <c r="W363" i="14" a="1"/>
  <c r="W363" i="14" s="1"/>
  <c r="W331" i="14" a="1"/>
  <c r="W331" i="14" s="1"/>
  <c r="W304" i="14" a="1"/>
  <c r="W304" i="14" s="1"/>
  <c r="W288" i="14" a="1"/>
  <c r="W288" i="14" s="1"/>
  <c r="W300" i="14" a="1"/>
  <c r="W300" i="14" s="1"/>
  <c r="W334" i="14" a="1"/>
  <c r="W334" i="14" s="1"/>
  <c r="W258" i="14" a="1"/>
  <c r="W258" i="14" s="1"/>
  <c r="W273" i="14" a="1"/>
  <c r="W273" i="14" s="1"/>
  <c r="W274" i="14" a="1"/>
  <c r="W274" i="14" s="1"/>
  <c r="W275" i="14" a="1"/>
  <c r="W275" i="14" s="1"/>
  <c r="W276" i="14" a="1"/>
  <c r="W276" i="14" s="1"/>
  <c r="W229" i="14" a="1"/>
  <c r="W229" i="14" s="1"/>
  <c r="W227" i="14" a="1"/>
  <c r="W227" i="14" s="1"/>
  <c r="W222" i="14" a="1"/>
  <c r="W222" i="14" s="1"/>
  <c r="W191" i="14" a="1"/>
  <c r="W191" i="14" s="1"/>
  <c r="W217" i="14" a="1"/>
  <c r="W217" i="14" s="1"/>
  <c r="W196" i="14" a="1"/>
  <c r="W196" i="14" s="1"/>
  <c r="W205" i="14" a="1"/>
  <c r="W205" i="14" s="1"/>
  <c r="W190" i="14" a="1"/>
  <c r="W190" i="14" s="1"/>
  <c r="W169" i="14" a="1"/>
  <c r="W169" i="14" s="1"/>
  <c r="W174" i="14" a="1"/>
  <c r="W174" i="14" s="1"/>
  <c r="W157" i="14" a="1"/>
  <c r="W157" i="14" s="1"/>
  <c r="W153" i="14" a="1"/>
  <c r="W153" i="14" s="1"/>
  <c r="W143" i="14" a="1"/>
  <c r="W143" i="14" s="1"/>
  <c r="W138" i="14" a="1"/>
  <c r="W138" i="14" s="1"/>
  <c r="W141" i="14" a="1"/>
  <c r="W141" i="14" s="1"/>
  <c r="W150" i="14" a="1"/>
  <c r="W150" i="14" s="1"/>
  <c r="W421" i="14" a="1"/>
  <c r="W421" i="14" s="1"/>
  <c r="W420" i="14" a="1"/>
  <c r="W420" i="14" s="1"/>
  <c r="W407" i="14" a="1"/>
  <c r="W407" i="14" s="1"/>
  <c r="W416" i="14" a="1"/>
  <c r="W416" i="14" s="1"/>
  <c r="W431" i="14" a="1"/>
  <c r="W431" i="14" s="1"/>
  <c r="W391" i="14" a="1"/>
  <c r="W391" i="14" s="1"/>
  <c r="W386" i="14" a="1"/>
  <c r="W386" i="14" s="1"/>
  <c r="W382" i="14" a="1"/>
  <c r="W382" i="14" s="1"/>
  <c r="W376" i="14" a="1"/>
  <c r="W376" i="14" s="1"/>
  <c r="W359" i="14" a="1"/>
  <c r="W359" i="14" s="1"/>
  <c r="W365" i="14" a="1"/>
  <c r="W365" i="14" s="1"/>
  <c r="W362" i="14" a="1"/>
  <c r="W362" i="14" s="1"/>
  <c r="W347" i="14" a="1"/>
  <c r="W347" i="14" s="1"/>
  <c r="W320" i="14" a="1"/>
  <c r="W320" i="14" s="1"/>
  <c r="W318" i="14" a="1"/>
  <c r="W318" i="14" s="1"/>
  <c r="W338" i="14" a="1"/>
  <c r="W338" i="14" s="1"/>
  <c r="W284" i="14" a="1"/>
  <c r="W284" i="14" s="1"/>
  <c r="W379" i="14" a="1"/>
  <c r="W379" i="14" s="1"/>
  <c r="W294" i="14" a="1"/>
  <c r="W294" i="14" s="1"/>
  <c r="W257" i="14" a="1"/>
  <c r="W257" i="14" s="1"/>
  <c r="W256" i="14" a="1"/>
  <c r="W256" i="14" s="1"/>
  <c r="W266" i="14" a="1"/>
  <c r="W266" i="14" s="1"/>
  <c r="W267" i="14" a="1"/>
  <c r="W267" i="14" s="1"/>
  <c r="W268" i="14" a="1"/>
  <c r="W268" i="14" s="1"/>
  <c r="W290" i="14" a="1"/>
  <c r="W290" i="14" s="1"/>
  <c r="W225" i="14" a="1"/>
  <c r="W225" i="14" s="1"/>
  <c r="W283" i="14" a="1"/>
  <c r="W283" i="14" s="1"/>
  <c r="W187" i="14" a="1"/>
  <c r="W187" i="14" s="1"/>
  <c r="W215" i="14" a="1"/>
  <c r="W215" i="14" s="1"/>
  <c r="W278" i="14" a="1"/>
  <c r="W278" i="14" s="1"/>
  <c r="W203" i="14" a="1"/>
  <c r="W203" i="14" s="1"/>
  <c r="W186" i="14" a="1"/>
  <c r="W186" i="14" s="1"/>
  <c r="W167" i="14" a="1"/>
  <c r="W167" i="14" s="1"/>
  <c r="W161" i="14" a="1"/>
  <c r="W161" i="14" s="1"/>
  <c r="W155" i="14" a="1"/>
  <c r="W155" i="14" s="1"/>
  <c r="W151" i="14" a="1"/>
  <c r="W151" i="14" s="1"/>
  <c r="W146" i="14" a="1"/>
  <c r="W146" i="14" s="1"/>
  <c r="W162" i="14" a="1"/>
  <c r="W162" i="14" s="1"/>
  <c r="W418" i="14" a="1"/>
  <c r="W418" i="14" s="1"/>
  <c r="W417" i="14" a="1"/>
  <c r="W417" i="14" s="1"/>
  <c r="W403" i="14" a="1"/>
  <c r="W403" i="14" s="1"/>
  <c r="W439" i="14" a="1"/>
  <c r="W439" i="14" s="1"/>
  <c r="W413" i="14" a="1"/>
  <c r="W413" i="14" s="1"/>
  <c r="W389" i="14" a="1"/>
  <c r="W389" i="14" s="1"/>
  <c r="W388" i="14" a="1"/>
  <c r="W388" i="14" s="1"/>
  <c r="W369" i="14" a="1"/>
  <c r="W369" i="14" s="1"/>
  <c r="W374" i="14" a="1"/>
  <c r="W374" i="14" s="1"/>
  <c r="W358" i="14" a="1"/>
  <c r="W358" i="14" s="1"/>
  <c r="W354" i="14" a="1"/>
  <c r="W354" i="14" s="1"/>
  <c r="W350" i="14" a="1"/>
  <c r="W350" i="14" s="1"/>
  <c r="W344" i="14" a="1"/>
  <c r="W344" i="14" s="1"/>
  <c r="W319" i="14" a="1"/>
  <c r="W319" i="14" s="1"/>
  <c r="W312" i="14" a="1"/>
  <c r="W312" i="14" s="1"/>
  <c r="W332" i="14" a="1"/>
  <c r="W332" i="14" s="1"/>
  <c r="W346" i="14" a="1"/>
  <c r="W346" i="14" s="1"/>
  <c r="W340" i="14" a="1"/>
  <c r="W340" i="14" s="1"/>
  <c r="W315" i="14" a="1"/>
  <c r="W315" i="14" s="1"/>
  <c r="W247" i="14" a="1"/>
  <c r="W247" i="14" s="1"/>
  <c r="W246" i="14" a="1"/>
  <c r="W246" i="14" s="1"/>
  <c r="W265" i="14" a="1"/>
  <c r="W265" i="14" s="1"/>
  <c r="W264" i="14" a="1"/>
  <c r="W264" i="14" s="1"/>
  <c r="W263" i="14" a="1"/>
  <c r="W263" i="14" s="1"/>
  <c r="W277" i="14" a="1"/>
  <c r="W277" i="14" s="1"/>
  <c r="W279" i="14" a="1"/>
  <c r="W279" i="14" s="1"/>
  <c r="W250" i="14" a="1"/>
  <c r="W250" i="14" s="1"/>
  <c r="W249" i="14" a="1"/>
  <c r="W249" i="14" s="1"/>
  <c r="W202" i="14" a="1"/>
  <c r="W202" i="14" s="1"/>
  <c r="W209" i="14" a="1"/>
  <c r="W209" i="14" s="1"/>
  <c r="W286" i="14" a="1"/>
  <c r="W286" i="14" s="1"/>
  <c r="W173" i="14" a="1"/>
  <c r="W173" i="14" s="1"/>
  <c r="W214" i="14" a="1"/>
  <c r="W214" i="14" s="1"/>
  <c r="W159" i="14" a="1"/>
  <c r="W159" i="14" s="1"/>
  <c r="W140" i="14" a="1"/>
  <c r="W140" i="14" s="1"/>
  <c r="W195" i="14" a="1"/>
  <c r="W195" i="14" s="1"/>
  <c r="W122" i="14" a="1"/>
  <c r="W122" i="14" s="1"/>
  <c r="W129" i="14" a="1"/>
  <c r="W129" i="14" s="1"/>
  <c r="W148" i="14" a="1"/>
  <c r="W148" i="14" s="1"/>
  <c r="W130" i="14" a="1"/>
  <c r="W130" i="14" s="1"/>
  <c r="W427" i="14" a="1"/>
  <c r="W427" i="14" s="1"/>
  <c r="W414" i="14" a="1"/>
  <c r="W414" i="14" s="1"/>
  <c r="W399" i="14" a="1"/>
  <c r="W399" i="14" s="1"/>
  <c r="W435" i="14" a="1"/>
  <c r="W435" i="14" s="1"/>
  <c r="W398" i="14" a="1"/>
  <c r="W398" i="14" s="1"/>
  <c r="W438" i="14" a="1"/>
  <c r="W438" i="14" s="1"/>
  <c r="W373" i="14" a="1"/>
  <c r="W373" i="14" s="1"/>
  <c r="W367" i="14" a="1"/>
  <c r="W367" i="14" s="1"/>
  <c r="W361" i="14" a="1"/>
  <c r="W361" i="14" s="1"/>
  <c r="W355" i="14" a="1"/>
  <c r="W355" i="14" s="1"/>
  <c r="W351" i="14" a="1"/>
  <c r="W351" i="14" s="1"/>
  <c r="W381" i="14" a="1"/>
  <c r="W381" i="14" s="1"/>
  <c r="W335" i="14" a="1"/>
  <c r="W335" i="14" s="1"/>
  <c r="W308" i="14" a="1"/>
  <c r="W308" i="14" s="1"/>
  <c r="W301" i="14" a="1"/>
  <c r="W301" i="14" s="1"/>
  <c r="W327" i="14" a="1"/>
  <c r="W327" i="14" s="1"/>
  <c r="W343" i="14" a="1"/>
  <c r="W343" i="14" s="1"/>
  <c r="W322" i="14" a="1"/>
  <c r="W322" i="14" s="1"/>
  <c r="W280" i="14" a="1"/>
  <c r="W280" i="14" s="1"/>
  <c r="W243" i="14" a="1"/>
  <c r="W243" i="14" s="1"/>
  <c r="W236" i="14" a="1"/>
  <c r="W236" i="14" s="1"/>
  <c r="W255" i="14" a="1"/>
  <c r="W255" i="14" s="1"/>
  <c r="W254" i="14" a="1"/>
  <c r="W254" i="14" s="1"/>
  <c r="W252" i="14" a="1"/>
  <c r="W252" i="14" s="1"/>
  <c r="W269" i="14" a="1"/>
  <c r="W269" i="14" s="1"/>
  <c r="W271" i="14" a="1"/>
  <c r="W271" i="14" s="1"/>
  <c r="W237" i="14" a="1"/>
  <c r="W237" i="14" s="1"/>
  <c r="W206" i="14" a="1"/>
  <c r="W206" i="14" s="1"/>
  <c r="W200" i="14" a="1"/>
  <c r="W200" i="14" s="1"/>
  <c r="W207" i="14" a="1"/>
  <c r="W207" i="14" s="1"/>
  <c r="W221" i="14" a="1"/>
  <c r="W221" i="14" s="1"/>
  <c r="W171" i="14" a="1"/>
  <c r="W171" i="14" s="1"/>
  <c r="W180" i="14" a="1"/>
  <c r="W180" i="14" s="1"/>
  <c r="W144" i="14" a="1"/>
  <c r="W144" i="14" s="1"/>
  <c r="W212" i="14" a="1"/>
  <c r="W212" i="14" s="1"/>
  <c r="W177" i="14" a="1"/>
  <c r="W177" i="14" s="1"/>
  <c r="W181" i="14" a="1"/>
  <c r="W181" i="14" s="1"/>
  <c r="W402" i="14" a="1"/>
  <c r="W402" i="14" s="1"/>
  <c r="W442" i="14" a="1"/>
  <c r="W442" i="14" s="1"/>
  <c r="W440" i="14" a="1"/>
  <c r="W440" i="14" s="1"/>
  <c r="W408" i="14" a="1"/>
  <c r="W408" i="14" s="1"/>
  <c r="W411" i="14" a="1"/>
  <c r="W411" i="14" s="1"/>
  <c r="W387" i="14" a="1"/>
  <c r="W387" i="14" s="1"/>
  <c r="W360" i="14" a="1"/>
  <c r="W360" i="14" s="1"/>
  <c r="W378" i="14" a="1"/>
  <c r="W378" i="14" s="1"/>
  <c r="W370" i="14" a="1"/>
  <c r="W370" i="14" s="1"/>
  <c r="W375" i="14" a="1"/>
  <c r="W375" i="14" s="1"/>
  <c r="W366" i="14" a="1"/>
  <c r="W366" i="14" s="1"/>
  <c r="W337" i="14" a="1"/>
  <c r="W337" i="14" s="1"/>
  <c r="W324" i="14" a="1"/>
  <c r="W324" i="14" s="1"/>
  <c r="W295" i="14" a="1"/>
  <c r="W295" i="14" s="1"/>
  <c r="W326" i="14" a="1"/>
  <c r="W326" i="14" s="1"/>
  <c r="W310" i="14" a="1"/>
  <c r="W310" i="14" s="1"/>
  <c r="W316" i="14" a="1"/>
  <c r="W316" i="14" s="1"/>
  <c r="W302" i="14" a="1"/>
  <c r="W302" i="14" s="1"/>
  <c r="W328" i="14" a="1"/>
  <c r="W328" i="14" s="1"/>
  <c r="W230" i="14" a="1"/>
  <c r="W230" i="14" s="1"/>
  <c r="W226" i="14" a="1"/>
  <c r="W226" i="14" s="1"/>
  <c r="W242" i="14" a="1"/>
  <c r="W242" i="14" s="1"/>
  <c r="W233" i="14" a="1"/>
  <c r="W233" i="14" s="1"/>
  <c r="W238" i="14" a="1"/>
  <c r="W238" i="14" s="1"/>
  <c r="W261" i="14" a="1"/>
  <c r="W261" i="14" s="1"/>
  <c r="W248" i="14" a="1"/>
  <c r="W248" i="14" s="1"/>
  <c r="W210" i="14" a="1"/>
  <c r="W210" i="14" s="1"/>
  <c r="W224" i="14" a="1"/>
  <c r="W224" i="14" s="1"/>
  <c r="W213" i="14" a="1"/>
  <c r="W213" i="14" s="1"/>
  <c r="W192" i="14" a="1"/>
  <c r="W192" i="14" s="1"/>
  <c r="W216" i="14" a="1"/>
  <c r="W216" i="14" s="1"/>
  <c r="W154" i="14" a="1"/>
  <c r="W154" i="14" s="1"/>
  <c r="W165" i="14" a="1"/>
  <c r="W165" i="14" s="1"/>
  <c r="W197" i="14" a="1"/>
  <c r="W197" i="14" s="1"/>
  <c r="W183" i="14" a="1"/>
  <c r="W183" i="14" s="1"/>
  <c r="W160" i="14" a="1"/>
  <c r="W160" i="14" s="1"/>
  <c r="W133" i="14" a="1"/>
  <c r="W133" i="14" s="1"/>
  <c r="W135" i="14" a="1"/>
  <c r="W135" i="14" s="1"/>
  <c r="U183" i="14" a="1"/>
  <c r="U183" i="14" s="1"/>
  <c r="U212" i="14" a="1"/>
  <c r="U212" i="14" s="1"/>
  <c r="U252" i="14" a="1"/>
  <c r="U252" i="14" s="1"/>
  <c r="U249" i="14" a="1"/>
  <c r="U249" i="14" s="1"/>
  <c r="U342" i="14" a="1"/>
  <c r="U342" i="14" s="1"/>
  <c r="W179" i="14" a="1"/>
  <c r="W179" i="14" s="1"/>
  <c r="U125" i="14" a="1"/>
  <c r="U125" i="14" s="1"/>
  <c r="U157" i="14" a="1"/>
  <c r="U157" i="14" s="1"/>
  <c r="U180" i="14" a="1"/>
  <c r="U180" i="14" s="1"/>
  <c r="U141" i="14" a="1"/>
  <c r="U141" i="14" s="1"/>
  <c r="U179" i="14" a="1"/>
  <c r="U179" i="14" s="1"/>
  <c r="U168" i="14" a="1"/>
  <c r="U168" i="14" s="1"/>
  <c r="U222" i="14" a="1"/>
  <c r="U222" i="14" s="1"/>
  <c r="U187" i="14" a="1"/>
  <c r="U187" i="14" s="1"/>
  <c r="U190" i="14" a="1"/>
  <c r="U190" i="14" s="1"/>
  <c r="U264" i="14" a="1"/>
  <c r="U264" i="14" s="1"/>
  <c r="U224" i="14" a="1"/>
  <c r="U224" i="14" s="1"/>
  <c r="U223" i="14" a="1"/>
  <c r="U223" i="14" s="1"/>
  <c r="U236" i="14" a="1"/>
  <c r="U236" i="14" s="1"/>
  <c r="U246" i="14" a="1"/>
  <c r="U246" i="14" s="1"/>
  <c r="U272" i="14" a="1"/>
  <c r="U272" i="14" s="1"/>
  <c r="U271" i="14" a="1"/>
  <c r="U271" i="14" s="1"/>
  <c r="U278" i="14" a="1"/>
  <c r="U278" i="14" s="1"/>
  <c r="U328" i="14" a="1"/>
  <c r="U328" i="14" s="1"/>
  <c r="U337" i="14" a="1"/>
  <c r="U337" i="14" s="1"/>
  <c r="U305" i="14" a="1"/>
  <c r="U305" i="14" s="1"/>
  <c r="U334" i="14" a="1"/>
  <c r="U334" i="14" s="1"/>
  <c r="U439" i="14" a="1"/>
  <c r="U439" i="14" s="1"/>
  <c r="U409" i="14" a="1"/>
  <c r="U409" i="14" s="1"/>
  <c r="U134" i="14" a="1"/>
  <c r="U134" i="14" s="1"/>
  <c r="W131" i="14" a="1"/>
  <c r="W131" i="14" s="1"/>
  <c r="W156" i="14" a="1"/>
  <c r="W156" i="14" s="1"/>
  <c r="W241" i="14" a="1"/>
  <c r="W241" i="14" s="1"/>
  <c r="W317" i="14" a="1"/>
  <c r="W317" i="14" s="1"/>
  <c r="W380" i="14" a="1"/>
  <c r="W380" i="14" s="1"/>
  <c r="U150" i="14" a="1"/>
  <c r="U150" i="14" s="1"/>
  <c r="U253" i="14" a="1"/>
  <c r="U253" i="14" s="1"/>
  <c r="U267" i="14" a="1"/>
  <c r="U267" i="14" s="1"/>
  <c r="U250" i="14" a="1"/>
  <c r="U250" i="14" s="1"/>
  <c r="U324" i="14" a="1"/>
  <c r="U324" i="14" s="1"/>
  <c r="W425" i="14" a="1"/>
  <c r="W425" i="14" s="1"/>
  <c r="W132" i="14" a="1"/>
  <c r="W132" i="14" s="1"/>
  <c r="U159" i="14" a="1"/>
  <c r="U159" i="14" s="1"/>
  <c r="U139" i="14" a="1"/>
  <c r="U139" i="14" s="1"/>
  <c r="U143" i="14" a="1"/>
  <c r="U143" i="14" s="1"/>
  <c r="U209" i="14" a="1"/>
  <c r="U209" i="14" s="1"/>
  <c r="U170" i="14" a="1"/>
  <c r="U170" i="14" s="1"/>
  <c r="U245" i="14" a="1"/>
  <c r="U245" i="14" s="1"/>
  <c r="U191" i="14" a="1"/>
  <c r="U191" i="14" s="1"/>
  <c r="U197" i="14" a="1"/>
  <c r="U197" i="14" s="1"/>
  <c r="U318" i="14" a="1"/>
  <c r="U318" i="14" s="1"/>
  <c r="U231" i="14" a="1"/>
  <c r="U231" i="14" s="1"/>
  <c r="U226" i="14" a="1"/>
  <c r="U226" i="14" s="1"/>
  <c r="U239" i="14" a="1"/>
  <c r="U239" i="14" s="1"/>
  <c r="U257" i="14" a="1"/>
  <c r="U257" i="14" s="1"/>
  <c r="U280" i="14" a="1"/>
  <c r="U280" i="14" s="1"/>
  <c r="U279" i="14" a="1"/>
  <c r="U279" i="14" s="1"/>
  <c r="U307" i="14" a="1"/>
  <c r="U307" i="14" s="1"/>
  <c r="U333" i="14" a="1"/>
  <c r="U333" i="14" s="1"/>
  <c r="U286" i="14" a="1"/>
  <c r="U286" i="14" s="1"/>
  <c r="U325" i="14" a="1"/>
  <c r="U325" i="14" s="1"/>
  <c r="U340" i="14" a="1"/>
  <c r="U340" i="14" s="1"/>
  <c r="U373" i="14" a="1"/>
  <c r="U373" i="14" s="1"/>
  <c r="U434" i="14" a="1"/>
  <c r="U434" i="14" s="1"/>
  <c r="W218" i="14" a="1"/>
  <c r="W218" i="14" s="1"/>
  <c r="W253" i="14" a="1"/>
  <c r="W253" i="14" s="1"/>
  <c r="W348" i="14" a="1"/>
  <c r="W348" i="14" s="1"/>
  <c r="W371" i="14" a="1"/>
  <c r="W371" i="14" s="1"/>
  <c r="U131" i="14" a="1"/>
  <c r="U131" i="14" s="1"/>
  <c r="U174" i="14" a="1"/>
  <c r="U174" i="14" s="1"/>
  <c r="U152" i="14" a="1"/>
  <c r="U152" i="14" s="1"/>
  <c r="U156" i="14" a="1"/>
  <c r="U156" i="14" s="1"/>
  <c r="U164" i="14" a="1"/>
  <c r="U164" i="14" s="1"/>
  <c r="U185" i="14" a="1"/>
  <c r="U185" i="14" s="1"/>
  <c r="U276" i="14" a="1"/>
  <c r="U276" i="14" s="1"/>
  <c r="U206" i="14" a="1"/>
  <c r="U206" i="14" s="1"/>
  <c r="U214" i="14" a="1"/>
  <c r="U214" i="14" s="1"/>
  <c r="U189" i="14" a="1"/>
  <c r="U189" i="14" s="1"/>
  <c r="U233" i="14" a="1"/>
  <c r="U233" i="14" s="1"/>
  <c r="U242" i="14" a="1"/>
  <c r="U242" i="14" s="1"/>
  <c r="U255" i="14" a="1"/>
  <c r="U255" i="14" s="1"/>
  <c r="U273" i="14" a="1"/>
  <c r="U273" i="14" s="1"/>
  <c r="U284" i="14" a="1"/>
  <c r="U284" i="14" s="1"/>
  <c r="U229" i="14" a="1"/>
  <c r="U229" i="14" s="1"/>
  <c r="U283" i="14" a="1"/>
  <c r="U283" i="14" s="1"/>
  <c r="U346" i="14" a="1"/>
  <c r="U346" i="14" s="1"/>
  <c r="U290" i="14" a="1"/>
  <c r="U290" i="14" s="1"/>
  <c r="U354" i="14" a="1"/>
  <c r="U354" i="14" s="1"/>
  <c r="U335" i="14" a="1"/>
  <c r="U335" i="14" s="1"/>
  <c r="U364" i="14" a="1"/>
  <c r="U364" i="14" s="1"/>
  <c r="U432" i="14" a="1"/>
  <c r="U432" i="14" s="1"/>
  <c r="W194" i="14" a="1"/>
  <c r="W194" i="14" s="1"/>
  <c r="W245" i="14" a="1"/>
  <c r="W245" i="14" s="1"/>
  <c r="W298" i="14" a="1"/>
  <c r="W298" i="14" s="1"/>
  <c r="W394" i="14" a="1"/>
  <c r="W394" i="14" s="1"/>
  <c r="U129" i="14" a="1"/>
  <c r="U129" i="14" s="1"/>
  <c r="W123" i="14" a="1"/>
  <c r="W123" i="14" s="1"/>
  <c r="U211" i="14" a="1"/>
  <c r="U211" i="14" s="1"/>
  <c r="U154" i="14" a="1"/>
  <c r="U154" i="14" s="1"/>
  <c r="U158" i="14" a="1"/>
  <c r="U158" i="14" s="1"/>
  <c r="U166" i="14" a="1"/>
  <c r="U166" i="14" s="1"/>
  <c r="U188" i="14" a="1"/>
  <c r="U188" i="14" s="1"/>
  <c r="U202" i="14" a="1"/>
  <c r="U202" i="14" s="1"/>
  <c r="U195" i="14" a="1"/>
  <c r="U195" i="14" s="1"/>
  <c r="U216" i="14" a="1"/>
  <c r="U216" i="14" s="1"/>
  <c r="U192" i="14" a="1"/>
  <c r="U192" i="14" s="1"/>
  <c r="U238" i="14" a="1"/>
  <c r="U238" i="14" s="1"/>
  <c r="U254" i="14" a="1"/>
  <c r="U254" i="14" s="1"/>
  <c r="U256" i="14" a="1"/>
  <c r="U256" i="14" s="1"/>
  <c r="U237" i="14" a="1"/>
  <c r="U237" i="14" s="1"/>
  <c r="U289" i="14" a="1"/>
  <c r="U289" i="14" s="1"/>
  <c r="U241" i="14" a="1"/>
  <c r="U241" i="14" s="1"/>
  <c r="U317" i="14" a="1"/>
  <c r="U317" i="14" s="1"/>
  <c r="U349" i="14" a="1"/>
  <c r="U349" i="14" s="1"/>
  <c r="U295" i="14" a="1"/>
  <c r="U295" i="14" s="1"/>
  <c r="U293" i="14" a="1"/>
  <c r="U293" i="14" s="1"/>
  <c r="U351" i="14" a="1"/>
  <c r="U351" i="14" s="1"/>
  <c r="U366" i="14" a="1"/>
  <c r="U366" i="14" s="1"/>
  <c r="U123" i="14" a="1"/>
  <c r="U123" i="14" s="1"/>
  <c r="W270" i="14" a="1"/>
  <c r="W270" i="14" s="1"/>
  <c r="W228" i="14" a="1"/>
  <c r="W228" i="14" s="1"/>
  <c r="W330" i="14" a="1"/>
  <c r="W330" i="14" s="1"/>
  <c r="W415" i="14" a="1"/>
  <c r="W415" i="14" s="1"/>
  <c r="S160" i="14" a="1"/>
  <c r="S160" i="14" s="1"/>
  <c r="S134" i="14" a="1"/>
  <c r="S134" i="14" s="1"/>
  <c r="V177" i="14" a="1"/>
  <c r="V177" i="14" s="1"/>
  <c r="V196" i="14" a="1"/>
  <c r="V196" i="14" s="1"/>
  <c r="V217" i="14" a="1"/>
  <c r="V217" i="14" s="1"/>
  <c r="V226" i="14" a="1"/>
  <c r="V226" i="14" s="1"/>
  <c r="V220" i="14" a="1"/>
  <c r="V220" i="14" s="1"/>
  <c r="V201" i="14" a="1"/>
  <c r="V201" i="14" s="1"/>
  <c r="V261" i="14" a="1"/>
  <c r="V261" i="14" s="1"/>
  <c r="V235" i="14" a="1"/>
  <c r="V235" i="14" s="1"/>
  <c r="V242" i="14" a="1"/>
  <c r="V242" i="14" s="1"/>
  <c r="V239" i="14" a="1"/>
  <c r="V239" i="14" s="1"/>
  <c r="V246" i="14" a="1"/>
  <c r="V246" i="14" s="1"/>
  <c r="V258" i="14" a="1"/>
  <c r="V258" i="14" s="1"/>
  <c r="V248" i="14" a="1"/>
  <c r="V248" i="14" s="1"/>
  <c r="V300" i="14" a="1"/>
  <c r="V300" i="14" s="1"/>
  <c r="V334" i="14" a="1"/>
  <c r="V334" i="14" s="1"/>
  <c r="V338" i="14" a="1"/>
  <c r="V338" i="14" s="1"/>
  <c r="V301" i="14" a="1"/>
  <c r="V301" i="14" s="1"/>
  <c r="V325" i="14" a="1"/>
  <c r="V325" i="14" s="1"/>
  <c r="V322" i="14" a="1"/>
  <c r="V322" i="14" s="1"/>
  <c r="V315" i="14" a="1"/>
  <c r="V315" i="14" s="1"/>
  <c r="V366" i="14" a="1"/>
  <c r="V366" i="14" s="1"/>
  <c r="V348" i="14" a="1"/>
  <c r="V348" i="14" s="1"/>
  <c r="V336" i="14" a="1"/>
  <c r="V336" i="14" s="1"/>
  <c r="V396" i="14" a="1"/>
  <c r="V396" i="14" s="1"/>
  <c r="V389" i="14" a="1"/>
  <c r="V389" i="14" s="1"/>
  <c r="V377" i="14" a="1"/>
  <c r="V377" i="14" s="1"/>
  <c r="V432" i="14" a="1"/>
  <c r="V432" i="14" s="1"/>
  <c r="V392" i="14" a="1"/>
  <c r="V392" i="14" s="1"/>
  <c r="V426" i="14" a="1"/>
  <c r="V426" i="14" s="1"/>
  <c r="V442" i="14" a="1"/>
  <c r="V442" i="14" s="1"/>
  <c r="V427" i="14" a="1"/>
  <c r="V427" i="14" s="1"/>
  <c r="V415" i="14" a="1"/>
  <c r="V415" i="14" s="1"/>
  <c r="V125" i="14" a="1"/>
  <c r="V125" i="14" s="1"/>
  <c r="V153" i="14" a="1"/>
  <c r="V153" i="14" s="1"/>
  <c r="V185" i="14" a="1"/>
  <c r="V185" i="14" s="1"/>
  <c r="V136" i="14" a="1"/>
  <c r="V136" i="14" s="1"/>
  <c r="V166" i="14" a="1"/>
  <c r="V166" i="14" s="1"/>
  <c r="V159" i="14" a="1"/>
  <c r="V159" i="14" s="1"/>
  <c r="V178" i="14" a="1"/>
  <c r="V178" i="14" s="1"/>
  <c r="V184" i="14" a="1"/>
  <c r="V184" i="14" s="1"/>
  <c r="V173" i="14" a="1"/>
  <c r="V173" i="14" s="1"/>
  <c r="V187" i="14" a="1"/>
  <c r="V187" i="14" s="1"/>
  <c r="V213" i="14" a="1"/>
  <c r="V213" i="14" s="1"/>
  <c r="V222" i="14" a="1"/>
  <c r="V222" i="14" s="1"/>
  <c r="V262" i="14" a="1"/>
  <c r="V262" i="14" s="1"/>
  <c r="V197" i="14" a="1"/>
  <c r="V197" i="14" s="1"/>
  <c r="V216" i="14" a="1"/>
  <c r="V216" i="14" s="1"/>
  <c r="V278" i="14" a="1"/>
  <c r="V278" i="14" s="1"/>
  <c r="V253" i="14" a="1"/>
  <c r="V253" i="14" s="1"/>
  <c r="V254" i="14" a="1"/>
  <c r="V254" i="14" s="1"/>
  <c r="V266" i="14" a="1"/>
  <c r="V266" i="14" s="1"/>
  <c r="V257" i="14" a="1"/>
  <c r="V257" i="14" s="1"/>
  <c r="V280" i="14" a="1"/>
  <c r="V280" i="14" s="1"/>
  <c r="V259" i="14" a="1"/>
  <c r="V259" i="14" s="1"/>
  <c r="V333" i="14" a="1"/>
  <c r="V333" i="14" s="1"/>
  <c r="V294" i="14" a="1"/>
  <c r="V294" i="14" s="1"/>
  <c r="V291" i="14" a="1"/>
  <c r="V291" i="14" s="1"/>
  <c r="V319" i="14" a="1"/>
  <c r="V319" i="14" s="1"/>
  <c r="V350" i="14" a="1"/>
  <c r="V350" i="14" s="1"/>
  <c r="V324" i="14" a="1"/>
  <c r="V324" i="14" s="1"/>
  <c r="V329" i="14" a="1"/>
  <c r="V329" i="14" s="1"/>
  <c r="V383" i="14" a="1"/>
  <c r="V383" i="14" s="1"/>
  <c r="V355" i="14" a="1"/>
  <c r="V355" i="14" s="1"/>
  <c r="V370" i="14" a="1"/>
  <c r="V370" i="14" s="1"/>
  <c r="V367" i="14" a="1"/>
  <c r="V367" i="14" s="1"/>
  <c r="V375" i="14" a="1"/>
  <c r="V375" i="14" s="1"/>
  <c r="V387" i="14" a="1"/>
  <c r="V387" i="14" s="1"/>
  <c r="V393" i="14" a="1"/>
  <c r="V393" i="14" s="1"/>
  <c r="V410" i="14" a="1"/>
  <c r="V410" i="14" s="1"/>
  <c r="V441" i="14" a="1"/>
  <c r="V441" i="14" s="1"/>
  <c r="V402" i="14" a="1"/>
  <c r="V402" i="14" s="1"/>
  <c r="V405" i="14" a="1"/>
  <c r="V405" i="14" s="1"/>
  <c r="V428" i="14" a="1"/>
  <c r="V428" i="14" s="1"/>
  <c r="S154" i="14" a="1"/>
  <c r="S154" i="14" s="1"/>
  <c r="S164" i="14" a="1"/>
  <c r="S164" i="14" s="1"/>
  <c r="S168" i="14" a="1"/>
  <c r="S168" i="14" s="1"/>
  <c r="S170" i="14" a="1"/>
  <c r="S170" i="14" s="1"/>
  <c r="S163" i="14" a="1"/>
  <c r="S163" i="14" s="1"/>
  <c r="S167" i="14" a="1"/>
  <c r="S167" i="14" s="1"/>
  <c r="S214" i="14" a="1"/>
  <c r="S214" i="14" s="1"/>
  <c r="S189" i="14" a="1"/>
  <c r="S189" i="14" s="1"/>
  <c r="S198" i="14" a="1"/>
  <c r="S198" i="14" s="1"/>
  <c r="S243" i="14" a="1"/>
  <c r="S243" i="14" s="1"/>
  <c r="S230" i="14" a="1"/>
  <c r="S230" i="14" s="1"/>
  <c r="S290" i="14" a="1"/>
  <c r="S290" i="14" s="1"/>
  <c r="S248" i="14" a="1"/>
  <c r="S248" i="14" s="1"/>
  <c r="S244" i="14" a="1"/>
  <c r="S244" i="14" s="1"/>
  <c r="S326" i="14" a="1"/>
  <c r="S326" i="14" s="1"/>
  <c r="S270" i="14" a="1"/>
  <c r="S270" i="14" s="1"/>
  <c r="S228" i="14" a="1"/>
  <c r="S228" i="14" s="1"/>
  <c r="S276" i="14" a="1"/>
  <c r="S276" i="14" s="1"/>
  <c r="S331" i="14" a="1"/>
  <c r="S331" i="14" s="1"/>
  <c r="S319" i="14" a="1"/>
  <c r="S319" i="14" s="1"/>
  <c r="S288" i="14" a="1"/>
  <c r="S288" i="14" s="1"/>
  <c r="S335" i="14" a="1"/>
  <c r="S335" i="14" s="1"/>
  <c r="S340" i="14" a="1"/>
  <c r="S340" i="14" s="1"/>
  <c r="S294" i="14" a="1"/>
  <c r="S294" i="14" s="1"/>
  <c r="S311" i="14" a="1"/>
  <c r="S311" i="14" s="1"/>
  <c r="S381" i="14" a="1"/>
  <c r="S381" i="14" s="1"/>
  <c r="S353" i="14" a="1"/>
  <c r="S353" i="14" s="1"/>
  <c r="S354" i="14" a="1"/>
  <c r="S354" i="14" s="1"/>
  <c r="S370" i="14" a="1"/>
  <c r="S370" i="14" s="1"/>
  <c r="S365" i="14" a="1"/>
  <c r="S365" i="14" s="1"/>
  <c r="S398" i="14" a="1"/>
  <c r="S398" i="14" s="1"/>
  <c r="S421" i="14" a="1"/>
  <c r="S421" i="14" s="1"/>
  <c r="S396" i="14" a="1"/>
  <c r="S396" i="14" s="1"/>
  <c r="S422" i="14" a="1"/>
  <c r="S422" i="14" s="1"/>
  <c r="S419" i="14" a="1"/>
  <c r="S419" i="14" s="1"/>
  <c r="S412" i="14" a="1"/>
  <c r="S412" i="14" s="1"/>
  <c r="S436" i="14" a="1"/>
  <c r="S436" i="14" s="1"/>
  <c r="S131" i="14" a="1"/>
  <c r="S131" i="14" s="1"/>
  <c r="V129" i="14" a="1"/>
  <c r="V129" i="14" s="1"/>
  <c r="V155" i="14" a="1"/>
  <c r="V155" i="14" s="1"/>
  <c r="V172" i="14" a="1"/>
  <c r="V172" i="14" s="1"/>
  <c r="V154" i="14" a="1"/>
  <c r="V154" i="14" s="1"/>
  <c r="V168" i="14" a="1"/>
  <c r="V168" i="14" s="1"/>
  <c r="V174" i="14" a="1"/>
  <c r="V174" i="14" s="1"/>
  <c r="V180" i="14" a="1"/>
  <c r="V180" i="14" s="1"/>
  <c r="V203" i="14" a="1"/>
  <c r="V203" i="14" s="1"/>
  <c r="V175" i="14" a="1"/>
  <c r="V175" i="14" s="1"/>
  <c r="V205" i="14" a="1"/>
  <c r="V205" i="14" s="1"/>
  <c r="V277" i="14" a="1"/>
  <c r="V277" i="14" s="1"/>
  <c r="V223" i="14" a="1"/>
  <c r="V223" i="14" s="1"/>
  <c r="V292" i="14" a="1"/>
  <c r="V292" i="14" s="1"/>
  <c r="V210" i="14" a="1"/>
  <c r="V210" i="14" s="1"/>
  <c r="V221" i="14" a="1"/>
  <c r="V221" i="14" s="1"/>
  <c r="V283" i="14" a="1"/>
  <c r="V283" i="14" s="1"/>
  <c r="V263" i="14" a="1"/>
  <c r="V263" i="14" s="1"/>
  <c r="V264" i="14" a="1"/>
  <c r="V264" i="14" s="1"/>
  <c r="V274" i="14" a="1"/>
  <c r="V274" i="14" s="1"/>
  <c r="V273" i="14" a="1"/>
  <c r="V273" i="14" s="1"/>
  <c r="V284" i="14" a="1"/>
  <c r="V284" i="14" s="1"/>
  <c r="V271" i="14" a="1"/>
  <c r="V271" i="14" s="1"/>
  <c r="V343" i="14" a="1"/>
  <c r="V343" i="14" s="1"/>
  <c r="V297" i="14" a="1"/>
  <c r="V297" i="14" s="1"/>
  <c r="V304" i="14" a="1"/>
  <c r="V304" i="14" s="1"/>
  <c r="V331" i="14" a="1"/>
  <c r="V331" i="14" s="1"/>
  <c r="V299" i="14" a="1"/>
  <c r="V299" i="14" s="1"/>
  <c r="V335" i="14" a="1"/>
  <c r="V335" i="14" s="1"/>
  <c r="V340" i="14" a="1"/>
  <c r="V340" i="14" s="1"/>
  <c r="V351" i="14" a="1"/>
  <c r="V351" i="14" s="1"/>
  <c r="V358" i="14" a="1"/>
  <c r="V358" i="14" s="1"/>
  <c r="V384" i="14" a="1"/>
  <c r="V384" i="14" s="1"/>
  <c r="V382" i="14" a="1"/>
  <c r="V382" i="14" s="1"/>
  <c r="V394" i="14" a="1"/>
  <c r="V394" i="14" s="1"/>
  <c r="V408" i="14" a="1"/>
  <c r="V408" i="14" s="1"/>
  <c r="V397" i="14" a="1"/>
  <c r="V397" i="14" s="1"/>
  <c r="V422" i="14" a="1"/>
  <c r="V422" i="14" s="1"/>
  <c r="V417" i="14" a="1"/>
  <c r="V417" i="14" s="1"/>
  <c r="V406" i="14" a="1"/>
  <c r="V406" i="14" s="1"/>
  <c r="V409" i="14" a="1"/>
  <c r="V409" i="14" s="1"/>
  <c r="V431" i="14" a="1"/>
  <c r="V431" i="14" s="1"/>
  <c r="S132" i="14" a="1"/>
  <c r="S132" i="14" s="1"/>
  <c r="S130" i="14" a="1"/>
  <c r="S130" i="14" s="1"/>
  <c r="S122" i="14" a="1"/>
  <c r="S122" i="14" s="1"/>
  <c r="V131" i="14" a="1"/>
  <c r="V131" i="14" s="1"/>
  <c r="V124" i="14" a="1"/>
  <c r="V124" i="14" s="1"/>
  <c r="V123" i="14" a="1"/>
  <c r="V123" i="14" s="1"/>
  <c r="V244" i="14" a="1"/>
  <c r="V244" i="14" s="1"/>
  <c r="V181" i="14" a="1"/>
  <c r="V181" i="14" s="1"/>
  <c r="V176" i="14" a="1"/>
  <c r="V176" i="14" s="1"/>
  <c r="V218" i="14" a="1"/>
  <c r="V218" i="14" s="1"/>
  <c r="V156" i="14" a="1"/>
  <c r="V156" i="14" s="1"/>
  <c r="V145" i="14" a="1"/>
  <c r="V145" i="14" s="1"/>
  <c r="V192" i="14" a="1"/>
  <c r="V192" i="14" s="1"/>
  <c r="V188" i="14" a="1"/>
  <c r="V188" i="14" s="1"/>
  <c r="V229" i="14" a="1"/>
  <c r="V229" i="14" s="1"/>
  <c r="V191" i="14" a="1"/>
  <c r="V191" i="14" s="1"/>
  <c r="V212" i="14" a="1"/>
  <c r="V212" i="14" s="1"/>
  <c r="V225" i="14" a="1"/>
  <c r="V225" i="14" s="1"/>
  <c r="V286" i="14" a="1"/>
  <c r="V286" i="14" s="1"/>
  <c r="V268" i="14" a="1"/>
  <c r="V268" i="14" s="1"/>
  <c r="V265" i="14" a="1"/>
  <c r="V265" i="14" s="1"/>
  <c r="V281" i="14" a="1"/>
  <c r="V281" i="14" s="1"/>
  <c r="V232" i="14" a="1"/>
  <c r="V232" i="14" s="1"/>
  <c r="V289" i="14" a="1"/>
  <c r="V289" i="14" s="1"/>
  <c r="V279" i="14" a="1"/>
  <c r="V279" i="14" s="1"/>
  <c r="V381" i="14" a="1"/>
  <c r="V381" i="14" s="1"/>
  <c r="V307" i="14" a="1"/>
  <c r="V307" i="14" s="1"/>
  <c r="V318" i="14" a="1"/>
  <c r="V318" i="14" s="1"/>
  <c r="V337" i="14" a="1"/>
  <c r="V337" i="14" s="1"/>
  <c r="V302" i="14" a="1"/>
  <c r="V302" i="14" s="1"/>
  <c r="V341" i="14" a="1"/>
  <c r="V341" i="14" s="1"/>
  <c r="V356" i="14" a="1"/>
  <c r="V356" i="14" s="1"/>
  <c r="V354" i="14" a="1"/>
  <c r="V354" i="14" s="1"/>
  <c r="V360" i="14" a="1"/>
  <c r="V360" i="14" s="1"/>
  <c r="V361" i="14" a="1"/>
  <c r="V361" i="14" s="1"/>
  <c r="V416" i="14" a="1"/>
  <c r="V416" i="14" s="1"/>
  <c r="V419" i="14" a="1"/>
  <c r="V419" i="14" s="1"/>
  <c r="V412" i="14" a="1"/>
  <c r="V412" i="14" s="1"/>
  <c r="V439" i="14" a="1"/>
  <c r="V439" i="14" s="1"/>
  <c r="V395" i="14" a="1"/>
  <c r="V395" i="14" s="1"/>
  <c r="V420" i="14" a="1"/>
  <c r="V420" i="14" s="1"/>
  <c r="V414" i="14" a="1"/>
  <c r="V414" i="14" s="1"/>
  <c r="V418" i="14" a="1"/>
  <c r="V418" i="14" s="1"/>
  <c r="V170" i="14" a="1"/>
  <c r="V170" i="14" s="1"/>
  <c r="V128" i="14" a="1"/>
  <c r="V128" i="14" s="1"/>
  <c r="V127" i="14" a="1"/>
  <c r="V127" i="14" s="1"/>
  <c r="V122" i="14" a="1"/>
  <c r="V122" i="14" s="1"/>
  <c r="V183" i="14" a="1"/>
  <c r="V183" i="14" s="1"/>
  <c r="V251" i="14" a="1"/>
  <c r="V251" i="14" s="1"/>
  <c r="V150" i="14" a="1"/>
  <c r="V150" i="14" s="1"/>
  <c r="V169" i="14" a="1"/>
  <c r="V169" i="14" s="1"/>
  <c r="V147" i="14" a="1"/>
  <c r="V147" i="14" s="1"/>
  <c r="V207" i="14" a="1"/>
  <c r="V207" i="14" s="1"/>
  <c r="V198" i="14" a="1"/>
  <c r="V198" i="14" s="1"/>
  <c r="V269" i="14" a="1"/>
  <c r="V269" i="14" s="1"/>
  <c r="V193" i="14" a="1"/>
  <c r="V193" i="14" s="1"/>
  <c r="V231" i="14" a="1"/>
  <c r="V231" i="14" s="1"/>
  <c r="V227" i="14" a="1"/>
  <c r="V227" i="14" s="1"/>
  <c r="V316" i="14" a="1"/>
  <c r="V316" i="14" s="1"/>
  <c r="V276" i="14" a="1"/>
  <c r="V276" i="14" s="1"/>
  <c r="V267" i="14" a="1"/>
  <c r="V267" i="14" s="1"/>
  <c r="V228" i="14" a="1"/>
  <c r="V228" i="14" s="1"/>
  <c r="V234" i="14" a="1"/>
  <c r="V234" i="14" s="1"/>
  <c r="V346" i="14" a="1"/>
  <c r="V346" i="14" s="1"/>
  <c r="V295" i="14" a="1"/>
  <c r="V295" i="14" s="1"/>
  <c r="V303" i="14" a="1"/>
  <c r="V303" i="14" s="1"/>
  <c r="V310" i="14" a="1"/>
  <c r="V310" i="14" s="1"/>
  <c r="V326" i="14" a="1"/>
  <c r="V326" i="14" s="1"/>
  <c r="V342" i="14" a="1"/>
  <c r="V342" i="14" s="1"/>
  <c r="V305" i="14" a="1"/>
  <c r="V305" i="14" s="1"/>
  <c r="V347" i="14" a="1"/>
  <c r="V347" i="14" s="1"/>
  <c r="V372" i="14" a="1"/>
  <c r="V372" i="14" s="1"/>
  <c r="V357" i="14" a="1"/>
  <c r="V357" i="14" s="1"/>
  <c r="V368" i="14" a="1"/>
  <c r="V368" i="14" s="1"/>
  <c r="V363" i="14" a="1"/>
  <c r="V363" i="14" s="1"/>
  <c r="V369" i="14" a="1"/>
  <c r="V369" i="14" s="1"/>
  <c r="V359" i="14" a="1"/>
  <c r="V359" i="14" s="1"/>
  <c r="V438" i="14" a="1"/>
  <c r="V438" i="14" s="1"/>
  <c r="V404" i="14" a="1"/>
  <c r="V404" i="14" s="1"/>
  <c r="V399" i="14" a="1"/>
  <c r="V399" i="14" s="1"/>
  <c r="V423" i="14" a="1"/>
  <c r="V423" i="14" s="1"/>
  <c r="V430" i="14" a="1"/>
  <c r="V430" i="14" s="1"/>
  <c r="V434" i="14" a="1"/>
  <c r="V434" i="14" s="1"/>
  <c r="V133" i="14" a="1"/>
  <c r="V133" i="14" s="1"/>
  <c r="V137" i="14" a="1"/>
  <c r="V137" i="14" s="1"/>
  <c r="V130" i="14" a="1"/>
  <c r="V130" i="14" s="1"/>
  <c r="V126" i="14" a="1"/>
  <c r="V126" i="14" s="1"/>
  <c r="V189" i="14" a="1"/>
  <c r="V189" i="14" s="1"/>
  <c r="V146" i="14" a="1"/>
  <c r="V146" i="14" s="1"/>
  <c r="V152" i="14" a="1"/>
  <c r="V152" i="14" s="1"/>
  <c r="V171" i="14" a="1"/>
  <c r="V171" i="14" s="1"/>
  <c r="V162" i="14" a="1"/>
  <c r="V162" i="14" s="1"/>
  <c r="V209" i="14" a="1"/>
  <c r="V209" i="14" s="1"/>
  <c r="V200" i="14" a="1"/>
  <c r="V200" i="14" s="1"/>
  <c r="V202" i="14" a="1"/>
  <c r="V202" i="14" s="1"/>
  <c r="V206" i="14" a="1"/>
  <c r="V206" i="14" s="1"/>
  <c r="V190" i="14" a="1"/>
  <c r="V190" i="14" s="1"/>
  <c r="V250" i="14" a="1"/>
  <c r="V250" i="14" s="1"/>
  <c r="V224" i="14" a="1"/>
  <c r="V224" i="14" s="1"/>
  <c r="V282" i="14" a="1"/>
  <c r="V282" i="14" s="1"/>
  <c r="V275" i="14" a="1"/>
  <c r="V275" i="14" s="1"/>
  <c r="V230" i="14" a="1"/>
  <c r="V230" i="14" s="1"/>
  <c r="V243" i="14" a="1"/>
  <c r="V243" i="14" s="1"/>
  <c r="V237" i="14" a="1"/>
  <c r="V237" i="14" s="1"/>
  <c r="V327" i="14" a="1"/>
  <c r="V327" i="14" s="1"/>
  <c r="V306" i="14" a="1"/>
  <c r="V306" i="14" s="1"/>
  <c r="V311" i="14" a="1"/>
  <c r="V311" i="14" s="1"/>
  <c r="V353" i="14" a="1"/>
  <c r="V353" i="14" s="1"/>
  <c r="V345" i="14" a="1"/>
  <c r="V345" i="14" s="1"/>
  <c r="V313" i="14" a="1"/>
  <c r="V313" i="14" s="1"/>
  <c r="V293" i="14" a="1"/>
  <c r="V293" i="14" s="1"/>
  <c r="V328" i="14" a="1"/>
  <c r="V328" i="14" s="1"/>
  <c r="V376" i="14" a="1"/>
  <c r="V376" i="14" s="1"/>
  <c r="V391" i="14" a="1"/>
  <c r="V391" i="14" s="1"/>
  <c r="V378" i="14" a="1"/>
  <c r="V378" i="14" s="1"/>
  <c r="V371" i="14" a="1"/>
  <c r="V371" i="14" s="1"/>
  <c r="V362" i="14" a="1"/>
  <c r="V362" i="14" s="1"/>
  <c r="V386" i="14" a="1"/>
  <c r="V386" i="14" s="1"/>
  <c r="V388" i="14" a="1"/>
  <c r="V388" i="14" s="1"/>
  <c r="V403" i="14" a="1"/>
  <c r="V403" i="14" s="1"/>
  <c r="V433" i="14" a="1"/>
  <c r="V433" i="14" s="1"/>
  <c r="V421" i="14" a="1"/>
  <c r="V421" i="14" s="1"/>
  <c r="V411" i="14" a="1"/>
  <c r="V411" i="14" s="1"/>
  <c r="S133" i="14" a="1"/>
  <c r="S133" i="14" s="1"/>
  <c r="S138" i="14" a="1"/>
  <c r="S138" i="14" s="1"/>
  <c r="S136" i="14" a="1"/>
  <c r="S136" i="14" s="1"/>
  <c r="S126" i="14" a="1"/>
  <c r="S126" i="14" s="1"/>
  <c r="V135" i="14" a="1"/>
  <c r="V135" i="14" s="1"/>
  <c r="V140" i="14" a="1"/>
  <c r="V140" i="14" s="1"/>
  <c r="V132" i="14" a="1"/>
  <c r="V132" i="14" s="1"/>
  <c r="V138" i="14" a="1"/>
  <c r="V138" i="14" s="1"/>
  <c r="V238" i="14" a="1"/>
  <c r="V238" i="14" s="1"/>
  <c r="V148" i="14" a="1"/>
  <c r="V148" i="14" s="1"/>
  <c r="V165" i="14" a="1"/>
  <c r="V165" i="14" s="1"/>
  <c r="V186" i="14" a="1"/>
  <c r="V186" i="14" s="1"/>
  <c r="V164" i="14" a="1"/>
  <c r="V164" i="14" s="1"/>
  <c r="V194" i="14" a="1"/>
  <c r="V194" i="14" s="1"/>
  <c r="V215" i="14" a="1"/>
  <c r="V215" i="14" s="1"/>
  <c r="V204" i="14" a="1"/>
  <c r="V204" i="14" s="1"/>
  <c r="V208" i="14" a="1"/>
  <c r="V208" i="14" s="1"/>
  <c r="V199" i="14" a="1"/>
  <c r="V199" i="14" s="1"/>
  <c r="V260" i="14" a="1"/>
  <c r="V260" i="14" s="1"/>
  <c r="V233" i="14" a="1"/>
  <c r="V233" i="14" s="1"/>
  <c r="V288" i="14" a="1"/>
  <c r="V288" i="14" s="1"/>
  <c r="V285" i="14" a="1"/>
  <c r="V285" i="14" s="1"/>
  <c r="V236" i="14" a="1"/>
  <c r="V236" i="14" s="1"/>
  <c r="V247" i="14" a="1"/>
  <c r="V247" i="14" s="1"/>
  <c r="V240" i="14" a="1"/>
  <c r="V240" i="14" s="1"/>
  <c r="V290" i="14" a="1"/>
  <c r="V290" i="14" s="1"/>
  <c r="V309" i="14" a="1"/>
  <c r="V309" i="14" s="1"/>
  <c r="V317" i="14" a="1"/>
  <c r="V317" i="14" s="1"/>
  <c r="V298" i="14" a="1"/>
  <c r="V298" i="14" s="1"/>
  <c r="V308" i="14" a="1"/>
  <c r="V308" i="14" s="1"/>
  <c r="V314" i="14" a="1"/>
  <c r="V314" i="14" s="1"/>
  <c r="V296" i="14" a="1"/>
  <c r="V296" i="14" s="1"/>
  <c r="V344" i="14" a="1"/>
  <c r="V344" i="14" s="1"/>
  <c r="V332" i="14" a="1"/>
  <c r="V332" i="14" s="1"/>
  <c r="V320" i="14" a="1"/>
  <c r="V320" i="14" s="1"/>
  <c r="V380" i="14" a="1"/>
  <c r="V380" i="14" s="1"/>
  <c r="V385" i="14" a="1"/>
  <c r="V385" i="14" s="1"/>
  <c r="V364" i="14" a="1"/>
  <c r="V364" i="14" s="1"/>
  <c r="V429" i="14" a="1"/>
  <c r="V429" i="14" s="1"/>
  <c r="V400" i="14" a="1"/>
  <c r="V400" i="14" s="1"/>
  <c r="V407" i="14" a="1"/>
  <c r="V407" i="14" s="1"/>
  <c r="V436" i="14" a="1"/>
  <c r="V436" i="14" s="1"/>
  <c r="V424" i="14" a="1"/>
  <c r="V424" i="14" s="1"/>
  <c r="AE85" i="8"/>
  <c r="AD98" i="8"/>
  <c r="AD153" i="8" a="1"/>
  <c r="AD153" i="8" s="1"/>
  <c r="AD263" i="8" a="1"/>
  <c r="AD263" i="8" s="1"/>
  <c r="AE44" i="8"/>
  <c r="AD122" i="8" a="1"/>
  <c r="AD122" i="8" s="1"/>
  <c r="AD422" i="8" a="1"/>
  <c r="AD422" i="8" s="1"/>
  <c r="AD164" i="8" a="1"/>
  <c r="AD164" i="8" s="1"/>
  <c r="AD409" i="8" a="1"/>
  <c r="AD409" i="8" s="1"/>
  <c r="AD103" i="8"/>
  <c r="AF25" i="8"/>
  <c r="AD41" i="8"/>
  <c r="AE73" i="8"/>
  <c r="AF73" i="8"/>
  <c r="AE84" i="8"/>
  <c r="AD176" i="8" a="1"/>
  <c r="AD176" i="8" s="1"/>
  <c r="AD133" i="8" a="1"/>
  <c r="AD133" i="8" s="1"/>
  <c r="AD134" i="8" a="1"/>
  <c r="AD134" i="8" s="1"/>
  <c r="AD193" i="8" a="1"/>
  <c r="AD193" i="8" s="1"/>
  <c r="AD243" i="8" a="1"/>
  <c r="AD243" i="8" s="1"/>
  <c r="AD300" i="8" a="1"/>
  <c r="AD300" i="8" s="1"/>
  <c r="AD257" i="8" a="1"/>
  <c r="AD257" i="8" s="1"/>
  <c r="AD270" i="8" a="1"/>
  <c r="AD270" i="8" s="1"/>
  <c r="AD344" i="8" a="1"/>
  <c r="AD344" i="8" s="1"/>
  <c r="AD380" i="8" a="1"/>
  <c r="AD380" i="8" s="1"/>
  <c r="AD430" i="8" a="1"/>
  <c r="AD430" i="8" s="1"/>
  <c r="AD377" i="8" a="1"/>
  <c r="AD377" i="8" s="1"/>
  <c r="AD343" i="8" a="1"/>
  <c r="AD343" i="8" s="1"/>
  <c r="AD429" i="8" a="1"/>
  <c r="AD429" i="8" s="1"/>
  <c r="AD172" i="8" a="1"/>
  <c r="AD172" i="8" s="1"/>
  <c r="AD200" i="8" a="1"/>
  <c r="AD200" i="8" s="1"/>
  <c r="AE30" i="8"/>
  <c r="AF69" i="8"/>
  <c r="AD286" i="8" a="1"/>
  <c r="AD286" i="8" s="1"/>
  <c r="AE89" i="8"/>
  <c r="AD394" i="8" a="1"/>
  <c r="AD394" i="8" s="1"/>
  <c r="AD140" i="8" a="1"/>
  <c r="AD140" i="8" s="1"/>
  <c r="AD195" i="8" a="1"/>
  <c r="AD195" i="8" s="1"/>
  <c r="AD262" i="8" a="1"/>
  <c r="AD262" i="8" s="1"/>
  <c r="AF28" i="8"/>
  <c r="AD213" i="8" a="1"/>
  <c r="AD213" i="8" s="1"/>
  <c r="AD39" i="8"/>
  <c r="AE79" i="8"/>
  <c r="AD365" i="8" a="1"/>
  <c r="AD365" i="8" s="1"/>
  <c r="AD401" i="8" a="1"/>
  <c r="AD401" i="8" s="1"/>
  <c r="AD419" i="8" a="1"/>
  <c r="AD419" i="8" s="1"/>
  <c r="AD182" i="8" a="1"/>
  <c r="AD182" i="8" s="1"/>
  <c r="AD282" i="8" a="1"/>
  <c r="AD282" i="8" s="1"/>
  <c r="AD11" i="8"/>
  <c r="AF42" i="8"/>
  <c r="AF21" i="8"/>
  <c r="AE40" i="8"/>
  <c r="AE69" i="8"/>
  <c r="AD369" i="8" a="1"/>
  <c r="AD369" i="8" s="1"/>
  <c r="AD171" i="8" a="1"/>
  <c r="AD171" i="8" s="1"/>
  <c r="AD275" i="8" a="1"/>
  <c r="AD275" i="8" s="1"/>
  <c r="AD303" i="8" a="1"/>
  <c r="AD303" i="8" s="1"/>
  <c r="AH420" i="8" a="1"/>
  <c r="AH420" i="8" s="1"/>
  <c r="AF32" i="8"/>
  <c r="AD177" i="8" a="1"/>
  <c r="AD177" i="8" s="1"/>
  <c r="AD50" i="8"/>
  <c r="AF49" i="8"/>
  <c r="AF92" i="8"/>
  <c r="AD403" i="8" a="1"/>
  <c r="AD403" i="8" s="1"/>
  <c r="AF86" i="8"/>
  <c r="AE31" i="8"/>
  <c r="AF43" i="8"/>
  <c r="AD62" i="8"/>
  <c r="AD86" i="8"/>
  <c r="AF36" i="8"/>
  <c r="AF71" i="8"/>
  <c r="AE28" i="8"/>
  <c r="AD18" i="8"/>
  <c r="AD25" i="8"/>
  <c r="AE82" i="8"/>
  <c r="M30" i="13" s="1"/>
  <c r="AE12" i="8"/>
  <c r="AH139" i="8" a="1"/>
  <c r="AH139" i="8" s="1"/>
  <c r="AE72" i="8"/>
  <c r="AD51" i="8"/>
  <c r="AF37" i="8"/>
  <c r="AD391" i="8" a="1"/>
  <c r="AD391" i="8" s="1"/>
  <c r="AE91" i="8"/>
  <c r="AE92" i="8"/>
  <c r="AD320" i="8" a="1"/>
  <c r="AD320" i="8" s="1"/>
  <c r="AD139" i="8" a="1"/>
  <c r="AD139" i="8" s="1"/>
  <c r="AF9" i="8"/>
  <c r="AE18" i="8"/>
  <c r="AD220" i="8" a="1"/>
  <c r="AD220" i="8" s="1"/>
  <c r="AD124" i="8" a="1"/>
  <c r="AD124" i="8" s="1"/>
  <c r="AE19" i="8"/>
  <c r="AD131" i="8" a="1"/>
  <c r="AD131" i="8" s="1"/>
  <c r="AD228" i="8" a="1"/>
  <c r="AD228" i="8" s="1"/>
  <c r="AD158" i="8" a="1"/>
  <c r="AD158" i="8" s="1"/>
  <c r="AD239" i="8" a="1"/>
  <c r="AD239" i="8" s="1"/>
  <c r="AD186" i="8" a="1"/>
  <c r="AD186" i="8" s="1"/>
  <c r="AD135" i="8" a="1"/>
  <c r="AD135" i="8" s="1"/>
  <c r="AH204" i="8" a="1"/>
  <c r="AH204" i="8" s="1"/>
  <c r="AF24" i="8"/>
  <c r="AD137" i="8" a="1"/>
  <c r="AD137" i="8" s="1"/>
  <c r="AD174" i="8" a="1"/>
  <c r="AD174" i="8" s="1"/>
  <c r="AD127" i="8" a="1"/>
  <c r="AD127" i="8" s="1"/>
  <c r="AD156" i="8" a="1"/>
  <c r="AD156" i="8" s="1"/>
  <c r="AD121" i="8" a="1"/>
  <c r="AD121" i="8" s="1"/>
  <c r="AD30" i="8"/>
  <c r="AD20" i="8"/>
  <c r="AE24" i="8"/>
  <c r="AE29" i="8"/>
  <c r="AD236" i="8" a="1"/>
  <c r="AD236" i="8" s="1"/>
  <c r="AD149" i="8" a="1"/>
  <c r="AD149" i="8" s="1"/>
  <c r="AD162" i="8" a="1"/>
  <c r="AD162" i="8" s="1"/>
  <c r="AD277" i="8" a="1"/>
  <c r="AD277" i="8" s="1"/>
  <c r="AD206" i="8" a="1"/>
  <c r="AD206" i="8" s="1"/>
  <c r="AD159" i="8" a="1"/>
  <c r="AD159" i="8" s="1"/>
  <c r="AD163" i="8" a="1"/>
  <c r="AD163" i="8" s="1"/>
  <c r="AD175" i="8" a="1"/>
  <c r="AD175" i="8" s="1"/>
  <c r="AD330" i="8" a="1"/>
  <c r="AD330" i="8" s="1"/>
  <c r="AD219" i="8" a="1"/>
  <c r="AD219" i="8" s="1"/>
  <c r="AD231" i="8" a="1"/>
  <c r="AD231" i="8" s="1"/>
  <c r="AD254" i="8" a="1"/>
  <c r="AD254" i="8" s="1"/>
  <c r="AD204" i="8" a="1"/>
  <c r="AD204" i="8" s="1"/>
  <c r="AD217" i="8" a="1"/>
  <c r="AD217" i="8" s="1"/>
  <c r="AD269" i="8" a="1"/>
  <c r="AD269" i="8" s="1"/>
  <c r="AE54" i="8"/>
  <c r="AD232" i="8" a="1"/>
  <c r="AD232" i="8" s="1"/>
  <c r="AD276" i="8" a="1"/>
  <c r="AD276" i="8" s="1"/>
  <c r="AD56" i="8"/>
  <c r="AD294" i="8" a="1"/>
  <c r="AD294" i="8" s="1"/>
  <c r="AD333" i="8" a="1"/>
  <c r="AD333" i="8" s="1"/>
  <c r="AD226" i="8" a="1"/>
  <c r="AD226" i="8" s="1"/>
  <c r="AD61" i="8"/>
  <c r="AF82" i="8"/>
  <c r="AD285" i="8" a="1"/>
  <c r="AD285" i="8" s="1"/>
  <c r="AD298" i="8" a="1"/>
  <c r="AD298" i="8" s="1"/>
  <c r="AD81" i="8"/>
  <c r="AE43" i="8"/>
  <c r="AD234" i="8" a="1"/>
  <c r="AD234" i="8" s="1"/>
  <c r="AF56" i="8"/>
  <c r="AD249" i="8" a="1"/>
  <c r="AD249" i="8" s="1"/>
  <c r="AD312" i="8" a="1"/>
  <c r="AD312" i="8" s="1"/>
  <c r="AD341" i="8" a="1"/>
  <c r="AD341" i="8" s="1"/>
  <c r="AD364" i="8" a="1"/>
  <c r="AD364" i="8" s="1"/>
  <c r="AD324" i="8" a="1"/>
  <c r="AD324" i="8" s="1"/>
  <c r="AD349" i="8" a="1"/>
  <c r="AD349" i="8" s="1"/>
  <c r="AD384" i="8" a="1"/>
  <c r="AD384" i="8" s="1"/>
  <c r="AD356" i="8" a="1"/>
  <c r="AD356" i="8" s="1"/>
  <c r="AD382" i="8" a="1"/>
  <c r="AD382" i="8" s="1"/>
  <c r="AD329" i="8" a="1"/>
  <c r="AD329" i="8" s="1"/>
  <c r="AD90" i="8"/>
  <c r="AD417" i="8" a="1"/>
  <c r="AD417" i="8" s="1"/>
  <c r="AD368" i="8" a="1"/>
  <c r="AD368" i="8" s="1"/>
  <c r="AD393" i="8" a="1"/>
  <c r="AD393" i="8" s="1"/>
  <c r="AD427" i="8" a="1"/>
  <c r="AD427" i="8" s="1"/>
  <c r="AD97" i="8"/>
  <c r="AD402" i="8" a="1"/>
  <c r="AD402" i="8" s="1"/>
  <c r="AD107" i="8"/>
  <c r="AD433" i="8" a="1"/>
  <c r="AD433" i="8" s="1"/>
  <c r="AD161" i="8" a="1"/>
  <c r="AD161" i="8" s="1"/>
  <c r="AD216" i="8" a="1"/>
  <c r="AD216" i="8" s="1"/>
  <c r="AD189" i="8" a="1"/>
  <c r="AD189" i="8" s="1"/>
  <c r="AD313" i="8" a="1"/>
  <c r="AD313" i="8" s="1"/>
  <c r="AD199" i="8" a="1"/>
  <c r="AD199" i="8" s="1"/>
  <c r="AD296" i="8" a="1"/>
  <c r="AD296" i="8" s="1"/>
  <c r="AD291" i="8" a="1"/>
  <c r="AD291" i="8" s="1"/>
  <c r="AD244" i="8" a="1"/>
  <c r="AD244" i="8" s="1"/>
  <c r="AD306" i="8" a="1"/>
  <c r="AD306" i="8" s="1"/>
  <c r="AD242" i="8" a="1"/>
  <c r="AD242" i="8" s="1"/>
  <c r="AD272" i="8" a="1"/>
  <c r="AD272" i="8" s="1"/>
  <c r="AD317" i="8" a="1"/>
  <c r="AD317" i="8" s="1"/>
  <c r="AD352" i="8" a="1"/>
  <c r="AD352" i="8" s="1"/>
  <c r="AD326" i="8" a="1"/>
  <c r="AD326" i="8" s="1"/>
  <c r="AE106" i="8"/>
  <c r="AD366" i="8" a="1"/>
  <c r="AD366" i="8" s="1"/>
  <c r="AD360" i="8" a="1"/>
  <c r="AD360" i="8" s="1"/>
  <c r="AD376" i="8" a="1"/>
  <c r="AD376" i="8" s="1"/>
  <c r="AF87" i="8"/>
  <c r="AD94" i="8"/>
  <c r="AD371" i="8" a="1"/>
  <c r="AD371" i="8" s="1"/>
  <c r="AD370" i="8" a="1"/>
  <c r="AD370" i="8" s="1"/>
  <c r="AD400" i="8" a="1"/>
  <c r="AD400" i="8" s="1"/>
  <c r="AD373" i="8" a="1"/>
  <c r="AD373" i="8" s="1"/>
  <c r="AD425" i="8" a="1"/>
  <c r="AD425" i="8" s="1"/>
  <c r="AD379" i="8" a="1"/>
  <c r="AD379" i="8" s="1"/>
  <c r="AD411" i="8" a="1"/>
  <c r="AD411" i="8" s="1"/>
  <c r="AH433" i="8" a="1"/>
  <c r="AH433" i="8" s="1"/>
  <c r="AD434" i="8" a="1"/>
  <c r="AD434" i="8" s="1"/>
  <c r="AF16" i="8"/>
  <c r="AD187" i="8" a="1"/>
  <c r="AD187" i="8" s="1"/>
  <c r="AD29" i="8"/>
  <c r="AD128" i="8" a="1"/>
  <c r="AD128" i="8" s="1"/>
  <c r="AE46" i="8"/>
  <c r="AH144" i="8" a="1"/>
  <c r="AH144" i="8" s="1"/>
  <c r="AD141" i="8" a="1"/>
  <c r="AD141" i="8" s="1"/>
  <c r="AD17" i="8"/>
  <c r="AF33" i="8"/>
  <c r="AD167" i="8" a="1"/>
  <c r="AD167" i="8" s="1"/>
  <c r="AD322" i="8" a="1"/>
  <c r="AD322" i="8" s="1"/>
  <c r="AD196" i="8" a="1"/>
  <c r="AD196" i="8" s="1"/>
  <c r="AD209" i="8" a="1"/>
  <c r="AD209" i="8" s="1"/>
  <c r="AD191" i="8" a="1"/>
  <c r="AD191" i="8" s="1"/>
  <c r="AD198" i="8" a="1"/>
  <c r="AD198" i="8" s="1"/>
  <c r="AD211" i="8" a="1"/>
  <c r="AD211" i="8" s="1"/>
  <c r="AE34" i="8"/>
  <c r="AD223" i="8" a="1"/>
  <c r="AD223" i="8" s="1"/>
  <c r="AD342" i="8" a="1"/>
  <c r="AD342" i="8" s="1"/>
  <c r="AD288" i="8" a="1"/>
  <c r="AD288" i="8" s="1"/>
  <c r="AD328" i="8" a="1"/>
  <c r="AD328" i="8" s="1"/>
  <c r="AE49" i="8"/>
  <c r="M25" i="13" s="1"/>
  <c r="AE62" i="8"/>
  <c r="AD230" i="8" a="1"/>
  <c r="AD230" i="8" s="1"/>
  <c r="AD48" i="8"/>
  <c r="AF50" i="8"/>
  <c r="AD287" i="8" a="1"/>
  <c r="AD287" i="8" s="1"/>
  <c r="AD265" i="8" a="1"/>
  <c r="AD265" i="8" s="1"/>
  <c r="AD278" i="8" a="1"/>
  <c r="AD278" i="8" s="1"/>
  <c r="AD325" i="8" a="1"/>
  <c r="AD325" i="8" s="1"/>
  <c r="AD74" i="8"/>
  <c r="AE94" i="8"/>
  <c r="AD334" i="8" a="1"/>
  <c r="AD334" i="8" s="1"/>
  <c r="AD347" i="8" a="1"/>
  <c r="AD347" i="8" s="1"/>
  <c r="AD361" i="8" a="1"/>
  <c r="AD361" i="8" s="1"/>
  <c r="AD336" i="8" a="1"/>
  <c r="AD336" i="8" s="1"/>
  <c r="AD374" i="8" a="1"/>
  <c r="AD374" i="8" s="1"/>
  <c r="AD346" i="8" a="1"/>
  <c r="AD346" i="8" s="1"/>
  <c r="AD363" i="8" a="1"/>
  <c r="AD363" i="8" s="1"/>
  <c r="AD372" i="8" a="1"/>
  <c r="AD372" i="8" s="1"/>
  <c r="AD386" i="8" a="1"/>
  <c r="AD386" i="8" s="1"/>
  <c r="AD375" i="8" a="1"/>
  <c r="AD375" i="8" s="1"/>
  <c r="AD404" i="8" a="1"/>
  <c r="AD404" i="8" s="1"/>
  <c r="AD396" i="8" a="1"/>
  <c r="AD396" i="8" s="1"/>
  <c r="AD405" i="8" a="1"/>
  <c r="AD405" i="8" s="1"/>
  <c r="AD426" i="8" a="1"/>
  <c r="AD426" i="8" s="1"/>
  <c r="AH161" i="8" a="1"/>
  <c r="AH161" i="8" s="1"/>
  <c r="AD181" i="8" a="1"/>
  <c r="AD181" i="8" s="1"/>
  <c r="AD173" i="8" a="1"/>
  <c r="AD173" i="8" s="1"/>
  <c r="AD316" i="8" a="1"/>
  <c r="AD316" i="8" s="1"/>
  <c r="AD125" i="8" a="1"/>
  <c r="AD125" i="8" s="1"/>
  <c r="AD150" i="8" a="1"/>
  <c r="AD150" i="8" s="1"/>
  <c r="AD142" i="8" a="1"/>
  <c r="AD142" i="8" s="1"/>
  <c r="AF18" i="8"/>
  <c r="AD16" i="8"/>
  <c r="AD152" i="8" a="1"/>
  <c r="AD152" i="8" s="1"/>
  <c r="AF26" i="8"/>
  <c r="AF34" i="8"/>
  <c r="AD130" i="8" a="1"/>
  <c r="AD130" i="8" s="1"/>
  <c r="AD19" i="8"/>
  <c r="AD165" i="8" a="1"/>
  <c r="AD165" i="8" s="1"/>
  <c r="AD136" i="8" a="1"/>
  <c r="AD136" i="8" s="1"/>
  <c r="AD235" i="8" a="1"/>
  <c r="AD235" i="8" s="1"/>
  <c r="AE33" i="8"/>
  <c r="AF47" i="8"/>
  <c r="AD279" i="8" a="1"/>
  <c r="AD279" i="8" s="1"/>
  <c r="AD309" i="8" a="1"/>
  <c r="AD309" i="8" s="1"/>
  <c r="AD233" i="8" a="1"/>
  <c r="AD233" i="8" s="1"/>
  <c r="AD192" i="8" a="1"/>
  <c r="AD192" i="8" s="1"/>
  <c r="AD205" i="8" a="1"/>
  <c r="AD205" i="8" s="1"/>
  <c r="AD202" i="8" a="1"/>
  <c r="AD202" i="8" s="1"/>
  <c r="AD215" i="8" a="1"/>
  <c r="AD215" i="8" s="1"/>
  <c r="AD225" i="8" a="1"/>
  <c r="AD225" i="8" s="1"/>
  <c r="AD267" i="8" a="1"/>
  <c r="AD267" i="8" s="1"/>
  <c r="AD237" i="8" a="1"/>
  <c r="AD237" i="8" s="1"/>
  <c r="AD290" i="8" a="1"/>
  <c r="AD290" i="8" s="1"/>
  <c r="AD71" i="8"/>
  <c r="AD332" i="8" a="1"/>
  <c r="AD332" i="8" s="1"/>
  <c r="AD247" i="8" a="1"/>
  <c r="AD247" i="8" s="1"/>
  <c r="AD253" i="8" a="1"/>
  <c r="AD253" i="8" s="1"/>
  <c r="AD266" i="8" a="1"/>
  <c r="AD266" i="8" s="1"/>
  <c r="AD250" i="8" a="1"/>
  <c r="AD250" i="8" s="1"/>
  <c r="AD351" i="8" a="1"/>
  <c r="AD351" i="8" s="1"/>
  <c r="AD280" i="8" a="1"/>
  <c r="AD280" i="8" s="1"/>
  <c r="AD358" i="8" a="1"/>
  <c r="AD358" i="8" s="1"/>
  <c r="AD315" i="8" a="1"/>
  <c r="AD315" i="8" s="1"/>
  <c r="AD359" i="8" a="1"/>
  <c r="AD359" i="8" s="1"/>
  <c r="AD321" i="8" a="1"/>
  <c r="AD321" i="8" s="1"/>
  <c r="AE86" i="8"/>
  <c r="AD385" i="8" a="1"/>
  <c r="AD385" i="8" s="1"/>
  <c r="AF83" i="8"/>
  <c r="AD415" i="8" a="1"/>
  <c r="AD415" i="8" s="1"/>
  <c r="AD91" i="8"/>
  <c r="AD392" i="8" a="1"/>
  <c r="AD392" i="8" s="1"/>
  <c r="AD431" i="8" a="1"/>
  <c r="AD431" i="8" s="1"/>
  <c r="AD424" i="8" a="1"/>
  <c r="AD424" i="8" s="1"/>
  <c r="AD406" i="8" a="1"/>
  <c r="AD406" i="8" s="1"/>
  <c r="AD106" i="8"/>
  <c r="AD129" i="8" a="1"/>
  <c r="AD129" i="8" s="1"/>
  <c r="AD123" i="8" a="1"/>
  <c r="AD123" i="8" s="1"/>
  <c r="AD120" i="8" a="1"/>
  <c r="AD120" i="8" s="1"/>
  <c r="AD274" i="8" a="1"/>
  <c r="AD274" i="8" s="1"/>
  <c r="AD221" i="8" a="1"/>
  <c r="AD221" i="8" s="1"/>
  <c r="AD212" i="8" a="1"/>
  <c r="AD212" i="8" s="1"/>
  <c r="AD194" i="8" a="1"/>
  <c r="AD194" i="8" s="1"/>
  <c r="AD207" i="8" a="1"/>
  <c r="AD207" i="8" s="1"/>
  <c r="AD323" i="8" a="1"/>
  <c r="AD323" i="8" s="1"/>
  <c r="AD214" i="8" a="1"/>
  <c r="AD214" i="8" s="1"/>
  <c r="AD218" i="8" a="1"/>
  <c r="AD218" i="8" s="1"/>
  <c r="AD67" i="8"/>
  <c r="AD261" i="8" a="1"/>
  <c r="AD261" i="8" s="1"/>
  <c r="AD248" i="8" a="1"/>
  <c r="AD248" i="8" s="1"/>
  <c r="AD311" i="8" a="1"/>
  <c r="AD311" i="8" s="1"/>
  <c r="AD256" i="8" a="1"/>
  <c r="AD256" i="8" s="1"/>
  <c r="AD293" i="8" a="1"/>
  <c r="AD293" i="8" s="1"/>
  <c r="AD337" i="8" a="1"/>
  <c r="AD337" i="8" s="1"/>
  <c r="AD268" i="8" a="1"/>
  <c r="AD268" i="8" s="1"/>
  <c r="AD76" i="8"/>
  <c r="AD238" i="8" a="1"/>
  <c r="AD238" i="8" s="1"/>
  <c r="AD289" i="8" a="1"/>
  <c r="AD289" i="8" s="1"/>
  <c r="AD302" i="8" a="1"/>
  <c r="AD302" i="8" s="1"/>
  <c r="AD295" i="8" a="1"/>
  <c r="AD295" i="8" s="1"/>
  <c r="AD299" i="8" a="1"/>
  <c r="AD299" i="8" s="1"/>
  <c r="AD350" i="8" a="1"/>
  <c r="AD350" i="8" s="1"/>
  <c r="AD367" i="8" a="1"/>
  <c r="AD367" i="8" s="1"/>
  <c r="AD410" i="8" a="1"/>
  <c r="AD410" i="8" s="1"/>
  <c r="AD338" i="8" a="1"/>
  <c r="AD338" i="8" s="1"/>
  <c r="AD348" i="8" a="1"/>
  <c r="AD348" i="8" s="1"/>
  <c r="AD387" i="8" a="1"/>
  <c r="AD387" i="8" s="1"/>
  <c r="AD355" i="8" a="1"/>
  <c r="AD355" i="8" s="1"/>
  <c r="AD388" i="8" a="1"/>
  <c r="AD388" i="8" s="1"/>
  <c r="AD416" i="8" a="1"/>
  <c r="AD416" i="8" s="1"/>
  <c r="AD398" i="8" a="1"/>
  <c r="AD398" i="8" s="1"/>
  <c r="AD105" i="8"/>
  <c r="AD428" i="8" a="1"/>
  <c r="AD428" i="8" s="1"/>
  <c r="AD109" i="8"/>
  <c r="AD178" i="8" a="1"/>
  <c r="AD178" i="8" s="1"/>
  <c r="AD157" i="8" a="1"/>
  <c r="AD157" i="8" s="1"/>
  <c r="AD170" i="8" a="1"/>
  <c r="AD170" i="8" s="1"/>
  <c r="AD185" i="8" a="1"/>
  <c r="AD185" i="8" s="1"/>
  <c r="AD166" i="8" a="1"/>
  <c r="AD166" i="8" s="1"/>
  <c r="AD145" i="8" a="1"/>
  <c r="AD145" i="8" s="1"/>
  <c r="AD154" i="8" a="1"/>
  <c r="AD154" i="8" s="1"/>
  <c r="AD183" i="8" a="1"/>
  <c r="AD183" i="8" s="1"/>
  <c r="AD305" i="8" a="1"/>
  <c r="AD305" i="8" s="1"/>
  <c r="AD227" i="8" a="1"/>
  <c r="AD227" i="8" s="1"/>
  <c r="AD138" i="8" a="1"/>
  <c r="AD138" i="8" s="1"/>
  <c r="AD147" i="8" a="1"/>
  <c r="AD147" i="8" s="1"/>
  <c r="AD43" i="8"/>
  <c r="AD168" i="8" a="1"/>
  <c r="AD168" i="8" s="1"/>
  <c r="AD179" i="8" a="1"/>
  <c r="AD179" i="8" s="1"/>
  <c r="AD146" i="8" a="1"/>
  <c r="AD146" i="8" s="1"/>
  <c r="AD190" i="8" a="1"/>
  <c r="AD190" i="8" s="1"/>
  <c r="AD271" i="8" a="1"/>
  <c r="AD271" i="8" s="1"/>
  <c r="AD229" i="8" a="1"/>
  <c r="AD229" i="8" s="1"/>
  <c r="AD222" i="8" a="1"/>
  <c r="AD222" i="8" s="1"/>
  <c r="AD201" i="8" a="1"/>
  <c r="AD201" i="8" s="1"/>
  <c r="AE52" i="8"/>
  <c r="AD335" i="8" a="1"/>
  <c r="AD335" i="8" s="1"/>
  <c r="AD35" i="8"/>
  <c r="AE39" i="8"/>
  <c r="AD292" i="8" a="1"/>
  <c r="AD292" i="8" s="1"/>
  <c r="AD208" i="8" a="1"/>
  <c r="AD208" i="8" s="1"/>
  <c r="AD58" i="8"/>
  <c r="AD264" i="8" a="1"/>
  <c r="AD264" i="8" s="1"/>
  <c r="AD259" i="8" a="1"/>
  <c r="AD259" i="8" s="1"/>
  <c r="AD224" i="8" a="1"/>
  <c r="AD224" i="8" s="1"/>
  <c r="AD258" i="8" a="1"/>
  <c r="AD258" i="8" s="1"/>
  <c r="AE65" i="8"/>
  <c r="AD339" i="8" a="1"/>
  <c r="AD339" i="8" s="1"/>
  <c r="AD283" i="8" a="1"/>
  <c r="AD283" i="8" s="1"/>
  <c r="AD60" i="8"/>
  <c r="AD304" i="8" a="1"/>
  <c r="AD304" i="8" s="1"/>
  <c r="AD353" i="8" a="1"/>
  <c r="AD353" i="8" s="1"/>
  <c r="AD354" i="8" a="1"/>
  <c r="AD354" i="8" s="1"/>
  <c r="AD390" i="8" a="1"/>
  <c r="AD390" i="8" s="1"/>
  <c r="AD357" i="8" a="1"/>
  <c r="AD357" i="8" s="1"/>
  <c r="AD389" i="8" a="1"/>
  <c r="AD389" i="8" s="1"/>
  <c r="AD413" i="8" a="1"/>
  <c r="AD413" i="8" s="1"/>
  <c r="AD418" i="8" a="1"/>
  <c r="AD418" i="8" s="1"/>
  <c r="AD407" i="8" a="1"/>
  <c r="AD407" i="8" s="1"/>
  <c r="AD408" i="8" a="1"/>
  <c r="AD408" i="8" s="1"/>
  <c r="AD421" i="8" a="1"/>
  <c r="AD421" i="8" s="1"/>
  <c r="AD184" i="8" a="1"/>
  <c r="AD184" i="8" s="1"/>
  <c r="AF7" i="8"/>
  <c r="AD188" i="8" a="1"/>
  <c r="AD188" i="8" s="1"/>
  <c r="AD126" i="8" a="1"/>
  <c r="AD126" i="8" s="1"/>
  <c r="AE20" i="8"/>
  <c r="AD169" i="8" a="1"/>
  <c r="AD169" i="8" s="1"/>
  <c r="AD245" i="8" a="1"/>
  <c r="AD245" i="8" s="1"/>
  <c r="AD151" i="8" a="1"/>
  <c r="AD151" i="8" s="1"/>
  <c r="AD203" i="8" a="1"/>
  <c r="AD203" i="8" s="1"/>
  <c r="AD144" i="8" a="1"/>
  <c r="AD144" i="8" s="1"/>
  <c r="AD180" i="8" a="1"/>
  <c r="AD180" i="8" s="1"/>
  <c r="AD132" i="8" a="1"/>
  <c r="AD132" i="8" s="1"/>
  <c r="AD148" i="8" a="1"/>
  <c r="AD148" i="8" s="1"/>
  <c r="AD251" i="8" a="1"/>
  <c r="AD251" i="8" s="1"/>
  <c r="AD210" i="8" a="1"/>
  <c r="AD210" i="8" s="1"/>
  <c r="AD45" i="8"/>
  <c r="AD397" i="8" a="1"/>
  <c r="AD397" i="8" s="1"/>
  <c r="AE41" i="8"/>
  <c r="AF41" i="8"/>
  <c r="AD46" i="8"/>
  <c r="AD273" i="8" a="1"/>
  <c r="AD273" i="8" s="1"/>
  <c r="AD308" i="8" a="1"/>
  <c r="AD308" i="8" s="1"/>
  <c r="AD240" i="8" a="1"/>
  <c r="AD240" i="8" s="1"/>
  <c r="AD284" i="8" a="1"/>
  <c r="AD284" i="8" s="1"/>
  <c r="AD307" i="8" a="1"/>
  <c r="AD307" i="8" s="1"/>
  <c r="AD241" i="8" a="1"/>
  <c r="AD241" i="8" s="1"/>
  <c r="AD260" i="8" a="1"/>
  <c r="AD260" i="8" s="1"/>
  <c r="AF64" i="8"/>
  <c r="AD281" i="8" a="1"/>
  <c r="AD281" i="8" s="1"/>
  <c r="AD340" i="8" a="1"/>
  <c r="AD340" i="8" s="1"/>
  <c r="AD246" i="8" a="1"/>
  <c r="AD246" i="8" s="1"/>
  <c r="AD255" i="8" a="1"/>
  <c r="AD255" i="8" s="1"/>
  <c r="AF53" i="8"/>
  <c r="AD297" i="8" a="1"/>
  <c r="AD297" i="8" s="1"/>
  <c r="AD310" i="8" a="1"/>
  <c r="AD310" i="8" s="1"/>
  <c r="AD345" i="8" a="1"/>
  <c r="AD345" i="8" s="1"/>
  <c r="AD301" i="8" a="1"/>
  <c r="AD301" i="8" s="1"/>
  <c r="AD314" i="8" a="1"/>
  <c r="AD314" i="8" s="1"/>
  <c r="AD331" i="8" a="1"/>
  <c r="AD331" i="8" s="1"/>
  <c r="AD102" i="8"/>
  <c r="AD399" i="8" a="1"/>
  <c r="AD399" i="8" s="1"/>
  <c r="AD378" i="8" a="1"/>
  <c r="AD378" i="8" s="1"/>
  <c r="AE98" i="8"/>
  <c r="AD383" i="8" a="1"/>
  <c r="AD383" i="8" s="1"/>
  <c r="AD362" i="8" a="1"/>
  <c r="AD362" i="8" s="1"/>
  <c r="AD381" i="8" a="1"/>
  <c r="AD381" i="8" s="1"/>
  <c r="AD327" i="8" a="1"/>
  <c r="AD327" i="8" s="1"/>
  <c r="AD88" i="8"/>
  <c r="K22" i="13" s="1"/>
  <c r="AD412" i="8" a="1"/>
  <c r="AD412" i="8" s="1"/>
  <c r="AF107" i="8"/>
  <c r="AD395" i="8" a="1"/>
  <c r="AD395" i="8" s="1"/>
  <c r="AD414" i="8" a="1"/>
  <c r="AD414" i="8" s="1"/>
  <c r="AD420" i="8" a="1"/>
  <c r="AD420" i="8" s="1"/>
  <c r="AD423" i="8" a="1"/>
  <c r="AD423" i="8" s="1"/>
  <c r="AB8" i="8"/>
  <c r="AH156" i="8" a="1"/>
  <c r="AH156" i="8" s="1"/>
  <c r="AH138" i="8" a="1"/>
  <c r="AH138" i="8" s="1"/>
  <c r="AH324" i="8" a="1"/>
  <c r="AH324" i="8" s="1"/>
  <c r="AB50" i="8"/>
  <c r="AB76" i="8"/>
  <c r="AH376" i="8" a="1"/>
  <c r="AH376" i="8" s="1"/>
  <c r="AH432" i="8" a="1"/>
  <c r="AH432" i="8" s="1"/>
  <c r="AH178" i="8" a="1"/>
  <c r="AH178" i="8" s="1"/>
  <c r="AB26" i="8"/>
  <c r="AB35" i="8"/>
  <c r="AH222" i="8" a="1"/>
  <c r="AH222" i="8" s="1"/>
  <c r="AH193" i="8" a="1"/>
  <c r="AH193" i="8" s="1"/>
  <c r="AE56" i="8"/>
  <c r="AD80" i="8"/>
  <c r="AF97" i="8"/>
  <c r="AE14" i="8"/>
  <c r="AH158" i="8" a="1"/>
  <c r="AH158" i="8" s="1"/>
  <c r="AF27" i="8"/>
  <c r="AF11" i="8"/>
  <c r="AF17" i="8"/>
  <c r="AH237" i="8" a="1"/>
  <c r="AH237" i="8" s="1"/>
  <c r="AB20" i="8"/>
  <c r="AH168" i="8" a="1"/>
  <c r="AH168" i="8" s="1"/>
  <c r="AH184" i="8" a="1"/>
  <c r="AH184" i="8" s="1"/>
  <c r="AH132" i="8" a="1"/>
  <c r="AH132" i="8" s="1"/>
  <c r="AE13" i="8"/>
  <c r="AH166" i="8" a="1"/>
  <c r="AH166" i="8" s="1"/>
  <c r="AD27" i="8"/>
  <c r="K29" i="13" s="1"/>
  <c r="AB36" i="8"/>
  <c r="AH200" i="8" a="1"/>
  <c r="AH200" i="8" s="1"/>
  <c r="AH233" i="8" a="1"/>
  <c r="AH233" i="8" s="1"/>
  <c r="AD66" i="8"/>
  <c r="AE50" i="8"/>
  <c r="AH346" i="8" a="1"/>
  <c r="AH346" i="8" s="1"/>
  <c r="AH208" i="8" a="1"/>
  <c r="AH208" i="8" s="1"/>
  <c r="AH236" i="8" a="1"/>
  <c r="AH236" i="8" s="1"/>
  <c r="AD53" i="8"/>
  <c r="AH229" i="8" a="1"/>
  <c r="AH229" i="8" s="1"/>
  <c r="AB28" i="8"/>
  <c r="AH190" i="8" a="1"/>
  <c r="AH190" i="8" s="1"/>
  <c r="AB87" i="8"/>
  <c r="AH248" i="8" a="1"/>
  <c r="AH248" i="8" s="1"/>
  <c r="AH281" i="8" a="1"/>
  <c r="AH281" i="8" s="1"/>
  <c r="AH244" i="8" a="1"/>
  <c r="AH244" i="8" s="1"/>
  <c r="AH277" i="8" a="1"/>
  <c r="AH277" i="8" s="1"/>
  <c r="AH292" i="8" a="1"/>
  <c r="AH292" i="8" s="1"/>
  <c r="AH424" i="8" a="1"/>
  <c r="AH424" i="8" s="1"/>
  <c r="AB62" i="8"/>
  <c r="AB66" i="8"/>
  <c r="AH358" i="8" a="1"/>
  <c r="AH358" i="8" s="1"/>
  <c r="AB78" i="8"/>
  <c r="AH408" i="8" a="1"/>
  <c r="AH408" i="8" s="1"/>
  <c r="AE68" i="8"/>
  <c r="AH259" i="8" a="1"/>
  <c r="AH259" i="8" s="1"/>
  <c r="AH291" i="8" a="1"/>
  <c r="AH291" i="8" s="1"/>
  <c r="AB71" i="8"/>
  <c r="AH282" i="8" a="1"/>
  <c r="AH282" i="8" s="1"/>
  <c r="AB68" i="8"/>
  <c r="AH314" i="8" a="1"/>
  <c r="AH314" i="8" s="1"/>
  <c r="AE67" i="8"/>
  <c r="AF70" i="8"/>
  <c r="AH352" i="8" a="1"/>
  <c r="AH352" i="8" s="1"/>
  <c r="AH398" i="8" a="1"/>
  <c r="AH398" i="8" s="1"/>
  <c r="AI398" i="8" s="1"/>
  <c r="AB89" i="8"/>
  <c r="AH369" i="8" a="1"/>
  <c r="AH369" i="8" s="1"/>
  <c r="AH405" i="8" a="1"/>
  <c r="AH405" i="8" s="1"/>
  <c r="AF84" i="8"/>
  <c r="AH342" i="8" a="1"/>
  <c r="AH342" i="8" s="1"/>
  <c r="AD79" i="8"/>
  <c r="AF88" i="8"/>
  <c r="AH391" i="8" a="1"/>
  <c r="AH391" i="8" s="1"/>
  <c r="AB98" i="8"/>
  <c r="AE102" i="8"/>
  <c r="AF109" i="8"/>
  <c r="AB100" i="8"/>
  <c r="AB102" i="8"/>
  <c r="AB108" i="8"/>
  <c r="AF98" i="8"/>
  <c r="AH426" i="8" a="1"/>
  <c r="AH426" i="8" s="1"/>
  <c r="AH413" i="8" a="1"/>
  <c r="AH413" i="8" s="1"/>
  <c r="AF108" i="8"/>
  <c r="AE15" i="8"/>
  <c r="AH223" i="8" a="1"/>
  <c r="AH223" i="8" s="1"/>
  <c r="AF15" i="8"/>
  <c r="AH136" i="8" a="1"/>
  <c r="AH136" i="8" s="1"/>
  <c r="AH224" i="8" a="1"/>
  <c r="AH224" i="8" s="1"/>
  <c r="AH212" i="8" a="1"/>
  <c r="AH212" i="8" s="1"/>
  <c r="AH326" i="8" a="1"/>
  <c r="AH326" i="8" s="1"/>
  <c r="AH334" i="8" a="1"/>
  <c r="AH334" i="8" s="1"/>
  <c r="AH363" i="8" a="1"/>
  <c r="AH363" i="8" s="1"/>
  <c r="AH379" i="8" a="1"/>
  <c r="AH379" i="8" s="1"/>
  <c r="AH427" i="8" a="1"/>
  <c r="AH427" i="8" s="1"/>
  <c r="AH311" i="8" a="1"/>
  <c r="AH311" i="8" s="1"/>
  <c r="AB16" i="8"/>
  <c r="AH265" i="8" a="1"/>
  <c r="AH265" i="8" s="1"/>
  <c r="AB48" i="8"/>
  <c r="AH280" i="8" a="1"/>
  <c r="AH280" i="8" s="1"/>
  <c r="AE64" i="8"/>
  <c r="AH388" i="8" a="1"/>
  <c r="AH388" i="8" s="1"/>
  <c r="AH249" i="8" a="1"/>
  <c r="AH249" i="8" s="1"/>
  <c r="AH301" i="8" a="1"/>
  <c r="AH301" i="8" s="1"/>
  <c r="AH368" i="8" a="1"/>
  <c r="AH368" i="8" s="1"/>
  <c r="AD77" i="8"/>
  <c r="AH384" i="8" a="1"/>
  <c r="AH384" i="8" s="1"/>
  <c r="AD93" i="8"/>
  <c r="AB94" i="8"/>
  <c r="AF13" i="8"/>
  <c r="AE66" i="8"/>
  <c r="AH207" i="8" a="1"/>
  <c r="AH207" i="8" s="1"/>
  <c r="AH134" i="8" a="1"/>
  <c r="AH134" i="8" s="1"/>
  <c r="AH129" i="8" a="1"/>
  <c r="AH129" i="8" s="1"/>
  <c r="AF31" i="8"/>
  <c r="AH210" i="8" a="1"/>
  <c r="AH210" i="8" s="1"/>
  <c r="AD12" i="8"/>
  <c r="AD28" i="8"/>
  <c r="AH146" i="8" a="1"/>
  <c r="AH146" i="8" s="1"/>
  <c r="AF19" i="8"/>
  <c r="AE26" i="8"/>
  <c r="AH194" i="8" a="1"/>
  <c r="AH194" i="8" s="1"/>
  <c r="AB19" i="8"/>
  <c r="AD23" i="8"/>
  <c r="K41" i="13" s="1"/>
  <c r="AH213" i="8" a="1"/>
  <c r="AH213" i="8" s="1"/>
  <c r="AH307" i="8" a="1"/>
  <c r="AH307" i="8" s="1"/>
  <c r="AF29" i="8"/>
  <c r="AB33" i="8"/>
  <c r="AH218" i="8" a="1"/>
  <c r="AH218" i="8" s="1"/>
  <c r="AH189" i="8" a="1"/>
  <c r="AH189" i="8" s="1"/>
  <c r="AD37" i="8"/>
  <c r="AH225" i="8" a="1"/>
  <c r="AH225" i="8" s="1"/>
  <c r="AH260" i="8" a="1"/>
  <c r="AH260" i="8" s="1"/>
  <c r="AH316" i="8" a="1"/>
  <c r="AH316" i="8" s="1"/>
  <c r="AB29" i="8"/>
  <c r="AE36" i="8"/>
  <c r="AF39" i="8"/>
  <c r="AH235" i="8" a="1"/>
  <c r="AH235" i="8" s="1"/>
  <c r="AB56" i="8"/>
  <c r="AD31" i="8"/>
  <c r="AH203" i="8" a="1"/>
  <c r="AH203" i="8" s="1"/>
  <c r="AF38" i="8"/>
  <c r="AB49" i="8"/>
  <c r="G25" i="13" s="1"/>
  <c r="AH283" i="8" a="1"/>
  <c r="AH283" i="8" s="1"/>
  <c r="AE70" i="8"/>
  <c r="AB44" i="8"/>
  <c r="AH278" i="8" a="1"/>
  <c r="AH278" i="8" s="1"/>
  <c r="AB65" i="8"/>
  <c r="AH253" i="8" a="1"/>
  <c r="AH253" i="8" s="1"/>
  <c r="AH251" i="8" a="1"/>
  <c r="AH251" i="8" s="1"/>
  <c r="AD68" i="8"/>
  <c r="AH356" i="8" a="1"/>
  <c r="AH356" i="8" s="1"/>
  <c r="AE51" i="8"/>
  <c r="AF54" i="8"/>
  <c r="AH272" i="8" a="1"/>
  <c r="AH272" i="8" s="1"/>
  <c r="AH304" i="8" a="1"/>
  <c r="AH304" i="8" s="1"/>
  <c r="AB84" i="8"/>
  <c r="AH234" i="8" a="1"/>
  <c r="AH234" i="8" s="1"/>
  <c r="AE47" i="8"/>
  <c r="AH250" i="8" a="1"/>
  <c r="AH250" i="8" s="1"/>
  <c r="AB54" i="8"/>
  <c r="AH349" i="8" a="1"/>
  <c r="AH349" i="8" s="1"/>
  <c r="AE88" i="8"/>
  <c r="M22" i="13" s="1"/>
  <c r="AB85" i="8"/>
  <c r="AH330" i="8" a="1"/>
  <c r="AH330" i="8" s="1"/>
  <c r="AH351" i="8" a="1"/>
  <c r="AH351" i="8" s="1"/>
  <c r="AH350" i="8" a="1"/>
  <c r="AH350" i="8" s="1"/>
  <c r="AH401" i="8" a="1"/>
  <c r="AH401" i="8" s="1"/>
  <c r="AF94" i="8"/>
  <c r="AF93" i="8"/>
  <c r="AF78" i="8"/>
  <c r="AH354" i="8" a="1"/>
  <c r="AH354" i="8" s="1"/>
  <c r="AF89" i="8"/>
  <c r="AH389" i="8" a="1"/>
  <c r="AH389" i="8" s="1"/>
  <c r="AH418" i="8" a="1"/>
  <c r="AH418" i="8" s="1"/>
  <c r="AH419" i="8" a="1"/>
  <c r="AH419" i="8" s="1"/>
  <c r="AH393" i="8" a="1"/>
  <c r="AH393" i="8" s="1"/>
  <c r="AH429" i="8" a="1"/>
  <c r="AH429" i="8" s="1"/>
  <c r="AB97" i="8"/>
  <c r="AH399" i="8" a="1"/>
  <c r="AH399" i="8" s="1"/>
  <c r="AB104" i="8"/>
  <c r="AH406" i="8" a="1"/>
  <c r="AH406" i="8" s="1"/>
  <c r="AH403" i="8" a="1"/>
  <c r="AH403" i="8" s="1"/>
  <c r="AE105" i="8"/>
  <c r="AE107" i="8"/>
  <c r="AF110" i="8"/>
  <c r="AH410" i="8" a="1"/>
  <c r="AH410" i="8" s="1"/>
  <c r="AH133" i="8" a="1"/>
  <c r="AH133" i="8" s="1"/>
  <c r="AH318" i="8" a="1"/>
  <c r="AH318" i="8" s="1"/>
  <c r="AD160" i="8" a="1"/>
  <c r="AD160" i="8" s="1"/>
  <c r="AD318" i="8" a="1"/>
  <c r="AD318" i="8" s="1"/>
  <c r="AH182" i="8" a="1"/>
  <c r="AH182" i="8" s="1"/>
  <c r="AD34" i="8"/>
  <c r="AH353" i="8" a="1"/>
  <c r="AH353" i="8" s="1"/>
  <c r="AB92" i="8"/>
  <c r="AH340" i="8" a="1"/>
  <c r="AH340" i="8" s="1"/>
  <c r="AB111" i="8"/>
  <c r="AC450" i="8" a="1"/>
  <c r="AC450" i="8" s="1"/>
  <c r="AC447" i="8" a="1"/>
  <c r="AC447" i="8" s="1"/>
  <c r="AC444" i="8" a="1"/>
  <c r="AC444" i="8" s="1"/>
  <c r="AC443" i="8" a="1"/>
  <c r="AC443" i="8" s="1"/>
  <c r="AC449" i="8" a="1"/>
  <c r="AC449" i="8" s="1"/>
  <c r="AC448" i="8" a="1"/>
  <c r="AC448" i="8" s="1"/>
  <c r="AC437" i="8"/>
  <c r="AC442" i="8" a="1"/>
  <c r="AC442" i="8" s="1"/>
  <c r="AB7" i="8"/>
  <c r="AB10" i="8"/>
  <c r="AH232" i="8" a="1"/>
  <c r="AH232" i="8" s="1"/>
  <c r="AJ232" i="8" s="1"/>
  <c r="AH195" i="8" a="1"/>
  <c r="AH195" i="8" s="1"/>
  <c r="AH228" i="8" a="1"/>
  <c r="AH228" i="8" s="1"/>
  <c r="AH247" i="8" a="1"/>
  <c r="AH247" i="8" s="1"/>
  <c r="AH295" i="8" a="1"/>
  <c r="AH295" i="8" s="1"/>
  <c r="AH270" i="8" a="1"/>
  <c r="AH270" i="8" s="1"/>
  <c r="AE53" i="8"/>
  <c r="AH378" i="8" a="1"/>
  <c r="AH378" i="8" s="1"/>
  <c r="AH366" i="8" a="1"/>
  <c r="AH366" i="8" s="1"/>
  <c r="AB88" i="8"/>
  <c r="G22" i="13" s="1"/>
  <c r="AE104" i="8"/>
  <c r="AB110" i="8"/>
  <c r="AH120" i="8" a="1"/>
  <c r="AH120" i="8" s="1"/>
  <c r="AH122" i="8" a="1"/>
  <c r="AH122" i="8" s="1"/>
  <c r="AH170" i="8" a="1"/>
  <c r="AH170" i="8" s="1"/>
  <c r="AF10" i="8"/>
  <c r="AH179" i="8" a="1"/>
  <c r="AH179" i="8" s="1"/>
  <c r="AH127" i="8" a="1"/>
  <c r="AH127" i="8" s="1"/>
  <c r="AH147" i="8" a="1"/>
  <c r="AH147" i="8" s="1"/>
  <c r="AH135" i="8" a="1"/>
  <c r="AH135" i="8" s="1"/>
  <c r="AH160" i="8" a="1"/>
  <c r="AH160" i="8" s="1"/>
  <c r="AH131" i="8" a="1"/>
  <c r="AH131" i="8" s="1"/>
  <c r="AD9" i="8"/>
  <c r="AH181" i="8" a="1"/>
  <c r="AH181" i="8" s="1"/>
  <c r="AB14" i="8"/>
  <c r="AH171" i="8" a="1"/>
  <c r="AH171" i="8" s="1"/>
  <c r="AD13" i="8"/>
  <c r="AB41" i="8"/>
  <c r="AH159" i="8" a="1"/>
  <c r="AH159" i="8" s="1"/>
  <c r="AD26" i="8"/>
  <c r="AH173" i="8" a="1"/>
  <c r="AH173" i="8" s="1"/>
  <c r="AH130" i="8" a="1"/>
  <c r="AH130" i="8" s="1"/>
  <c r="AF14" i="8"/>
  <c r="AE17" i="8"/>
  <c r="AF20" i="8"/>
  <c r="AH185" i="8" a="1"/>
  <c r="AH185" i="8" s="1"/>
  <c r="AB24" i="8"/>
  <c r="AE16" i="8"/>
  <c r="AH169" i="8" a="1"/>
  <c r="AH169" i="8" s="1"/>
  <c r="AB37" i="8"/>
  <c r="AF8" i="8"/>
  <c r="AH128" i="8" a="1"/>
  <c r="AH128" i="8" s="1"/>
  <c r="AD42" i="8"/>
  <c r="AD59" i="8"/>
  <c r="AH198" i="8" a="1"/>
  <c r="AH198" i="8" s="1"/>
  <c r="AF44" i="8"/>
  <c r="AF62" i="8"/>
  <c r="AH239" i="8" a="1"/>
  <c r="AH239" i="8" s="1"/>
  <c r="AH263" i="8" a="1"/>
  <c r="AH263" i="8" s="1"/>
  <c r="AJ263" i="8" s="1"/>
  <c r="AH186" i="8" a="1"/>
  <c r="AH186" i="8" s="1"/>
  <c r="AD36" i="8"/>
  <c r="AH219" i="8" a="1"/>
  <c r="AH219" i="8" s="1"/>
  <c r="AH196" i="8" a="1"/>
  <c r="AH196" i="8" s="1"/>
  <c r="AB58" i="8"/>
  <c r="AE35" i="8"/>
  <c r="AB43" i="8"/>
  <c r="AD40" i="8"/>
  <c r="AF52" i="8"/>
  <c r="AD57" i="8"/>
  <c r="AH310" i="8" a="1"/>
  <c r="AH310" i="8" s="1"/>
  <c r="AH231" i="8" a="1"/>
  <c r="AH231" i="8" s="1"/>
  <c r="AD49" i="8"/>
  <c r="K25" i="13" s="1"/>
  <c r="AH279" i="8" a="1"/>
  <c r="AH279" i="8" s="1"/>
  <c r="AB53" i="8"/>
  <c r="AH273" i="8" a="1"/>
  <c r="AH273" i="8" s="1"/>
  <c r="AH313" i="8" a="1"/>
  <c r="AH313" i="8" s="1"/>
  <c r="AF57" i="8"/>
  <c r="AD63" i="8"/>
  <c r="AF55" i="8"/>
  <c r="AF68" i="8"/>
  <c r="AH322" i="8" a="1"/>
  <c r="AH322" i="8" s="1"/>
  <c r="AD65" i="8"/>
  <c r="AB69" i="8"/>
  <c r="AF75" i="8"/>
  <c r="AH261" i="8" a="1"/>
  <c r="AH261" i="8" s="1"/>
  <c r="AE58" i="8"/>
  <c r="AF61" i="8"/>
  <c r="AH293" i="8" a="1"/>
  <c r="AH293" i="8" s="1"/>
  <c r="AH360" i="8" a="1"/>
  <c r="AH360" i="8" s="1"/>
  <c r="AH252" i="8" a="1"/>
  <c r="AH252" i="8" s="1"/>
  <c r="AE55" i="8"/>
  <c r="AF58" i="8"/>
  <c r="AH284" i="8" a="1"/>
  <c r="AH284" i="8" s="1"/>
  <c r="AD64" i="8"/>
  <c r="AH315" i="8" a="1"/>
  <c r="AH315" i="8" s="1"/>
  <c r="AH329" i="8" a="1"/>
  <c r="AH329" i="8" s="1"/>
  <c r="AB86" i="8"/>
  <c r="AH317" i="8" a="1"/>
  <c r="AH317" i="8" s="1"/>
  <c r="AD78" i="8"/>
  <c r="AD85" i="8"/>
  <c r="AH321" i="8" a="1"/>
  <c r="AH321" i="8" s="1"/>
  <c r="AF79" i="8"/>
  <c r="AB77" i="8"/>
  <c r="AB95" i="8"/>
  <c r="AE78" i="8"/>
  <c r="AF81" i="8"/>
  <c r="AF85" i="8"/>
  <c r="AB90" i="8"/>
  <c r="AH395" i="8" a="1"/>
  <c r="AH395" i="8" s="1"/>
  <c r="AD82" i="8"/>
  <c r="K30" i="13" s="1"/>
  <c r="AH370" i="8" a="1"/>
  <c r="AH370" i="8" s="1"/>
  <c r="AD108" i="8"/>
  <c r="AD89" i="8"/>
  <c r="K23" i="13" s="1"/>
  <c r="AH382" i="8" a="1"/>
  <c r="AH382" i="8" s="1"/>
  <c r="AF100" i="8"/>
  <c r="AE101" i="8"/>
  <c r="AD95" i="8"/>
  <c r="AH381" i="8" a="1"/>
  <c r="AH381" i="8" s="1"/>
  <c r="AE103" i="8"/>
  <c r="AH422" i="8" a="1"/>
  <c r="AH422" i="8" s="1"/>
  <c r="AF106" i="8"/>
  <c r="AH428" i="8" a="1"/>
  <c r="AH428" i="8" s="1"/>
  <c r="AH415" i="8" a="1"/>
  <c r="AH415" i="8" s="1"/>
  <c r="AH421" i="8" a="1"/>
  <c r="AH421" i="8" s="1"/>
  <c r="AH149" i="8" a="1"/>
  <c r="AH149" i="8" s="1"/>
  <c r="AH319" i="8" a="1"/>
  <c r="AH319" i="8" s="1"/>
  <c r="AF111" i="8"/>
  <c r="AD197" i="8" a="1"/>
  <c r="AD197" i="8" s="1"/>
  <c r="AD319" i="8" a="1"/>
  <c r="AD319" i="8" s="1"/>
  <c r="AE9" i="8"/>
  <c r="AH214" i="8" a="1"/>
  <c r="AH214" i="8" s="1"/>
  <c r="AH202" i="8" a="1"/>
  <c r="AH202" i="8" s="1"/>
  <c r="AH180" i="8" a="1"/>
  <c r="AH180" i="8" s="1"/>
  <c r="AB82" i="8"/>
  <c r="G30" i="13" s="1"/>
  <c r="AH411" i="8" a="1"/>
  <c r="AH411" i="8" s="1"/>
  <c r="AB101" i="8"/>
  <c r="AH414" i="8" a="1"/>
  <c r="AH414" i="8" s="1"/>
  <c r="AH191" i="8" a="1"/>
  <c r="AH191" i="8" s="1"/>
  <c r="AF23" i="8"/>
  <c r="M41" i="13" s="1"/>
  <c r="AH157" i="8" a="1"/>
  <c r="AH157" i="8" s="1"/>
  <c r="AH215" i="8" a="1"/>
  <c r="AH215" i="8" s="1"/>
  <c r="AH254" i="8" a="1"/>
  <c r="AH254" i="8" s="1"/>
  <c r="AH300" i="8" a="1"/>
  <c r="AH300" i="8" s="1"/>
  <c r="AH302" i="8" a="1"/>
  <c r="AH302" i="8" s="1"/>
  <c r="AH238" i="8" a="1"/>
  <c r="AH238" i="8" s="1"/>
  <c r="AB80" i="8"/>
  <c r="AB81" i="8"/>
  <c r="AH201" i="8" a="1"/>
  <c r="AH201" i="8" s="1"/>
  <c r="AH268" i="8" a="1"/>
  <c r="AH268" i="8" s="1"/>
  <c r="AI268" i="8" s="1"/>
  <c r="AE25" i="8"/>
  <c r="AH151" i="8" a="1"/>
  <c r="AH151" i="8" s="1"/>
  <c r="AB25" i="8"/>
  <c r="AD21" i="8"/>
  <c r="AH148" i="8" a="1"/>
  <c r="AH148" i="8" s="1"/>
  <c r="AB38" i="8"/>
  <c r="AD10" i="8"/>
  <c r="AB12" i="8"/>
  <c r="AE32" i="8"/>
  <c r="AF35" i="8"/>
  <c r="AB39" i="8"/>
  <c r="AF30" i="8"/>
  <c r="AH211" i="8" a="1"/>
  <c r="AH211" i="8" s="1"/>
  <c r="AH288" i="8" a="1"/>
  <c r="AH288" i="8" s="1"/>
  <c r="AB31" i="8"/>
  <c r="AF48" i="8"/>
  <c r="AH199" i="8" a="1"/>
  <c r="AH199" i="8" s="1"/>
  <c r="AE45" i="8"/>
  <c r="AH177" i="8" a="1"/>
  <c r="AH177" i="8" s="1"/>
  <c r="AD33" i="8"/>
  <c r="AH209" i="8" a="1"/>
  <c r="AH209" i="8" s="1"/>
  <c r="AB47" i="8"/>
  <c r="AH286" i="8" a="1"/>
  <c r="AH286" i="8" s="1"/>
  <c r="AB67" i="8"/>
  <c r="AH256" i="8" a="1"/>
  <c r="AH256" i="8" s="1"/>
  <c r="AB72" i="8"/>
  <c r="AF67" i="8"/>
  <c r="AE76" i="8"/>
  <c r="AE48" i="8"/>
  <c r="AH271" i="8" a="1"/>
  <c r="AH271" i="8" s="1"/>
  <c r="AB51" i="8"/>
  <c r="AB75" i="8"/>
  <c r="AH230" i="8" a="1"/>
  <c r="AH230" i="8" s="1"/>
  <c r="AH246" i="8" a="1"/>
  <c r="AH246" i="8" s="1"/>
  <c r="AF51" i="8"/>
  <c r="AH274" i="8" a="1"/>
  <c r="AH274" i="8" s="1"/>
  <c r="AH306" i="8" a="1"/>
  <c r="AH306" i="8" s="1"/>
  <c r="AD72" i="8"/>
  <c r="AD69" i="8"/>
  <c r="AH303" i="8" a="1"/>
  <c r="AH303" i="8" s="1"/>
  <c r="AF77" i="8"/>
  <c r="AH344" i="8" a="1"/>
  <c r="AH344" i="8" s="1"/>
  <c r="AB74" i="8"/>
  <c r="AH355" i="8" a="1"/>
  <c r="AH355" i="8" s="1"/>
  <c r="AH337" i="8" a="1"/>
  <c r="AH337" i="8" s="1"/>
  <c r="AB93" i="8"/>
  <c r="AH323" i="8" a="1"/>
  <c r="AH323" i="8" s="1"/>
  <c r="AH374" i="8" a="1"/>
  <c r="AH374" i="8" s="1"/>
  <c r="AI374" i="8" s="1"/>
  <c r="AH380" i="8" a="1"/>
  <c r="AH380" i="8" s="1"/>
  <c r="AF101" i="8"/>
  <c r="AH373" i="8" a="1"/>
  <c r="AH373" i="8" s="1"/>
  <c r="AF95" i="8"/>
  <c r="AE77" i="8"/>
  <c r="AF80" i="8"/>
  <c r="AH392" i="8" a="1"/>
  <c r="AH392" i="8" s="1"/>
  <c r="AH357" i="8" a="1"/>
  <c r="AH357" i="8" s="1"/>
  <c r="AE90" i="8"/>
  <c r="AB109" i="8"/>
  <c r="AF99" i="8"/>
  <c r="AD101" i="8"/>
  <c r="AH404" i="8" a="1"/>
  <c r="AH404" i="8" s="1"/>
  <c r="AH416" i="8" a="1"/>
  <c r="AH416" i="8" s="1"/>
  <c r="AD99" i="8"/>
  <c r="AB96" i="8"/>
  <c r="G27" i="13" s="1"/>
  <c r="AB106" i="8"/>
  <c r="AH412" i="8" a="1"/>
  <c r="AH412" i="8" s="1"/>
  <c r="AH167" i="8" a="1"/>
  <c r="AH167" i="8" s="1"/>
  <c r="AH320" i="8" a="1"/>
  <c r="AH320" i="8" s="1"/>
  <c r="AD252" i="8" a="1"/>
  <c r="AD252" i="8" s="1"/>
  <c r="AD432" i="8" a="1"/>
  <c r="AD432" i="8" s="1"/>
  <c r="AB9" i="8"/>
  <c r="AH163" i="8" a="1"/>
  <c r="AH163" i="8" s="1"/>
  <c r="AB70" i="8"/>
  <c r="AH285" i="8" a="1"/>
  <c r="AH285" i="8" s="1"/>
  <c r="AH226" i="8" a="1"/>
  <c r="AH226" i="8" s="1"/>
  <c r="AB55" i="8"/>
  <c r="AH289" i="8" a="1"/>
  <c r="AH289" i="8" s="1"/>
  <c r="AH341" i="8" a="1"/>
  <c r="AH341" i="8" s="1"/>
  <c r="AI341" i="8" s="1"/>
  <c r="AB107" i="8"/>
  <c r="AB23" i="8"/>
  <c r="I41" i="13" s="1"/>
  <c r="AH298" i="8" a="1"/>
  <c r="AH298" i="8" s="1"/>
  <c r="AH227" i="8" a="1"/>
  <c r="AH227" i="8" s="1"/>
  <c r="AD47" i="8"/>
  <c r="AB64" i="8"/>
  <c r="AH269" i="8" a="1"/>
  <c r="AH269" i="8" s="1"/>
  <c r="AH343" i="8" a="1"/>
  <c r="AH343" i="8" s="1"/>
  <c r="AJ343" i="8" s="1"/>
  <c r="AH327" i="8" a="1"/>
  <c r="AH327" i="8" s="1"/>
  <c r="AH338" i="8" a="1"/>
  <c r="AH338" i="8" s="1"/>
  <c r="AH365" i="8" a="1"/>
  <c r="AH365" i="8" s="1"/>
  <c r="AD84" i="8"/>
  <c r="AB11" i="8"/>
  <c r="AE8" i="8"/>
  <c r="AH141" i="8" a="1"/>
  <c r="AH141" i="8" s="1"/>
  <c r="AH121" i="8" a="1"/>
  <c r="AH121" i="8" s="1"/>
  <c r="AE23" i="8"/>
  <c r="AH137" i="8" a="1"/>
  <c r="AH137" i="8" s="1"/>
  <c r="AE449" i="8" a="1"/>
  <c r="AE449" i="8" s="1"/>
  <c r="AE448" i="8" a="1"/>
  <c r="AE448" i="8" s="1"/>
  <c r="AE447" i="8" a="1"/>
  <c r="AE447" i="8" s="1"/>
  <c r="AE437" i="8"/>
  <c r="AE444" i="8" a="1"/>
  <c r="AE444" i="8" s="1"/>
  <c r="AE450" i="8" a="1"/>
  <c r="AE450" i="8" s="1"/>
  <c r="AE442" i="8" a="1"/>
  <c r="AE442" i="8" s="1"/>
  <c r="AE443" i="8" a="1"/>
  <c r="AE443" i="8" s="1"/>
  <c r="AD7" i="8"/>
  <c r="AH154" i="8" a="1"/>
  <c r="AH154" i="8" s="1"/>
  <c r="AE11" i="8"/>
  <c r="AH142" i="8" a="1"/>
  <c r="AH142" i="8" s="1"/>
  <c r="AB18" i="8"/>
  <c r="AH174" i="8" a="1"/>
  <c r="AH174" i="8" s="1"/>
  <c r="AH217" i="8" a="1"/>
  <c r="AH217" i="8" s="1"/>
  <c r="AE60" i="8"/>
  <c r="AB17" i="8"/>
  <c r="AH124" i="8" a="1"/>
  <c r="AH124" i="8" s="1"/>
  <c r="AF12" i="8"/>
  <c r="AH140" i="8" a="1"/>
  <c r="AH140" i="8" s="1"/>
  <c r="AH150" i="8" a="1"/>
  <c r="AH150" i="8" s="1"/>
  <c r="AD24" i="8"/>
  <c r="AH187" i="8" a="1"/>
  <c r="AH187" i="8" s="1"/>
  <c r="AH216" i="8" a="1"/>
  <c r="AH216" i="8" s="1"/>
  <c r="AE27" i="8"/>
  <c r="M29" i="13" s="1"/>
  <c r="AB34" i="8"/>
  <c r="AH294" i="8" a="1"/>
  <c r="AH294" i="8" s="1"/>
  <c r="AH192" i="8" a="1"/>
  <c r="AH192" i="8" s="1"/>
  <c r="AD38" i="8"/>
  <c r="AB30" i="8"/>
  <c r="AE37" i="8"/>
  <c r="AB40" i="8"/>
  <c r="AD32" i="8"/>
  <c r="AH206" i="8" a="1"/>
  <c r="AH206" i="8" s="1"/>
  <c r="AF45" i="8"/>
  <c r="AH297" i="8" a="1"/>
  <c r="AH297" i="8" s="1"/>
  <c r="AH241" i="8" a="1"/>
  <c r="AH241" i="8" s="1"/>
  <c r="AE57" i="8"/>
  <c r="AE81" i="8"/>
  <c r="AH275" i="8" a="1"/>
  <c r="AH275" i="8" s="1"/>
  <c r="AH296" i="8" a="1"/>
  <c r="AH296" i="8" s="1"/>
  <c r="AD54" i="8"/>
  <c r="AB60" i="8"/>
  <c r="AE71" i="8"/>
  <c r="AF40" i="8"/>
  <c r="AB52" i="8"/>
  <c r="AF63" i="8"/>
  <c r="AH255" i="8" a="1"/>
  <c r="AH255" i="8" s="1"/>
  <c r="AB59" i="8"/>
  <c r="AH287" i="8" a="1"/>
  <c r="AH287" i="8" s="1"/>
  <c r="AH328" i="8" a="1"/>
  <c r="AH328" i="8" s="1"/>
  <c r="AD44" i="8"/>
  <c r="AB46" i="8"/>
  <c r="AD55" i="8"/>
  <c r="AD52" i="8"/>
  <c r="AF72" i="8"/>
  <c r="AH345" i="8" a="1"/>
  <c r="AH345" i="8" s="1"/>
  <c r="AD75" i="8"/>
  <c r="AE75" i="8"/>
  <c r="AH335" i="8" a="1"/>
  <c r="AH335" i="8" s="1"/>
  <c r="AH362" i="8" a="1"/>
  <c r="AH362" i="8" s="1"/>
  <c r="AF96" i="8"/>
  <c r="AH371" i="8" a="1"/>
  <c r="AH371" i="8" s="1"/>
  <c r="AH386" i="8" a="1"/>
  <c r="AH386" i="8" s="1"/>
  <c r="AD92" i="8"/>
  <c r="AH385" i="8" a="1"/>
  <c r="AH385" i="8" s="1"/>
  <c r="AH331" i="8" a="1"/>
  <c r="AH331" i="8" s="1"/>
  <c r="AH397" i="8" a="1"/>
  <c r="AH397" i="8" s="1"/>
  <c r="AB83" i="8"/>
  <c r="AH359" i="8" a="1"/>
  <c r="AH359" i="8" s="1"/>
  <c r="AF90" i="8"/>
  <c r="AH402" i="8" a="1"/>
  <c r="AH402" i="8" s="1"/>
  <c r="AH377" i="8" a="1"/>
  <c r="AH377" i="8" s="1"/>
  <c r="AH387" i="8" a="1"/>
  <c r="AH387" i="8" s="1"/>
  <c r="AH417" i="8" a="1"/>
  <c r="AH417" i="8" s="1"/>
  <c r="AF91" i="8"/>
  <c r="AH383" i="8" a="1"/>
  <c r="AH383" i="8" s="1"/>
  <c r="AB99" i="8"/>
  <c r="AF102" i="8"/>
  <c r="AD100" i="8"/>
  <c r="AD104" i="8"/>
  <c r="AE100" i="8"/>
  <c r="AH409" i="8" a="1"/>
  <c r="AH409" i="8" s="1"/>
  <c r="AJ409" i="8" s="1"/>
  <c r="AD110" i="8"/>
  <c r="AE110" i="8"/>
  <c r="AH423" i="8" a="1"/>
  <c r="AH423" i="8" s="1"/>
  <c r="AB105" i="8"/>
  <c r="AH425" i="8" a="1"/>
  <c r="AH425" i="8" s="1"/>
  <c r="AE111" i="8"/>
  <c r="AH175" i="8" a="1"/>
  <c r="AH175" i="8" s="1"/>
  <c r="AH434" i="8" a="1"/>
  <c r="AH434" i="8" s="1"/>
  <c r="AD143" i="8" a="1"/>
  <c r="AD143" i="8" s="1"/>
  <c r="AH145" i="8" a="1"/>
  <c r="AH145" i="8" s="1"/>
  <c r="AH152" i="8" a="1"/>
  <c r="AH152" i="8" s="1"/>
  <c r="AB32" i="8"/>
  <c r="AB57" i="8"/>
  <c r="AH309" i="8" a="1"/>
  <c r="AH309" i="8" s="1"/>
  <c r="AH257" i="8" a="1"/>
  <c r="AH257" i="8" s="1"/>
  <c r="AH364" i="8" a="1"/>
  <c r="AH364" i="8" s="1"/>
  <c r="AH333" i="8" a="1"/>
  <c r="AH333" i="8" s="1"/>
  <c r="AH394" i="8" a="1"/>
  <c r="AH394" i="8" s="1"/>
  <c r="AH361" i="8" a="1"/>
  <c r="AH361" i="8" s="1"/>
  <c r="AH431" i="8" a="1"/>
  <c r="AH431" i="8" s="1"/>
  <c r="AB103" i="8"/>
  <c r="AE22" i="8"/>
  <c r="AH143" i="8" a="1"/>
  <c r="AH143" i="8" s="1"/>
  <c r="AH183" i="8" a="1"/>
  <c r="AH183" i="8" s="1"/>
  <c r="AH266" i="8" a="1"/>
  <c r="AH266" i="8" s="1"/>
  <c r="AF59" i="8"/>
  <c r="AE42" i="8"/>
  <c r="AF76" i="8"/>
  <c r="AD83" i="8"/>
  <c r="AF60" i="8"/>
  <c r="AB21" i="8"/>
  <c r="AD8" i="8"/>
  <c r="AH125" i="8" a="1"/>
  <c r="AH125" i="8" s="1"/>
  <c r="AH123" i="8" a="1"/>
  <c r="AH123" i="8" s="1"/>
  <c r="AH262" i="8" a="1"/>
  <c r="AH262" i="8" s="1"/>
  <c r="AH162" i="8" a="1"/>
  <c r="AH162" i="8" s="1"/>
  <c r="AH164" i="8" a="1"/>
  <c r="AH164" i="8" s="1"/>
  <c r="AB13" i="8"/>
  <c r="AB22" i="8"/>
  <c r="AD15" i="8"/>
  <c r="AD22" i="8"/>
  <c r="AH176" i="8" a="1"/>
  <c r="AH176" i="8" s="1"/>
  <c r="AH153" i="8" a="1"/>
  <c r="AH153" i="8" s="1"/>
  <c r="AF22" i="8"/>
  <c r="AB15" i="8"/>
  <c r="AH155" i="8" a="1"/>
  <c r="AH155" i="8" s="1"/>
  <c r="AH165" i="8" a="1"/>
  <c r="AH165" i="8" s="1"/>
  <c r="AH290" i="8" a="1"/>
  <c r="AH290" i="8" s="1"/>
  <c r="AE21" i="8"/>
  <c r="AH172" i="8" a="1"/>
  <c r="AH172" i="8" s="1"/>
  <c r="AD14" i="8"/>
  <c r="AH188" i="8" a="1"/>
  <c r="AH188" i="8" s="1"/>
  <c r="AH240" i="8" a="1"/>
  <c r="AH240" i="8" s="1"/>
  <c r="AH197" i="8" a="1"/>
  <c r="AH197" i="8" s="1"/>
  <c r="AH205" i="8" a="1"/>
  <c r="AH205" i="8" s="1"/>
  <c r="AE38" i="8"/>
  <c r="AB42" i="8"/>
  <c r="AB27" i="8"/>
  <c r="G29" i="13" s="1"/>
  <c r="AH220" i="8" a="1"/>
  <c r="AH220" i="8" s="1"/>
  <c r="AH243" i="8" a="1"/>
  <c r="AH243" i="8" s="1"/>
  <c r="AH221" i="8" a="1"/>
  <c r="AH221" i="8" s="1"/>
  <c r="AH264" i="8" a="1"/>
  <c r="AH264" i="8" s="1"/>
  <c r="AH258" i="8" a="1"/>
  <c r="AH258" i="8" s="1"/>
  <c r="AE59" i="8"/>
  <c r="AB45" i="8"/>
  <c r="AE83" i="8"/>
  <c r="AB61" i="8"/>
  <c r="AH245" i="8" a="1"/>
  <c r="AH245" i="8" s="1"/>
  <c r="AE74" i="8"/>
  <c r="AH312" i="8" a="1"/>
  <c r="AH312" i="8" s="1"/>
  <c r="AD70" i="8"/>
  <c r="AF46" i="8"/>
  <c r="AH242" i="8" a="1"/>
  <c r="AH242" i="8" s="1"/>
  <c r="AH276" i="8" a="1"/>
  <c r="AH276" i="8" s="1"/>
  <c r="AE63" i="8"/>
  <c r="AF66" i="8"/>
  <c r="AH308" i="8" a="1"/>
  <c r="AH308" i="8" s="1"/>
  <c r="AB79" i="8"/>
  <c r="AH267" i="8" a="1"/>
  <c r="AH267" i="8" s="1"/>
  <c r="AB63" i="8"/>
  <c r="AH299" i="8" a="1"/>
  <c r="AH299" i="8" s="1"/>
  <c r="AH332" i="8" a="1"/>
  <c r="AH332" i="8" s="1"/>
  <c r="AF65" i="8"/>
  <c r="AH305" i="8" a="1"/>
  <c r="AH305" i="8" s="1"/>
  <c r="AH367" i="8" a="1"/>
  <c r="AH367" i="8" s="1"/>
  <c r="AF74" i="8"/>
  <c r="AH347" i="8" a="1"/>
  <c r="AH347" i="8" s="1"/>
  <c r="AH339" i="8" a="1"/>
  <c r="AH339" i="8" s="1"/>
  <c r="AE96" i="8"/>
  <c r="M27" i="13" s="1"/>
  <c r="AH325" i="8" a="1"/>
  <c r="AH325" i="8" s="1"/>
  <c r="AE97" i="8"/>
  <c r="AH336" i="8" a="1"/>
  <c r="AH336" i="8" s="1"/>
  <c r="AH372" i="8" a="1"/>
  <c r="AH372" i="8" s="1"/>
  <c r="AF105" i="8"/>
  <c r="AE80" i="8"/>
  <c r="AH348" i="8" a="1"/>
  <c r="AH348" i="8" s="1"/>
  <c r="AB91" i="8"/>
  <c r="AD87" i="8"/>
  <c r="AE95" i="8"/>
  <c r="AE87" i="8"/>
  <c r="AH375" i="8" a="1"/>
  <c r="AH375" i="8" s="1"/>
  <c r="AD96" i="8"/>
  <c r="K27" i="13" s="1"/>
  <c r="AF103" i="8"/>
  <c r="AH407" i="8" a="1"/>
  <c r="AH407" i="8" s="1"/>
  <c r="AE93" i="8"/>
  <c r="AH390" i="8" a="1"/>
  <c r="AH390" i="8" s="1"/>
  <c r="AH396" i="8" a="1"/>
  <c r="AH396" i="8" s="1"/>
  <c r="AH400" i="8" a="1"/>
  <c r="AH400" i="8" s="1"/>
  <c r="AF104" i="8"/>
  <c r="AE108" i="8"/>
  <c r="AH430" i="8" a="1"/>
  <c r="AH430" i="8" s="1"/>
  <c r="AE109" i="8"/>
  <c r="AF443" i="8" a="1"/>
  <c r="AF443" i="8" s="1"/>
  <c r="AF448" i="8" a="1"/>
  <c r="AF448" i="8" s="1"/>
  <c r="AF450" i="8" a="1"/>
  <c r="AF450" i="8" s="1"/>
  <c r="AF449" i="8" a="1"/>
  <c r="AF449" i="8" s="1"/>
  <c r="AI437" i="8"/>
  <c r="AF437" i="8"/>
  <c r="AF447" i="8" a="1"/>
  <c r="AF447" i="8" s="1"/>
  <c r="AF438" i="8"/>
  <c r="AF442" i="8" a="1"/>
  <c r="AF442" i="8" s="1"/>
  <c r="AF444" i="8" a="1"/>
  <c r="AF444" i="8" s="1"/>
  <c r="AE7" i="8"/>
  <c r="AE10" i="8"/>
  <c r="AH126" i="8" a="1"/>
  <c r="AH126" i="8" s="1"/>
  <c r="AD155" i="8" a="1"/>
  <c r="AD155" i="8" s="1"/>
  <c r="V141" i="14" l="1" a="1"/>
  <c r="V141" i="14" s="1"/>
  <c r="V160" i="14" a="1"/>
  <c r="V160" i="14" s="1"/>
  <c r="V134" i="14" a="1"/>
  <c r="V134" i="14" s="1"/>
  <c r="U14" i="14" s="1"/>
  <c r="V398" i="14" a="1"/>
  <c r="V398" i="14" s="1"/>
  <c r="V352" i="14" a="1"/>
  <c r="V352" i="14" s="1"/>
  <c r="V139" i="14" a="1"/>
  <c r="V139" i="14" s="1"/>
  <c r="V142" i="14" a="1"/>
  <c r="V142" i="14" s="1"/>
  <c r="U16" i="14" s="1"/>
  <c r="V151" i="14" a="1"/>
  <c r="V151" i="14" s="1"/>
  <c r="V270" i="14" a="1"/>
  <c r="V270" i="14" s="1"/>
  <c r="U59" i="14" s="1"/>
  <c r="V437" i="14" a="1"/>
  <c r="V437" i="14" s="1"/>
  <c r="U115" i="14" s="1"/>
  <c r="V163" i="14" a="1"/>
  <c r="V163" i="14" s="1"/>
  <c r="V349" i="14" a="1"/>
  <c r="V349" i="14" s="1"/>
  <c r="U85" i="14" s="1"/>
  <c r="N30" i="13" s="1"/>
  <c r="V143" i="14" a="1"/>
  <c r="V143" i="14" s="1"/>
  <c r="V252" i="14" a="1"/>
  <c r="V252" i="14" s="1"/>
  <c r="U53" i="14" s="1"/>
  <c r="V214" i="14" a="1"/>
  <c r="V214" i="14" s="1"/>
  <c r="V339" i="14" a="1"/>
  <c r="V339" i="14" s="1"/>
  <c r="U82" i="14" s="1"/>
  <c r="V157" i="14" a="1"/>
  <c r="V157" i="14" s="1"/>
  <c r="V390" i="14" a="1"/>
  <c r="V390" i="14" s="1"/>
  <c r="U99" i="14" s="1"/>
  <c r="N27" i="13" s="1"/>
  <c r="V149" i="14" a="1"/>
  <c r="V149" i="14" s="1"/>
  <c r="V144" i="14" a="1"/>
  <c r="V144" i="14" s="1"/>
  <c r="V161" i="14" a="1"/>
  <c r="V161" i="14" s="1"/>
  <c r="V167" i="14" a="1"/>
  <c r="V167" i="14" s="1"/>
  <c r="V158" i="14" a="1"/>
  <c r="V158" i="14" s="1"/>
  <c r="U22" i="14" s="1"/>
  <c r="V413" i="14" a="1"/>
  <c r="V413" i="14" s="1"/>
  <c r="U107" i="14" s="1"/>
  <c r="V182" i="14" a="1"/>
  <c r="V182" i="14" s="1"/>
  <c r="U30" i="14" s="1"/>
  <c r="N29" i="13" s="1"/>
  <c r="G16" i="84"/>
  <c r="G16" i="65"/>
  <c r="G16" i="83"/>
  <c r="G16" i="47"/>
  <c r="M16" i="49"/>
  <c r="M16" i="50"/>
  <c r="M16" i="66"/>
  <c r="E16" i="66" s="1"/>
  <c r="M16" i="48"/>
  <c r="E16" i="48" s="1"/>
  <c r="G16" i="50"/>
  <c r="E16" i="50" s="1"/>
  <c r="M15" i="83"/>
  <c r="M15" i="47"/>
  <c r="M15" i="43"/>
  <c r="M15" i="52"/>
  <c r="E15" i="52" s="1"/>
  <c r="G15" i="49"/>
  <c r="M16" i="97"/>
  <c r="M18" i="43"/>
  <c r="M18" i="97"/>
  <c r="G18" i="44"/>
  <c r="G18" i="97"/>
  <c r="E18" i="97" s="1"/>
  <c r="G16" i="81"/>
  <c r="G15" i="47"/>
  <c r="G17" i="52"/>
  <c r="G17" i="82"/>
  <c r="E17" i="51"/>
  <c r="E15" i="83"/>
  <c r="E18" i="51"/>
  <c r="G15" i="43"/>
  <c r="E15" i="43" s="1"/>
  <c r="G15" i="81"/>
  <c r="G17" i="97"/>
  <c r="G18" i="50"/>
  <c r="E18" i="50" s="1"/>
  <c r="G18" i="84"/>
  <c r="G17" i="68"/>
  <c r="G16" i="97"/>
  <c r="G17" i="50"/>
  <c r="G16" i="52"/>
  <c r="G17" i="67"/>
  <c r="G17" i="66"/>
  <c r="G17" i="98"/>
  <c r="G15" i="68"/>
  <c r="G15" i="98"/>
  <c r="G17" i="99"/>
  <c r="G16" i="68"/>
  <c r="G15" i="82"/>
  <c r="G18" i="66"/>
  <c r="G16" i="51"/>
  <c r="G18" i="48"/>
  <c r="G16" i="98"/>
  <c r="M15" i="51"/>
  <c r="E15" i="51" s="1"/>
  <c r="M15" i="100"/>
  <c r="M16" i="67"/>
  <c r="E16" i="67" s="1"/>
  <c r="M18" i="48"/>
  <c r="M16" i="44"/>
  <c r="E16" i="44" s="1"/>
  <c r="M18" i="84"/>
  <c r="M17" i="49"/>
  <c r="E17" i="49" s="1"/>
  <c r="G14" i="97"/>
  <c r="M15" i="50"/>
  <c r="E15" i="50" s="1"/>
  <c r="G18" i="100"/>
  <c r="G15" i="100"/>
  <c r="G18" i="82"/>
  <c r="E18" i="82" s="1"/>
  <c r="M15" i="81"/>
  <c r="E16" i="49"/>
  <c r="E15" i="65"/>
  <c r="M18" i="50"/>
  <c r="E18" i="81"/>
  <c r="G14" i="100"/>
  <c r="M16" i="47"/>
  <c r="M18" i="100"/>
  <c r="E18" i="100" s="1"/>
  <c r="M17" i="50"/>
  <c r="M17" i="47"/>
  <c r="E17" i="47" s="1"/>
  <c r="M15" i="44"/>
  <c r="M16" i="52"/>
  <c r="M17" i="83"/>
  <c r="E17" i="83" s="1"/>
  <c r="M16" i="82"/>
  <c r="E16" i="82" s="1"/>
  <c r="M17" i="66"/>
  <c r="M17" i="98"/>
  <c r="M15" i="68"/>
  <c r="M15" i="98"/>
  <c r="M17" i="48"/>
  <c r="E17" i="48" s="1"/>
  <c r="M17" i="99"/>
  <c r="M16" i="100"/>
  <c r="E16" i="100" s="1"/>
  <c r="M16" i="84"/>
  <c r="M16" i="68"/>
  <c r="E18" i="83"/>
  <c r="M12" i="98"/>
  <c r="M18" i="44"/>
  <c r="E18" i="44" s="1"/>
  <c r="M15" i="49"/>
  <c r="E15" i="49" s="1"/>
  <c r="M15" i="99"/>
  <c r="E15" i="99" s="1"/>
  <c r="M15" i="82"/>
  <c r="M17" i="65"/>
  <c r="E17" i="65" s="1"/>
  <c r="M18" i="65"/>
  <c r="E18" i="65" s="1"/>
  <c r="M18" i="66"/>
  <c r="E18" i="66" s="1"/>
  <c r="M17" i="81"/>
  <c r="E17" i="81" s="1"/>
  <c r="M16" i="51"/>
  <c r="M18" i="67"/>
  <c r="E18" i="67" s="1"/>
  <c r="M16" i="99"/>
  <c r="E16" i="99" s="1"/>
  <c r="M17" i="67"/>
  <c r="M18" i="52"/>
  <c r="E18" i="52" s="1"/>
  <c r="M16" i="81"/>
  <c r="M16" i="98"/>
  <c r="M17" i="84"/>
  <c r="E17" i="84" s="1"/>
  <c r="E15" i="97"/>
  <c r="M17" i="68"/>
  <c r="M18" i="47"/>
  <c r="E18" i="47" s="1"/>
  <c r="M16" i="43"/>
  <c r="E16" i="43" s="1"/>
  <c r="E15" i="67"/>
  <c r="G14" i="83"/>
  <c r="M17" i="82"/>
  <c r="E17" i="82" s="1"/>
  <c r="M17" i="97"/>
  <c r="M17" i="52"/>
  <c r="E17" i="52" s="1"/>
  <c r="M18" i="68"/>
  <c r="E18" i="68" s="1"/>
  <c r="M18" i="99"/>
  <c r="E18" i="99" s="1"/>
  <c r="M15" i="48"/>
  <c r="E15" i="48" s="1"/>
  <c r="M15" i="66"/>
  <c r="E15" i="66" s="1"/>
  <c r="M18" i="98"/>
  <c r="E18" i="98" s="1"/>
  <c r="M15" i="84"/>
  <c r="E15" i="84" s="1"/>
  <c r="M17" i="44"/>
  <c r="E17" i="44" s="1"/>
  <c r="E15" i="47"/>
  <c r="M17" i="100"/>
  <c r="E17" i="100" s="1"/>
  <c r="M16" i="83"/>
  <c r="E16" i="83" s="1"/>
  <c r="M16" i="65"/>
  <c r="E16" i="65" s="1"/>
  <c r="G14" i="81"/>
  <c r="AI139" i="8"/>
  <c r="M14" i="52"/>
  <c r="G14" i="47"/>
  <c r="G14" i="98"/>
  <c r="G14" i="99"/>
  <c r="G14" i="48"/>
  <c r="G14" i="82"/>
  <c r="G31" i="13"/>
  <c r="M14" i="47"/>
  <c r="M14" i="98"/>
  <c r="M14" i="97"/>
  <c r="M14" i="66"/>
  <c r="G14" i="52"/>
  <c r="G14" i="49"/>
  <c r="G14" i="43"/>
  <c r="G14" i="44"/>
  <c r="G14" i="51"/>
  <c r="G14" i="66"/>
  <c r="M14" i="99"/>
  <c r="M11" i="68"/>
  <c r="G26" i="13"/>
  <c r="G9" i="44"/>
  <c r="M11" i="50"/>
  <c r="G33" i="13"/>
  <c r="AG472" i="8"/>
  <c r="G24" i="13"/>
  <c r="G23" i="13"/>
  <c r="G28" i="13"/>
  <c r="M10" i="68"/>
  <c r="G14" i="50"/>
  <c r="G14" i="65"/>
  <c r="G14" i="84"/>
  <c r="G14" i="68"/>
  <c r="G12" i="100"/>
  <c r="P36" i="106"/>
  <c r="M10" i="100"/>
  <c r="G10" i="65"/>
  <c r="U10" i="65" s="1"/>
  <c r="G11" i="84"/>
  <c r="G10" i="100"/>
  <c r="U10" i="100" s="1"/>
  <c r="M14" i="100"/>
  <c r="G15" i="13"/>
  <c r="M14" i="51"/>
  <c r="M14" i="43"/>
  <c r="M14" i="50"/>
  <c r="M14" i="65"/>
  <c r="M14" i="84"/>
  <c r="M14" i="83"/>
  <c r="M14" i="82"/>
  <c r="M14" i="49"/>
  <c r="M14" i="81"/>
  <c r="M14" i="68"/>
  <c r="M14" i="48"/>
  <c r="M14" i="44"/>
  <c r="E22" i="43"/>
  <c r="H23" i="14"/>
  <c r="E17" i="43"/>
  <c r="E24" i="43"/>
  <c r="H25" i="14"/>
  <c r="I36" i="34"/>
  <c r="I36" i="70"/>
  <c r="E33" i="43"/>
  <c r="H34" i="14"/>
  <c r="M11" i="84"/>
  <c r="P36" i="95"/>
  <c r="P36" i="89"/>
  <c r="G13" i="82"/>
  <c r="M11" i="81"/>
  <c r="P36" i="61"/>
  <c r="E31" i="43"/>
  <c r="H32" i="14"/>
  <c r="E28" i="43"/>
  <c r="H29" i="14"/>
  <c r="E32" i="43"/>
  <c r="H33" i="14"/>
  <c r="G11" i="44"/>
  <c r="M12" i="65"/>
  <c r="E27" i="43"/>
  <c r="H28" i="14"/>
  <c r="E30" i="43"/>
  <c r="H31" i="14"/>
  <c r="E21" i="43"/>
  <c r="H22" i="14"/>
  <c r="E29" i="43"/>
  <c r="H30" i="14"/>
  <c r="E19" i="43"/>
  <c r="H20" i="14"/>
  <c r="G11" i="83"/>
  <c r="G10" i="83"/>
  <c r="U10" i="83" s="1"/>
  <c r="E25" i="43"/>
  <c r="H26" i="14"/>
  <c r="E18" i="43"/>
  <c r="E23" i="43"/>
  <c r="H24" i="14"/>
  <c r="E20" i="43"/>
  <c r="H21" i="14"/>
  <c r="E26" i="43"/>
  <c r="H27" i="14"/>
  <c r="I36" i="92"/>
  <c r="M10" i="82"/>
  <c r="R29" i="14"/>
  <c r="R114" i="14"/>
  <c r="R30" i="14"/>
  <c r="H29" i="13" s="1"/>
  <c r="R31" i="14"/>
  <c r="R47" i="14"/>
  <c r="R53" i="14"/>
  <c r="R83" i="14"/>
  <c r="H31" i="13" s="1"/>
  <c r="R99" i="14"/>
  <c r="H27" i="13" s="1"/>
  <c r="R45" i="14"/>
  <c r="R58" i="14"/>
  <c r="R75" i="14"/>
  <c r="R104" i="14"/>
  <c r="R36" i="14"/>
  <c r="R71" i="14"/>
  <c r="R16" i="14"/>
  <c r="R89" i="14"/>
  <c r="R23" i="14"/>
  <c r="R88" i="14"/>
  <c r="R15" i="14"/>
  <c r="R21" i="14"/>
  <c r="R28" i="14"/>
  <c r="R93" i="14"/>
  <c r="R103" i="14"/>
  <c r="R90" i="14"/>
  <c r="R54" i="14"/>
  <c r="R42" i="14"/>
  <c r="R48" i="14"/>
  <c r="R98" i="14"/>
  <c r="R63" i="14"/>
  <c r="R113" i="14"/>
  <c r="R60" i="14"/>
  <c r="R72" i="14"/>
  <c r="R20" i="14"/>
  <c r="R17" i="14"/>
  <c r="R34" i="14"/>
  <c r="R32" i="14"/>
  <c r="R39" i="14"/>
  <c r="R43" i="14"/>
  <c r="R64" i="14"/>
  <c r="R69" i="14"/>
  <c r="R105" i="14"/>
  <c r="R84" i="14"/>
  <c r="G12" i="98"/>
  <c r="P36" i="101"/>
  <c r="M9" i="97"/>
  <c r="M12" i="100"/>
  <c r="G11" i="97"/>
  <c r="P36" i="109"/>
  <c r="J46" i="108" a="1"/>
  <c r="J46" i="108" s="1"/>
  <c r="H42" i="108" a="1"/>
  <c r="H42" i="108" s="1"/>
  <c r="H40" i="108" a="1"/>
  <c r="H40" i="108" s="1"/>
  <c r="J42" i="108" a="1"/>
  <c r="J42" i="108" s="1"/>
  <c r="H46" i="108" a="1"/>
  <c r="H46" i="108" s="1"/>
  <c r="J45" i="108" a="1"/>
  <c r="J45" i="108" s="1"/>
  <c r="J41" i="108" a="1"/>
  <c r="J41" i="108" s="1"/>
  <c r="H45" i="108" a="1"/>
  <c r="H45" i="108" s="1"/>
  <c r="J43" i="108" a="1"/>
  <c r="J43" i="108" s="1"/>
  <c r="J40" i="108" a="1"/>
  <c r="J40" i="108" s="1"/>
  <c r="H41" i="108" a="1"/>
  <c r="H41" i="108" s="1"/>
  <c r="H43" i="108" a="1"/>
  <c r="H43" i="108" s="1"/>
  <c r="G10" i="99"/>
  <c r="U10" i="99" s="1"/>
  <c r="I36" i="103"/>
  <c r="I36" i="107"/>
  <c r="G9" i="99"/>
  <c r="J46" i="109" a="1"/>
  <c r="J46" i="109" s="1"/>
  <c r="H42" i="109" a="1"/>
  <c r="H42" i="109" s="1"/>
  <c r="H40" i="109" a="1"/>
  <c r="H40" i="109" s="1"/>
  <c r="H46" i="109" a="1"/>
  <c r="H46" i="109" s="1"/>
  <c r="J43" i="109" a="1"/>
  <c r="J43" i="109" s="1"/>
  <c r="J41" i="109" a="1"/>
  <c r="J41" i="109" s="1"/>
  <c r="J45" i="109" a="1"/>
  <c r="J45" i="109" s="1"/>
  <c r="H43" i="109" a="1"/>
  <c r="H43" i="109" s="1"/>
  <c r="H41" i="109" a="1"/>
  <c r="H41" i="109" s="1"/>
  <c r="J42" i="109" a="1"/>
  <c r="J42" i="109" s="1"/>
  <c r="J40" i="109" a="1"/>
  <c r="J40" i="109" s="1"/>
  <c r="H45" i="109" a="1"/>
  <c r="H45" i="109" s="1"/>
  <c r="H49" i="109" s="1"/>
  <c r="AJ416" i="8"/>
  <c r="I36" i="93"/>
  <c r="G11" i="82"/>
  <c r="M11" i="100"/>
  <c r="P36" i="104"/>
  <c r="M9" i="98"/>
  <c r="P36" i="108"/>
  <c r="J45" i="103" a="1"/>
  <c r="J45" i="103" s="1"/>
  <c r="H43" i="103" a="1"/>
  <c r="H43" i="103" s="1"/>
  <c r="H41" i="103" a="1"/>
  <c r="H41" i="103" s="1"/>
  <c r="H45" i="103" a="1"/>
  <c r="H45" i="103" s="1"/>
  <c r="J42" i="103" a="1"/>
  <c r="J42" i="103" s="1"/>
  <c r="J40" i="103" a="1"/>
  <c r="J40" i="103" s="1"/>
  <c r="J46" i="103" a="1"/>
  <c r="J46" i="103" s="1"/>
  <c r="H42" i="103" a="1"/>
  <c r="H42" i="103" s="1"/>
  <c r="H40" i="103" a="1"/>
  <c r="H40" i="103" s="1"/>
  <c r="H46" i="103" a="1"/>
  <c r="H46" i="103" s="1"/>
  <c r="J43" i="103" a="1"/>
  <c r="J43" i="103" s="1"/>
  <c r="J41" i="103" a="1"/>
  <c r="J41" i="103" s="1"/>
  <c r="H45" i="112" a="1"/>
  <c r="H45" i="112" s="1"/>
  <c r="J42" i="112" a="1"/>
  <c r="J42" i="112" s="1"/>
  <c r="J40" i="112" a="1"/>
  <c r="J40" i="112" s="1"/>
  <c r="J46" i="112" a="1"/>
  <c r="J46" i="112" s="1"/>
  <c r="H42" i="112" a="1"/>
  <c r="H42" i="112" s="1"/>
  <c r="H40" i="112" a="1"/>
  <c r="H40" i="112" s="1"/>
  <c r="H46" i="112" a="1"/>
  <c r="H46" i="112" s="1"/>
  <c r="J43" i="112" a="1"/>
  <c r="J43" i="112" s="1"/>
  <c r="J41" i="112" a="1"/>
  <c r="J41" i="112" s="1"/>
  <c r="J45" i="112" a="1"/>
  <c r="J45" i="112" s="1"/>
  <c r="H43" i="112" a="1"/>
  <c r="H43" i="112" s="1"/>
  <c r="H41" i="112" a="1"/>
  <c r="H41" i="112" s="1"/>
  <c r="G10" i="98"/>
  <c r="U10" i="98" s="1"/>
  <c r="G13" i="98"/>
  <c r="M13" i="98"/>
  <c r="P36" i="73"/>
  <c r="G13" i="81"/>
  <c r="G11" i="100"/>
  <c r="P36" i="111"/>
  <c r="I36" i="104"/>
  <c r="G9" i="98"/>
  <c r="I36" i="108"/>
  <c r="M12" i="99"/>
  <c r="J46" i="101" a="1"/>
  <c r="J46" i="101" s="1"/>
  <c r="H42" i="101" a="1"/>
  <c r="H42" i="101" s="1"/>
  <c r="H40" i="101" a="1"/>
  <c r="H40" i="101" s="1"/>
  <c r="H46" i="101" a="1"/>
  <c r="H46" i="101" s="1"/>
  <c r="J43" i="101" a="1"/>
  <c r="J43" i="101" s="1"/>
  <c r="J41" i="101" a="1"/>
  <c r="J41" i="101" s="1"/>
  <c r="H45" i="101" a="1"/>
  <c r="H45" i="101" s="1"/>
  <c r="J42" i="101" a="1"/>
  <c r="J42" i="101" s="1"/>
  <c r="J40" i="101" a="1"/>
  <c r="J40" i="101" s="1"/>
  <c r="H43" i="101" a="1"/>
  <c r="H43" i="101" s="1"/>
  <c r="H41" i="101" a="1"/>
  <c r="H41" i="101" s="1"/>
  <c r="J45" i="101" a="1"/>
  <c r="J45" i="101" s="1"/>
  <c r="H46" i="110" a="1"/>
  <c r="H46" i="110" s="1"/>
  <c r="J43" i="110" a="1"/>
  <c r="J43" i="110" s="1"/>
  <c r="J41" i="110" a="1"/>
  <c r="J41" i="110" s="1"/>
  <c r="J45" i="110" a="1"/>
  <c r="J45" i="110" s="1"/>
  <c r="H43" i="110" a="1"/>
  <c r="H43" i="110" s="1"/>
  <c r="H41" i="110" a="1"/>
  <c r="H41" i="110" s="1"/>
  <c r="H45" i="110" a="1"/>
  <c r="H45" i="110" s="1"/>
  <c r="J42" i="110" a="1"/>
  <c r="J42" i="110" s="1"/>
  <c r="J40" i="110" a="1"/>
  <c r="J40" i="110" s="1"/>
  <c r="H40" i="110" a="1"/>
  <c r="H40" i="110" s="1"/>
  <c r="J46" i="110" a="1"/>
  <c r="J46" i="110" s="1"/>
  <c r="H42" i="110" a="1"/>
  <c r="H42" i="110" s="1"/>
  <c r="M11" i="99"/>
  <c r="M10" i="98"/>
  <c r="G13" i="97"/>
  <c r="I36" i="101"/>
  <c r="G9" i="97"/>
  <c r="I36" i="109"/>
  <c r="P36" i="107"/>
  <c r="M9" i="99"/>
  <c r="I36" i="106"/>
  <c r="H46" i="105" a="1"/>
  <c r="H46" i="105" s="1"/>
  <c r="J43" i="105" a="1"/>
  <c r="J43" i="105" s="1"/>
  <c r="J41" i="105" a="1"/>
  <c r="J41" i="105" s="1"/>
  <c r="H45" i="105" a="1"/>
  <c r="H45" i="105" s="1"/>
  <c r="J42" i="105" a="1"/>
  <c r="J42" i="105" s="1"/>
  <c r="J40" i="105" a="1"/>
  <c r="J40" i="105" s="1"/>
  <c r="H41" i="105" a="1"/>
  <c r="H41" i="105" s="1"/>
  <c r="H43" i="105" a="1"/>
  <c r="H43" i="105" s="1"/>
  <c r="H40" i="105" a="1"/>
  <c r="H40" i="105" s="1"/>
  <c r="J46" i="105" a="1"/>
  <c r="J46" i="105" s="1"/>
  <c r="H42" i="105" a="1"/>
  <c r="H42" i="105" s="1"/>
  <c r="J45" i="105" a="1"/>
  <c r="J45" i="105" s="1"/>
  <c r="AI140" i="8"/>
  <c r="G11" i="50"/>
  <c r="G11" i="66"/>
  <c r="E11" i="66" s="1"/>
  <c r="G10" i="68"/>
  <c r="U10" i="68" s="1"/>
  <c r="M11" i="98"/>
  <c r="I36" i="111"/>
  <c r="G12" i="99"/>
  <c r="H46" i="104" a="1"/>
  <c r="H46" i="104" s="1"/>
  <c r="H41" i="104" a="1"/>
  <c r="H41" i="104" s="1"/>
  <c r="H43" i="104" a="1"/>
  <c r="H43" i="104" s="1"/>
  <c r="J45" i="104" a="1"/>
  <c r="J45" i="104" s="1"/>
  <c r="J40" i="104" a="1"/>
  <c r="J40" i="104" s="1"/>
  <c r="J42" i="104" a="1"/>
  <c r="J42" i="104" s="1"/>
  <c r="H45" i="104" a="1"/>
  <c r="H45" i="104" s="1"/>
  <c r="H40" i="104" a="1"/>
  <c r="H40" i="104" s="1"/>
  <c r="H42" i="104" a="1"/>
  <c r="H42" i="104" s="1"/>
  <c r="J46" i="104" a="1"/>
  <c r="J46" i="104" s="1"/>
  <c r="J43" i="104" a="1"/>
  <c r="J43" i="104" s="1"/>
  <c r="J41" i="104" a="1"/>
  <c r="J41" i="104" s="1"/>
  <c r="J45" i="111" a="1"/>
  <c r="J45" i="111" s="1"/>
  <c r="H43" i="111" a="1"/>
  <c r="H43" i="111" s="1"/>
  <c r="H41" i="111" a="1"/>
  <c r="H41" i="111" s="1"/>
  <c r="H45" i="111" a="1"/>
  <c r="H45" i="111" s="1"/>
  <c r="J42" i="111" a="1"/>
  <c r="J42" i="111" s="1"/>
  <c r="J40" i="111" a="1"/>
  <c r="J40" i="111" s="1"/>
  <c r="J46" i="111" a="1"/>
  <c r="J46" i="111" s="1"/>
  <c r="H42" i="111" a="1"/>
  <c r="H42" i="111" s="1"/>
  <c r="H40" i="111" a="1"/>
  <c r="H40" i="111" s="1"/>
  <c r="J43" i="111" a="1"/>
  <c r="J43" i="111" s="1"/>
  <c r="J41" i="111" a="1"/>
  <c r="J41" i="111" s="1"/>
  <c r="H46" i="111" a="1"/>
  <c r="H46" i="111" s="1"/>
  <c r="G11" i="99"/>
  <c r="P36" i="105"/>
  <c r="G10" i="97"/>
  <c r="U10" i="97" s="1"/>
  <c r="M13" i="97"/>
  <c r="AJ364" i="8"/>
  <c r="M12" i="84"/>
  <c r="G12" i="83"/>
  <c r="G11" i="98"/>
  <c r="P36" i="102"/>
  <c r="P36" i="110"/>
  <c r="M9" i="100"/>
  <c r="G13" i="100"/>
  <c r="M12" i="97"/>
  <c r="H46" i="102" a="1"/>
  <c r="H46" i="102" s="1"/>
  <c r="J43" i="102" a="1"/>
  <c r="J43" i="102" s="1"/>
  <c r="J45" i="102" a="1"/>
  <c r="J45" i="102" s="1"/>
  <c r="H43" i="102" a="1"/>
  <c r="H43" i="102" s="1"/>
  <c r="H41" i="102" a="1"/>
  <c r="H41" i="102" s="1"/>
  <c r="H45" i="102" a="1"/>
  <c r="H45" i="102" s="1"/>
  <c r="J42" i="102" a="1"/>
  <c r="J42" i="102" s="1"/>
  <c r="J40" i="102" a="1"/>
  <c r="J40" i="102" s="1"/>
  <c r="J41" i="102" a="1"/>
  <c r="J41" i="102" s="1"/>
  <c r="J46" i="102" a="1"/>
  <c r="J46" i="102" s="1"/>
  <c r="H40" i="102" a="1"/>
  <c r="H40" i="102" s="1"/>
  <c r="H42" i="102" a="1"/>
  <c r="H42" i="102" s="1"/>
  <c r="M13" i="99"/>
  <c r="I36" i="105"/>
  <c r="M10" i="97"/>
  <c r="I36" i="112"/>
  <c r="I36" i="102"/>
  <c r="I36" i="110"/>
  <c r="G9" i="100"/>
  <c r="M13" i="100"/>
  <c r="M11" i="97"/>
  <c r="G12" i="97"/>
  <c r="H45" i="107" a="1"/>
  <c r="H45" i="107" s="1"/>
  <c r="J42" i="107" a="1"/>
  <c r="J42" i="107" s="1"/>
  <c r="J40" i="107" a="1"/>
  <c r="J40" i="107" s="1"/>
  <c r="J46" i="107" a="1"/>
  <c r="J46" i="107" s="1"/>
  <c r="H42" i="107" a="1"/>
  <c r="H42" i="107" s="1"/>
  <c r="H40" i="107" a="1"/>
  <c r="H40" i="107" s="1"/>
  <c r="H46" i="107" a="1"/>
  <c r="H46" i="107" s="1"/>
  <c r="J43" i="107" a="1"/>
  <c r="J43" i="107" s="1"/>
  <c r="J41" i="107" a="1"/>
  <c r="J41" i="107" s="1"/>
  <c r="H43" i="107" a="1"/>
  <c r="H43" i="107" s="1"/>
  <c r="H41" i="107" a="1"/>
  <c r="H41" i="107" s="1"/>
  <c r="J45" i="107" a="1"/>
  <c r="J45" i="107" s="1"/>
  <c r="J49" i="107" s="1"/>
  <c r="J45" i="106" a="1"/>
  <c r="J45" i="106" s="1"/>
  <c r="H43" i="106" a="1"/>
  <c r="H43" i="106" s="1"/>
  <c r="H41" i="106" a="1"/>
  <c r="H41" i="106" s="1"/>
  <c r="H45" i="106" a="1"/>
  <c r="H45" i="106" s="1"/>
  <c r="J42" i="106" a="1"/>
  <c r="J42" i="106" s="1"/>
  <c r="J40" i="106" a="1"/>
  <c r="J40" i="106" s="1"/>
  <c r="J46" i="106" a="1"/>
  <c r="J46" i="106" s="1"/>
  <c r="H42" i="106" a="1"/>
  <c r="H42" i="106" s="1"/>
  <c r="H40" i="106" a="1"/>
  <c r="H40" i="106" s="1"/>
  <c r="J41" i="106" a="1"/>
  <c r="J41" i="106" s="1"/>
  <c r="H46" i="106" a="1"/>
  <c r="H46" i="106" s="1"/>
  <c r="J43" i="106" a="1"/>
  <c r="J43" i="106" s="1"/>
  <c r="G13" i="99"/>
  <c r="M10" i="99"/>
  <c r="P36" i="103"/>
  <c r="P36" i="112"/>
  <c r="I36" i="79"/>
  <c r="I36" i="95"/>
  <c r="I36" i="89"/>
  <c r="I36" i="91"/>
  <c r="G9" i="83"/>
  <c r="G11" i="81"/>
  <c r="H46" i="90" a="1"/>
  <c r="H46" i="90" s="1"/>
  <c r="J43" i="90" a="1"/>
  <c r="J43" i="90" s="1"/>
  <c r="J41" i="90" a="1"/>
  <c r="J41" i="90" s="1"/>
  <c r="J45" i="90" a="1"/>
  <c r="J45" i="90" s="1"/>
  <c r="H43" i="90" a="1"/>
  <c r="H43" i="90" s="1"/>
  <c r="H41" i="90" a="1"/>
  <c r="H41" i="90" s="1"/>
  <c r="J40" i="90" a="1"/>
  <c r="J40" i="90" s="1"/>
  <c r="J46" i="90" a="1"/>
  <c r="J46" i="90" s="1"/>
  <c r="J42" i="90" a="1"/>
  <c r="J42" i="90" s="1"/>
  <c r="H42" i="90" a="1"/>
  <c r="H42" i="90" s="1"/>
  <c r="H45" i="90" a="1"/>
  <c r="H45" i="90" s="1"/>
  <c r="H40" i="90" a="1"/>
  <c r="H40" i="90" s="1"/>
  <c r="M11" i="82"/>
  <c r="G10" i="84"/>
  <c r="U10" i="84" s="1"/>
  <c r="I36" i="94"/>
  <c r="G9" i="84"/>
  <c r="P36" i="91"/>
  <c r="M9" i="83"/>
  <c r="M10" i="84"/>
  <c r="I36" i="77"/>
  <c r="G12" i="66"/>
  <c r="M11" i="83"/>
  <c r="M10" i="83"/>
  <c r="M13" i="81"/>
  <c r="H46" i="85" a="1"/>
  <c r="H46" i="85" s="1"/>
  <c r="J43" i="85" a="1"/>
  <c r="J43" i="85" s="1"/>
  <c r="J41" i="85" a="1"/>
  <c r="J41" i="85" s="1"/>
  <c r="H45" i="85" a="1"/>
  <c r="H45" i="85" s="1"/>
  <c r="H42" i="85" a="1"/>
  <c r="H42" i="85" s="1"/>
  <c r="J46" i="85" a="1"/>
  <c r="J46" i="85" s="1"/>
  <c r="H41" i="85" a="1"/>
  <c r="H41" i="85" s="1"/>
  <c r="J45" i="85" a="1"/>
  <c r="J45" i="85" s="1"/>
  <c r="J40" i="85" a="1"/>
  <c r="J40" i="85" s="1"/>
  <c r="J42" i="85" a="1"/>
  <c r="J42" i="85" s="1"/>
  <c r="H40" i="85" a="1"/>
  <c r="H40" i="85" s="1"/>
  <c r="H43" i="85" a="1"/>
  <c r="H43" i="85" s="1"/>
  <c r="I36" i="86"/>
  <c r="P36" i="87"/>
  <c r="I36" i="73"/>
  <c r="M11" i="65"/>
  <c r="P36" i="93"/>
  <c r="M12" i="81"/>
  <c r="J46" i="89" a="1"/>
  <c r="J46" i="89" s="1"/>
  <c r="H42" i="89" a="1"/>
  <c r="H42" i="89" s="1"/>
  <c r="H40" i="89" a="1"/>
  <c r="H40" i="89" s="1"/>
  <c r="H46" i="89" a="1"/>
  <c r="H46" i="89" s="1"/>
  <c r="J43" i="89" a="1"/>
  <c r="J43" i="89" s="1"/>
  <c r="J41" i="89" a="1"/>
  <c r="J41" i="89" s="1"/>
  <c r="H43" i="89" a="1"/>
  <c r="H43" i="89" s="1"/>
  <c r="J45" i="89" a="1"/>
  <c r="J45" i="89" s="1"/>
  <c r="J42" i="89" a="1"/>
  <c r="J42" i="89" s="1"/>
  <c r="H45" i="89" a="1"/>
  <c r="H45" i="89" s="1"/>
  <c r="H41" i="89" a="1"/>
  <c r="H41" i="89" s="1"/>
  <c r="J40" i="89" a="1"/>
  <c r="J40" i="89" s="1"/>
  <c r="J45" i="86" a="1"/>
  <c r="J45" i="86" s="1"/>
  <c r="H43" i="86" a="1"/>
  <c r="H43" i="86" s="1"/>
  <c r="H41" i="86" a="1"/>
  <c r="H41" i="86" s="1"/>
  <c r="H45" i="86" a="1"/>
  <c r="H45" i="86" s="1"/>
  <c r="J42" i="86" a="1"/>
  <c r="J42" i="86" s="1"/>
  <c r="J40" i="86" a="1"/>
  <c r="J40" i="86" s="1"/>
  <c r="J43" i="86" a="1"/>
  <c r="J43" i="86" s="1"/>
  <c r="H40" i="86" a="1"/>
  <c r="H40" i="86" s="1"/>
  <c r="J46" i="86" a="1"/>
  <c r="J46" i="86" s="1"/>
  <c r="H46" i="86" a="1"/>
  <c r="H46" i="86" s="1"/>
  <c r="H42" i="86" a="1"/>
  <c r="H42" i="86" s="1"/>
  <c r="J41" i="86" a="1"/>
  <c r="J41" i="86" s="1"/>
  <c r="P36" i="86"/>
  <c r="I36" i="87"/>
  <c r="M12" i="82"/>
  <c r="J45" i="95" a="1"/>
  <c r="J45" i="95" s="1"/>
  <c r="H43" i="95" a="1"/>
  <c r="H43" i="95" s="1"/>
  <c r="H41" i="95" a="1"/>
  <c r="H41" i="95" s="1"/>
  <c r="J43" i="95" a="1"/>
  <c r="J43" i="95" s="1"/>
  <c r="H40" i="95" a="1"/>
  <c r="H40" i="95" s="1"/>
  <c r="J46" i="95" a="1"/>
  <c r="J46" i="95" s="1"/>
  <c r="J42" i="95" a="1"/>
  <c r="J42" i="95" s="1"/>
  <c r="H46" i="95" a="1"/>
  <c r="H46" i="95" s="1"/>
  <c r="H42" i="95" a="1"/>
  <c r="H42" i="95" s="1"/>
  <c r="J41" i="95" a="1"/>
  <c r="J41" i="95" s="1"/>
  <c r="J40" i="95" a="1"/>
  <c r="J40" i="95" s="1"/>
  <c r="H45" i="95" a="1"/>
  <c r="H45" i="95" s="1"/>
  <c r="G12" i="52"/>
  <c r="M10" i="65"/>
  <c r="M13" i="67"/>
  <c r="P36" i="70"/>
  <c r="P36" i="92"/>
  <c r="M12" i="83"/>
  <c r="G12" i="81"/>
  <c r="J46" i="93" a="1"/>
  <c r="J46" i="93" s="1"/>
  <c r="H46" i="93" a="1"/>
  <c r="H46" i="93" s="1"/>
  <c r="H43" i="93" a="1"/>
  <c r="H43" i="93" s="1"/>
  <c r="J40" i="93" a="1"/>
  <c r="J40" i="93" s="1"/>
  <c r="H42" i="93" a="1"/>
  <c r="H42" i="93" s="1"/>
  <c r="J42" i="93" a="1"/>
  <c r="J42" i="93" s="1"/>
  <c r="J45" i="93" a="1"/>
  <c r="J45" i="93" s="1"/>
  <c r="H41" i="93" a="1"/>
  <c r="H41" i="93" s="1"/>
  <c r="H40" i="93" a="1"/>
  <c r="H40" i="93" s="1"/>
  <c r="H45" i="93" a="1"/>
  <c r="H45" i="93" s="1"/>
  <c r="H49" i="93" s="1"/>
  <c r="J43" i="93" a="1"/>
  <c r="J43" i="93" s="1"/>
  <c r="J41" i="93" a="1"/>
  <c r="J41" i="93" s="1"/>
  <c r="M9" i="82"/>
  <c r="P36" i="88"/>
  <c r="G12" i="82"/>
  <c r="H45" i="92" a="1"/>
  <c r="H45" i="92" s="1"/>
  <c r="H40" i="92" a="1"/>
  <c r="H40" i="92" s="1"/>
  <c r="H42" i="92" a="1"/>
  <c r="H42" i="92" s="1"/>
  <c r="J46" i="92" a="1"/>
  <c r="J46" i="92" s="1"/>
  <c r="J41" i="92" a="1"/>
  <c r="J41" i="92" s="1"/>
  <c r="J42" i="92" a="1"/>
  <c r="J42" i="92" s="1"/>
  <c r="H46" i="92" a="1"/>
  <c r="H46" i="92" s="1"/>
  <c r="J45" i="92" a="1"/>
  <c r="J45" i="92" s="1"/>
  <c r="H41" i="92" a="1"/>
  <c r="H41" i="92" s="1"/>
  <c r="J43" i="92" a="1"/>
  <c r="J43" i="92" s="1"/>
  <c r="J40" i="92" a="1"/>
  <c r="J40" i="92" s="1"/>
  <c r="H43" i="92" a="1"/>
  <c r="H43" i="92" s="1"/>
  <c r="P36" i="94"/>
  <c r="M9" i="84"/>
  <c r="M13" i="51"/>
  <c r="M13" i="83"/>
  <c r="J46" i="91" a="1"/>
  <c r="J46" i="91" s="1"/>
  <c r="H42" i="91" a="1"/>
  <c r="H42" i="91" s="1"/>
  <c r="H40" i="91" a="1"/>
  <c r="H40" i="91" s="1"/>
  <c r="H46" i="91" a="1"/>
  <c r="H46" i="91" s="1"/>
  <c r="J43" i="91" a="1"/>
  <c r="J43" i="91" s="1"/>
  <c r="J41" i="91" a="1"/>
  <c r="J41" i="91" s="1"/>
  <c r="J40" i="91" a="1"/>
  <c r="J40" i="91" s="1"/>
  <c r="H43" i="91" a="1"/>
  <c r="H43" i="91" s="1"/>
  <c r="J42" i="91" a="1"/>
  <c r="J42" i="91" s="1"/>
  <c r="H41" i="91" a="1"/>
  <c r="H41" i="91" s="1"/>
  <c r="J45" i="91" a="1"/>
  <c r="J45" i="91" s="1"/>
  <c r="H45" i="91" a="1"/>
  <c r="H45" i="91" s="1"/>
  <c r="H49" i="91" s="1"/>
  <c r="I36" i="88"/>
  <c r="G9" i="82"/>
  <c r="G11" i="68"/>
  <c r="P36" i="85"/>
  <c r="M9" i="81"/>
  <c r="G12" i="84"/>
  <c r="E12" i="84" s="1"/>
  <c r="P36" i="96"/>
  <c r="G10" i="82"/>
  <c r="U10" i="82" s="1"/>
  <c r="P36" i="90"/>
  <c r="G13" i="83"/>
  <c r="H45" i="87" a="1"/>
  <c r="H45" i="87" s="1"/>
  <c r="J42" i="87" a="1"/>
  <c r="J42" i="87" s="1"/>
  <c r="J40" i="87" a="1"/>
  <c r="J40" i="87" s="1"/>
  <c r="J46" i="87" a="1"/>
  <c r="J46" i="87" s="1"/>
  <c r="H42" i="87" a="1"/>
  <c r="H42" i="87" s="1"/>
  <c r="H40" i="87" a="1"/>
  <c r="H40" i="87" s="1"/>
  <c r="H43" i="87" a="1"/>
  <c r="H43" i="87" s="1"/>
  <c r="H46" i="87" a="1"/>
  <c r="H46" i="87" s="1"/>
  <c r="J45" i="87" a="1"/>
  <c r="J45" i="87" s="1"/>
  <c r="J41" i="87" a="1"/>
  <c r="J41" i="87" s="1"/>
  <c r="H41" i="87" a="1"/>
  <c r="H41" i="87" s="1"/>
  <c r="J43" i="87" a="1"/>
  <c r="J43" i="87" s="1"/>
  <c r="H45" i="96" a="1"/>
  <c r="H45" i="96" s="1"/>
  <c r="J42" i="96" a="1"/>
  <c r="J42" i="96" s="1"/>
  <c r="J40" i="96" a="1"/>
  <c r="J40" i="96" s="1"/>
  <c r="J46" i="96" a="1"/>
  <c r="J46" i="96" s="1"/>
  <c r="H43" i="96" a="1"/>
  <c r="H43" i="96" s="1"/>
  <c r="H46" i="96" a="1"/>
  <c r="H46" i="96" s="1"/>
  <c r="H41" i="96" a="1"/>
  <c r="H41" i="96" s="1"/>
  <c r="J45" i="96" a="1"/>
  <c r="J45" i="96" s="1"/>
  <c r="H40" i="96" a="1"/>
  <c r="H40" i="96" s="1"/>
  <c r="J43" i="96" a="1"/>
  <c r="J43" i="96" s="1"/>
  <c r="J41" i="96" a="1"/>
  <c r="J41" i="96" s="1"/>
  <c r="H42" i="96" a="1"/>
  <c r="H42" i="96" s="1"/>
  <c r="M10" i="81"/>
  <c r="G13" i="84"/>
  <c r="I36" i="85"/>
  <c r="G9" i="81"/>
  <c r="I36" i="96"/>
  <c r="M13" i="82"/>
  <c r="I36" i="90"/>
  <c r="M13" i="84"/>
  <c r="H45" i="88" a="1"/>
  <c r="H45" i="88" s="1"/>
  <c r="J42" i="88" a="1"/>
  <c r="J42" i="88" s="1"/>
  <c r="J46" i="88" a="1"/>
  <c r="J46" i="88" s="1"/>
  <c r="J43" i="88" a="1"/>
  <c r="J43" i="88" s="1"/>
  <c r="H41" i="88" a="1"/>
  <c r="H41" i="88" s="1"/>
  <c r="H46" i="88" a="1"/>
  <c r="H46" i="88" s="1"/>
  <c r="H43" i="88" a="1"/>
  <c r="H43" i="88" s="1"/>
  <c r="J45" i="88" a="1"/>
  <c r="J45" i="88" s="1"/>
  <c r="J40" i="88" a="1"/>
  <c r="J40" i="88" s="1"/>
  <c r="H40" i="88" a="1"/>
  <c r="H40" i="88" s="1"/>
  <c r="H42" i="88" a="1"/>
  <c r="H42" i="88" s="1"/>
  <c r="J41" i="88" a="1"/>
  <c r="J41" i="88" s="1"/>
  <c r="H46" i="94" a="1"/>
  <c r="H46" i="94" s="1"/>
  <c r="J43" i="94" a="1"/>
  <c r="J43" i="94" s="1"/>
  <c r="J41" i="94" a="1"/>
  <c r="J41" i="94" s="1"/>
  <c r="H45" i="94" a="1"/>
  <c r="H45" i="94" s="1"/>
  <c r="H42" i="94" a="1"/>
  <c r="H42" i="94" s="1"/>
  <c r="H41" i="94" a="1"/>
  <c r="H41" i="94" s="1"/>
  <c r="J46" i="94" a="1"/>
  <c r="J46" i="94" s="1"/>
  <c r="J42" i="94" a="1"/>
  <c r="J42" i="94" s="1"/>
  <c r="H40" i="94" a="1"/>
  <c r="H40" i="94" s="1"/>
  <c r="J45" i="94" a="1"/>
  <c r="J45" i="94" s="1"/>
  <c r="H43" i="94" a="1"/>
  <c r="H43" i="94" s="1"/>
  <c r="J40" i="94" a="1"/>
  <c r="J40" i="94" s="1"/>
  <c r="G10" i="81"/>
  <c r="U10" i="81" s="1"/>
  <c r="G10" i="50"/>
  <c r="U10" i="50" s="1"/>
  <c r="G13" i="68"/>
  <c r="P36" i="75"/>
  <c r="M9" i="67"/>
  <c r="H46" i="75" a="1"/>
  <c r="H46" i="75" s="1"/>
  <c r="J43" i="75" a="1"/>
  <c r="J43" i="75" s="1"/>
  <c r="J41" i="75" a="1"/>
  <c r="J41" i="75" s="1"/>
  <c r="J45" i="75" a="1"/>
  <c r="J45" i="75" s="1"/>
  <c r="H43" i="75" a="1"/>
  <c r="H43" i="75" s="1"/>
  <c r="H41" i="75" a="1"/>
  <c r="H41" i="75" s="1"/>
  <c r="H42" i="75" a="1"/>
  <c r="H42" i="75" s="1"/>
  <c r="J40" i="75" a="1"/>
  <c r="J40" i="75" s="1"/>
  <c r="J42" i="75" a="1"/>
  <c r="J42" i="75" s="1"/>
  <c r="H40" i="75" a="1"/>
  <c r="H40" i="75" s="1"/>
  <c r="J46" i="75" a="1"/>
  <c r="J46" i="75" s="1"/>
  <c r="H45" i="75" a="1"/>
  <c r="H45" i="75" s="1"/>
  <c r="G12" i="67"/>
  <c r="P36" i="78"/>
  <c r="M9" i="68"/>
  <c r="M13" i="68"/>
  <c r="P36" i="72"/>
  <c r="M9" i="66"/>
  <c r="G13" i="67"/>
  <c r="I36" i="75"/>
  <c r="G9" i="67"/>
  <c r="J45" i="76" a="1"/>
  <c r="J45" i="76" s="1"/>
  <c r="H42" i="76" a="1"/>
  <c r="H42" i="76" s="1"/>
  <c r="H45" i="76" a="1"/>
  <c r="H45" i="76" s="1"/>
  <c r="J41" i="76" a="1"/>
  <c r="J41" i="76" s="1"/>
  <c r="J46" i="76" a="1"/>
  <c r="J46" i="76" s="1"/>
  <c r="J43" i="76" a="1"/>
  <c r="J43" i="76" s="1"/>
  <c r="H41" i="76" a="1"/>
  <c r="H41" i="76" s="1"/>
  <c r="J40" i="76" a="1"/>
  <c r="J40" i="76" s="1"/>
  <c r="H40" i="76" a="1"/>
  <c r="H40" i="76" s="1"/>
  <c r="H46" i="76" a="1"/>
  <c r="H46" i="76" s="1"/>
  <c r="H43" i="76" a="1"/>
  <c r="H43" i="76" s="1"/>
  <c r="J42" i="76" a="1"/>
  <c r="J42" i="76" s="1"/>
  <c r="P36" i="80"/>
  <c r="P36" i="71"/>
  <c r="I36" i="78"/>
  <c r="G9" i="68"/>
  <c r="I36" i="72"/>
  <c r="G9" i="66"/>
  <c r="J45" i="72" a="1"/>
  <c r="J45" i="72" s="1"/>
  <c r="H43" i="72" a="1"/>
  <c r="H43" i="72" s="1"/>
  <c r="H41" i="72" a="1"/>
  <c r="H41" i="72" s="1"/>
  <c r="H45" i="72" a="1"/>
  <c r="H45" i="72" s="1"/>
  <c r="J42" i="72" a="1"/>
  <c r="J42" i="72" s="1"/>
  <c r="J40" i="72" a="1"/>
  <c r="J40" i="72" s="1"/>
  <c r="J46" i="72" a="1"/>
  <c r="J46" i="72" s="1"/>
  <c r="H40" i="72" a="1"/>
  <c r="H40" i="72" s="1"/>
  <c r="J43" i="72" a="1"/>
  <c r="J43" i="72" s="1"/>
  <c r="H42" i="72" a="1"/>
  <c r="H42" i="72" s="1"/>
  <c r="H46" i="72" a="1"/>
  <c r="H46" i="72" s="1"/>
  <c r="J41" i="72" a="1"/>
  <c r="J41" i="72" s="1"/>
  <c r="H46" i="78" a="1"/>
  <c r="H46" i="78" s="1"/>
  <c r="J43" i="78" a="1"/>
  <c r="J43" i="78" s="1"/>
  <c r="J41" i="78" a="1"/>
  <c r="J41" i="78" s="1"/>
  <c r="J45" i="78" a="1"/>
  <c r="J45" i="78" s="1"/>
  <c r="H43" i="78" a="1"/>
  <c r="H43" i="78" s="1"/>
  <c r="H41" i="78" a="1"/>
  <c r="H41" i="78" s="1"/>
  <c r="H45" i="78" a="1"/>
  <c r="H45" i="78" s="1"/>
  <c r="J40" i="78" a="1"/>
  <c r="J40" i="78" s="1"/>
  <c r="H40" i="78" a="1"/>
  <c r="H40" i="78" s="1"/>
  <c r="J42" i="78" a="1"/>
  <c r="J42" i="78" s="1"/>
  <c r="J46" i="78" a="1"/>
  <c r="J46" i="78" s="1"/>
  <c r="H42" i="78" a="1"/>
  <c r="H42" i="78" s="1"/>
  <c r="I36" i="80"/>
  <c r="I36" i="71"/>
  <c r="I36" i="61"/>
  <c r="G10" i="49"/>
  <c r="U10" i="49" s="1"/>
  <c r="P36" i="69"/>
  <c r="M9" i="65"/>
  <c r="P36" i="76"/>
  <c r="H46" i="70" a="1"/>
  <c r="H46" i="70" s="1"/>
  <c r="J43" i="70" a="1"/>
  <c r="J43" i="70" s="1"/>
  <c r="J41" i="70" a="1"/>
  <c r="J41" i="70" s="1"/>
  <c r="J45" i="70" a="1"/>
  <c r="J45" i="70" s="1"/>
  <c r="H43" i="70" a="1"/>
  <c r="H43" i="70" s="1"/>
  <c r="H41" i="70" a="1"/>
  <c r="H41" i="70" s="1"/>
  <c r="H45" i="70" a="1"/>
  <c r="H45" i="70" s="1"/>
  <c r="J42" i="70" a="1"/>
  <c r="J42" i="70" s="1"/>
  <c r="J40" i="70" a="1"/>
  <c r="J40" i="70" s="1"/>
  <c r="H40" i="70" a="1"/>
  <c r="H40" i="70" s="1"/>
  <c r="J46" i="70" a="1"/>
  <c r="J46" i="70" s="1"/>
  <c r="H42" i="70" a="1"/>
  <c r="H42" i="70" s="1"/>
  <c r="J45" i="79" a="1"/>
  <c r="J45" i="79" s="1"/>
  <c r="H43" i="79" a="1"/>
  <c r="H43" i="79" s="1"/>
  <c r="H41" i="79" a="1"/>
  <c r="H41" i="79" s="1"/>
  <c r="H45" i="79" a="1"/>
  <c r="H45" i="79" s="1"/>
  <c r="J42" i="79" a="1"/>
  <c r="J42" i="79" s="1"/>
  <c r="J40" i="79" a="1"/>
  <c r="J40" i="79" s="1"/>
  <c r="J46" i="79" a="1"/>
  <c r="J46" i="79" s="1"/>
  <c r="H42" i="79" a="1"/>
  <c r="H42" i="79" s="1"/>
  <c r="H46" i="79" a="1"/>
  <c r="H46" i="79" s="1"/>
  <c r="J41" i="79" a="1"/>
  <c r="J41" i="79" s="1"/>
  <c r="H40" i="79" a="1"/>
  <c r="H40" i="79" s="1"/>
  <c r="J43" i="79" a="1"/>
  <c r="J43" i="79" s="1"/>
  <c r="G11" i="65"/>
  <c r="G10" i="44"/>
  <c r="U10" i="44" s="1"/>
  <c r="G13" i="43"/>
  <c r="I36" i="69"/>
  <c r="G9" i="65"/>
  <c r="M11" i="67"/>
  <c r="I36" i="76"/>
  <c r="M13" i="65"/>
  <c r="H45" i="73" a="1"/>
  <c r="H45" i="73" s="1"/>
  <c r="J42" i="73" a="1"/>
  <c r="J42" i="73" s="1"/>
  <c r="J40" i="73" a="1"/>
  <c r="J40" i="73" s="1"/>
  <c r="J46" i="73" a="1"/>
  <c r="J46" i="73" s="1"/>
  <c r="H42" i="73" a="1"/>
  <c r="H42" i="73" s="1"/>
  <c r="H40" i="73" a="1"/>
  <c r="H40" i="73" s="1"/>
  <c r="H46" i="73" a="1"/>
  <c r="H46" i="73" s="1"/>
  <c r="J43" i="73" a="1"/>
  <c r="J43" i="73" s="1"/>
  <c r="J41" i="73" a="1"/>
  <c r="J41" i="73" s="1"/>
  <c r="H43" i="73" a="1"/>
  <c r="H43" i="73" s="1"/>
  <c r="H41" i="73" a="1"/>
  <c r="H41" i="73" s="1"/>
  <c r="J45" i="73" a="1"/>
  <c r="J45" i="73" s="1"/>
  <c r="P36" i="74"/>
  <c r="G10" i="66"/>
  <c r="U10" i="66" s="1"/>
  <c r="G12" i="50"/>
  <c r="M13" i="50"/>
  <c r="M11" i="49"/>
  <c r="G11" i="67"/>
  <c r="M10" i="67"/>
  <c r="G13" i="65"/>
  <c r="J46" i="69" a="1"/>
  <c r="J46" i="69" s="1"/>
  <c r="J43" i="69" a="1"/>
  <c r="J43" i="69" s="1"/>
  <c r="H46" i="69" a="1"/>
  <c r="H46" i="69" s="1"/>
  <c r="H41" i="69" a="1"/>
  <c r="H41" i="69" s="1"/>
  <c r="H43" i="69" a="1"/>
  <c r="H43" i="69" s="1"/>
  <c r="J45" i="69" a="1"/>
  <c r="J45" i="69" s="1"/>
  <c r="J40" i="69" a="1"/>
  <c r="J40" i="69" s="1"/>
  <c r="J42" i="69" a="1"/>
  <c r="J42" i="69" s="1"/>
  <c r="H40" i="69" a="1"/>
  <c r="H40" i="69" s="1"/>
  <c r="H45" i="69" a="1"/>
  <c r="H45" i="69" s="1"/>
  <c r="H42" i="69" a="1"/>
  <c r="H42" i="69" s="1"/>
  <c r="J41" i="69" a="1"/>
  <c r="J41" i="69" s="1"/>
  <c r="J46" i="77" a="1"/>
  <c r="J46" i="77" s="1"/>
  <c r="H42" i="77" a="1"/>
  <c r="H42" i="77" s="1"/>
  <c r="H40" i="77" a="1"/>
  <c r="H40" i="77" s="1"/>
  <c r="H46" i="77" a="1"/>
  <c r="H46" i="77" s="1"/>
  <c r="J43" i="77" a="1"/>
  <c r="J43" i="77" s="1"/>
  <c r="J41" i="77" a="1"/>
  <c r="J41" i="77" s="1"/>
  <c r="J42" i="77" a="1"/>
  <c r="J42" i="77" s="1"/>
  <c r="J45" i="77" a="1"/>
  <c r="J45" i="77" s="1"/>
  <c r="H41" i="77" a="1"/>
  <c r="H41" i="77" s="1"/>
  <c r="H45" i="77" a="1"/>
  <c r="H45" i="77" s="1"/>
  <c r="J40" i="77" a="1"/>
  <c r="J40" i="77" s="1"/>
  <c r="H43" i="77" a="1"/>
  <c r="H43" i="77" s="1"/>
  <c r="I36" i="74"/>
  <c r="M10" i="66"/>
  <c r="M13" i="66"/>
  <c r="M12" i="44"/>
  <c r="G12" i="51"/>
  <c r="P36" i="79"/>
  <c r="G10" i="67"/>
  <c r="U10" i="67" s="1"/>
  <c r="M12" i="68"/>
  <c r="J45" i="71" a="1"/>
  <c r="J45" i="71" s="1"/>
  <c r="H43" i="71" a="1"/>
  <c r="H43" i="71" s="1"/>
  <c r="H41" i="71" a="1"/>
  <c r="H41" i="71" s="1"/>
  <c r="H45" i="71" a="1"/>
  <c r="H45" i="71" s="1"/>
  <c r="J42" i="71" a="1"/>
  <c r="J42" i="71" s="1"/>
  <c r="J40" i="71" a="1"/>
  <c r="J40" i="71" s="1"/>
  <c r="J46" i="71" a="1"/>
  <c r="J46" i="71" s="1"/>
  <c r="H42" i="71" a="1"/>
  <c r="H42" i="71" s="1"/>
  <c r="H40" i="71" a="1"/>
  <c r="H40" i="71" s="1"/>
  <c r="J43" i="71" a="1"/>
  <c r="J43" i="71" s="1"/>
  <c r="J41" i="71" a="1"/>
  <c r="J41" i="71" s="1"/>
  <c r="H46" i="71" a="1"/>
  <c r="H46" i="71" s="1"/>
  <c r="J46" i="74" a="1"/>
  <c r="J46" i="74" s="1"/>
  <c r="H42" i="74" a="1"/>
  <c r="H42" i="74" s="1"/>
  <c r="H40" i="74" a="1"/>
  <c r="H40" i="74" s="1"/>
  <c r="H46" i="74" a="1"/>
  <c r="H46" i="74" s="1"/>
  <c r="J43" i="74" a="1"/>
  <c r="J43" i="74" s="1"/>
  <c r="J41" i="74" a="1"/>
  <c r="J41" i="74" s="1"/>
  <c r="H43" i="74" a="1"/>
  <c r="H43" i="74" s="1"/>
  <c r="J42" i="74" a="1"/>
  <c r="J42" i="74" s="1"/>
  <c r="J45" i="74" a="1"/>
  <c r="J45" i="74" s="1"/>
  <c r="H41" i="74" a="1"/>
  <c r="H41" i="74" s="1"/>
  <c r="H45" i="74" a="1"/>
  <c r="H45" i="74" s="1"/>
  <c r="J40" i="74" a="1"/>
  <c r="J40" i="74" s="1"/>
  <c r="G13" i="66"/>
  <c r="M9" i="43"/>
  <c r="G12" i="47"/>
  <c r="G12" i="43"/>
  <c r="G12" i="44"/>
  <c r="M13" i="48"/>
  <c r="M10" i="50"/>
  <c r="G12" i="65"/>
  <c r="P36" i="77"/>
  <c r="M12" i="66"/>
  <c r="G12" i="68"/>
  <c r="H45" i="80" a="1"/>
  <c r="H45" i="80" s="1"/>
  <c r="J42" i="80" a="1"/>
  <c r="J42" i="80" s="1"/>
  <c r="J40" i="80" a="1"/>
  <c r="J40" i="80" s="1"/>
  <c r="J46" i="80" a="1"/>
  <c r="J46" i="80" s="1"/>
  <c r="H42" i="80" a="1"/>
  <c r="H42" i="80" s="1"/>
  <c r="H40" i="80" a="1"/>
  <c r="H40" i="80" s="1"/>
  <c r="H46" i="80" a="1"/>
  <c r="H46" i="80" s="1"/>
  <c r="J41" i="80" a="1"/>
  <c r="J41" i="80" s="1"/>
  <c r="J45" i="80" a="1"/>
  <c r="J45" i="80" s="1"/>
  <c r="H41" i="80" a="1"/>
  <c r="H41" i="80" s="1"/>
  <c r="J43" i="80" a="1"/>
  <c r="J43" i="80" s="1"/>
  <c r="H43" i="80" a="1"/>
  <c r="H43" i="80" s="1"/>
  <c r="M12" i="67"/>
  <c r="P36" i="56"/>
  <c r="M9" i="50"/>
  <c r="P36" i="60"/>
  <c r="H41" i="56" a="1"/>
  <c r="H41" i="56" s="1"/>
  <c r="H46" i="56" a="1"/>
  <c r="H46" i="56" s="1"/>
  <c r="H43" i="56" a="1"/>
  <c r="H43" i="56" s="1"/>
  <c r="J40" i="56" a="1"/>
  <c r="J40" i="56" s="1"/>
  <c r="J45" i="56" a="1"/>
  <c r="J45" i="56" s="1"/>
  <c r="J42" i="56" a="1"/>
  <c r="J42" i="56" s="1"/>
  <c r="J41" i="56" a="1"/>
  <c r="J41" i="56" s="1"/>
  <c r="H45" i="56" a="1"/>
  <c r="H45" i="56" s="1"/>
  <c r="J43" i="56" a="1"/>
  <c r="J43" i="56" s="1"/>
  <c r="H42" i="56" a="1"/>
  <c r="H42" i="56" s="1"/>
  <c r="H40" i="56" a="1"/>
  <c r="H40" i="56" s="1"/>
  <c r="J46" i="56" a="1"/>
  <c r="J46" i="56" s="1"/>
  <c r="H46" i="58" a="1"/>
  <c r="H46" i="58" s="1"/>
  <c r="J43" i="58" a="1"/>
  <c r="J43" i="58" s="1"/>
  <c r="J41" i="58" a="1"/>
  <c r="J41" i="58" s="1"/>
  <c r="J45" i="58" a="1"/>
  <c r="J45" i="58" s="1"/>
  <c r="H43" i="58" a="1"/>
  <c r="H43" i="58" s="1"/>
  <c r="H41" i="58" a="1"/>
  <c r="H41" i="58" s="1"/>
  <c r="H45" i="58" a="1"/>
  <c r="H45" i="58" s="1"/>
  <c r="J42" i="58" a="1"/>
  <c r="J42" i="58" s="1"/>
  <c r="J46" i="58" a="1"/>
  <c r="J46" i="58" s="1"/>
  <c r="J40" i="58" a="1"/>
  <c r="J40" i="58" s="1"/>
  <c r="H42" i="58" a="1"/>
  <c r="H42" i="58" s="1"/>
  <c r="H40" i="58" a="1"/>
  <c r="H40" i="58" s="1"/>
  <c r="M10" i="51"/>
  <c r="G9" i="43"/>
  <c r="I36" i="39"/>
  <c r="M12" i="48"/>
  <c r="G13" i="48"/>
  <c r="P36" i="58"/>
  <c r="M12" i="51"/>
  <c r="I36" i="56"/>
  <c r="G9" i="50"/>
  <c r="I36" i="60"/>
  <c r="G13" i="50"/>
  <c r="M10" i="52"/>
  <c r="P36" i="62"/>
  <c r="M9" i="52"/>
  <c r="G13" i="51"/>
  <c r="J46" i="54" a="1"/>
  <c r="J46" i="54" s="1"/>
  <c r="H42" i="54" a="1"/>
  <c r="H42" i="54" s="1"/>
  <c r="H40" i="54" a="1"/>
  <c r="H40" i="54" s="1"/>
  <c r="H46" i="54" a="1"/>
  <c r="H46" i="54" s="1"/>
  <c r="J43" i="54" a="1"/>
  <c r="J43" i="54" s="1"/>
  <c r="J41" i="54" a="1"/>
  <c r="J41" i="54" s="1"/>
  <c r="H45" i="54" a="1"/>
  <c r="H45" i="54" s="1"/>
  <c r="J42" i="54" a="1"/>
  <c r="J42" i="54" s="1"/>
  <c r="J40" i="54" a="1"/>
  <c r="J40" i="54" s="1"/>
  <c r="J45" i="54" a="1"/>
  <c r="J45" i="54" s="1"/>
  <c r="H43" i="54" a="1"/>
  <c r="H43" i="54" s="1"/>
  <c r="H41" i="54" a="1"/>
  <c r="H41" i="54" s="1"/>
  <c r="J46" i="61" a="1"/>
  <c r="J46" i="61" s="1"/>
  <c r="H42" i="61" a="1"/>
  <c r="H42" i="61" s="1"/>
  <c r="H40" i="61" a="1"/>
  <c r="H40" i="61" s="1"/>
  <c r="H46" i="61" a="1"/>
  <c r="H46" i="61" s="1"/>
  <c r="J43" i="61" a="1"/>
  <c r="J43" i="61" s="1"/>
  <c r="J41" i="61" a="1"/>
  <c r="J41" i="61" s="1"/>
  <c r="J45" i="61" a="1"/>
  <c r="J45" i="61" s="1"/>
  <c r="H43" i="61" a="1"/>
  <c r="H43" i="61" s="1"/>
  <c r="H41" i="61" a="1"/>
  <c r="H41" i="61" s="1"/>
  <c r="H45" i="61" a="1"/>
  <c r="H45" i="61" s="1"/>
  <c r="J42" i="61" a="1"/>
  <c r="J42" i="61" s="1"/>
  <c r="J40" i="61" a="1"/>
  <c r="J40" i="61" s="1"/>
  <c r="I36" i="64"/>
  <c r="M12" i="49"/>
  <c r="G10" i="51"/>
  <c r="U10" i="51" s="1"/>
  <c r="G11" i="43"/>
  <c r="I36" i="58"/>
  <c r="P36" i="53"/>
  <c r="M9" i="49"/>
  <c r="G10" i="52"/>
  <c r="U10" i="52" s="1"/>
  <c r="I36" i="62"/>
  <c r="G9" i="52"/>
  <c r="H45" i="53" a="1"/>
  <c r="H45" i="53" s="1"/>
  <c r="J42" i="53" a="1"/>
  <c r="J42" i="53" s="1"/>
  <c r="J40" i="53" a="1"/>
  <c r="J40" i="53" s="1"/>
  <c r="J46" i="53" a="1"/>
  <c r="J46" i="53" s="1"/>
  <c r="H42" i="53" a="1"/>
  <c r="H42" i="53" s="1"/>
  <c r="H40" i="53" a="1"/>
  <c r="H40" i="53" s="1"/>
  <c r="H46" i="53" a="1"/>
  <c r="H46" i="53" s="1"/>
  <c r="J43" i="53" a="1"/>
  <c r="J43" i="53" s="1"/>
  <c r="J41" i="53" a="1"/>
  <c r="J41" i="53" s="1"/>
  <c r="H41" i="53" a="1"/>
  <c r="H41" i="53" s="1"/>
  <c r="J45" i="53" a="1"/>
  <c r="J45" i="53" s="1"/>
  <c r="H43" i="53" a="1"/>
  <c r="H43" i="53" s="1"/>
  <c r="J45" i="59" a="1"/>
  <c r="J45" i="59" s="1"/>
  <c r="H43" i="59" a="1"/>
  <c r="H43" i="59" s="1"/>
  <c r="H41" i="59" a="1"/>
  <c r="H41" i="59" s="1"/>
  <c r="H45" i="59" a="1"/>
  <c r="H45" i="59" s="1"/>
  <c r="J42" i="59" a="1"/>
  <c r="J42" i="59" s="1"/>
  <c r="J40" i="59" a="1"/>
  <c r="J40" i="59" s="1"/>
  <c r="J46" i="59" a="1"/>
  <c r="J46" i="59" s="1"/>
  <c r="H42" i="59" a="1"/>
  <c r="H42" i="59" s="1"/>
  <c r="H40" i="59" a="1"/>
  <c r="H40" i="59" s="1"/>
  <c r="J41" i="59" a="1"/>
  <c r="J41" i="59" s="1"/>
  <c r="H46" i="59" a="1"/>
  <c r="H46" i="59" s="1"/>
  <c r="J43" i="59" a="1"/>
  <c r="J43" i="59" s="1"/>
  <c r="P36" i="64"/>
  <c r="G12" i="49"/>
  <c r="P36" i="59"/>
  <c r="M9" i="51"/>
  <c r="I36" i="35"/>
  <c r="I36" i="33"/>
  <c r="M11" i="48"/>
  <c r="I36" i="53"/>
  <c r="G9" i="49"/>
  <c r="I36" i="63"/>
  <c r="P36" i="57"/>
  <c r="H45" i="64" a="1"/>
  <c r="H45" i="64" s="1"/>
  <c r="J42" i="64" a="1"/>
  <c r="J42" i="64" s="1"/>
  <c r="J40" i="64" a="1"/>
  <c r="J40" i="64" s="1"/>
  <c r="J46" i="64" a="1"/>
  <c r="J46" i="64" s="1"/>
  <c r="H42" i="64" a="1"/>
  <c r="H42" i="64" s="1"/>
  <c r="H40" i="64" a="1"/>
  <c r="H40" i="64" s="1"/>
  <c r="H46" i="64" a="1"/>
  <c r="H46" i="64" s="1"/>
  <c r="J43" i="64" a="1"/>
  <c r="J43" i="64" s="1"/>
  <c r="J41" i="64" a="1"/>
  <c r="J41" i="64" s="1"/>
  <c r="J45" i="64" a="1"/>
  <c r="J45" i="64" s="1"/>
  <c r="H43" i="64" a="1"/>
  <c r="H43" i="64" s="1"/>
  <c r="H41" i="64" a="1"/>
  <c r="H41" i="64" s="1"/>
  <c r="P36" i="54"/>
  <c r="G11" i="51"/>
  <c r="I36" i="59"/>
  <c r="G9" i="51"/>
  <c r="P36" i="63"/>
  <c r="M13" i="49"/>
  <c r="I36" i="57"/>
  <c r="H46" i="62" a="1"/>
  <c r="H46" i="62" s="1"/>
  <c r="J43" i="62" a="1"/>
  <c r="J43" i="62" s="1"/>
  <c r="J41" i="62" a="1"/>
  <c r="J41" i="62" s="1"/>
  <c r="J45" i="62" a="1"/>
  <c r="J45" i="62" s="1"/>
  <c r="H43" i="62" a="1"/>
  <c r="H43" i="62" s="1"/>
  <c r="H41" i="62" a="1"/>
  <c r="H41" i="62" s="1"/>
  <c r="H45" i="62" a="1"/>
  <c r="H45" i="62" s="1"/>
  <c r="J42" i="62" a="1"/>
  <c r="J42" i="62" s="1"/>
  <c r="J40" i="62" a="1"/>
  <c r="J40" i="62" s="1"/>
  <c r="J46" i="62" a="1"/>
  <c r="J46" i="62" s="1"/>
  <c r="H42" i="62" a="1"/>
  <c r="H42" i="62" s="1"/>
  <c r="H40" i="62" a="1"/>
  <c r="H40" i="62" s="1"/>
  <c r="I36" i="54"/>
  <c r="M11" i="51"/>
  <c r="I36" i="55"/>
  <c r="G13" i="49"/>
  <c r="J46" i="57" a="1"/>
  <c r="J46" i="57" s="1"/>
  <c r="H42" i="57" a="1"/>
  <c r="H42" i="57" s="1"/>
  <c r="H40" i="57" a="1"/>
  <c r="H40" i="57" s="1"/>
  <c r="H46" i="57" a="1"/>
  <c r="H46" i="57" s="1"/>
  <c r="J43" i="57" a="1"/>
  <c r="J43" i="57" s="1"/>
  <c r="J41" i="57" a="1"/>
  <c r="J41" i="57" s="1"/>
  <c r="H45" i="57" a="1"/>
  <c r="H45" i="57" s="1"/>
  <c r="J40" i="57" a="1"/>
  <c r="J40" i="57" s="1"/>
  <c r="H43" i="57" a="1"/>
  <c r="H43" i="57" s="1"/>
  <c r="J45" i="57" a="1"/>
  <c r="J45" i="57" s="1"/>
  <c r="H41" i="57" a="1"/>
  <c r="H41" i="57" s="1"/>
  <c r="J42" i="57" a="1"/>
  <c r="J42" i="57" s="1"/>
  <c r="J45" i="63" a="1"/>
  <c r="J45" i="63" s="1"/>
  <c r="H43" i="63" a="1"/>
  <c r="H43" i="63" s="1"/>
  <c r="H41" i="63" a="1"/>
  <c r="H41" i="63" s="1"/>
  <c r="H45" i="63" a="1"/>
  <c r="H45" i="63" s="1"/>
  <c r="J42" i="63" a="1"/>
  <c r="J42" i="63" s="1"/>
  <c r="J40" i="63" a="1"/>
  <c r="J40" i="63" s="1"/>
  <c r="J46" i="63" a="1"/>
  <c r="J46" i="63" s="1"/>
  <c r="H42" i="63" a="1"/>
  <c r="H42" i="63" s="1"/>
  <c r="H40" i="63" a="1"/>
  <c r="H40" i="63" s="1"/>
  <c r="H46" i="63" a="1"/>
  <c r="H46" i="63" s="1"/>
  <c r="J43" i="63" a="1"/>
  <c r="J43" i="63" s="1"/>
  <c r="J41" i="63" a="1"/>
  <c r="J41" i="63" s="1"/>
  <c r="G11" i="52"/>
  <c r="G13" i="52"/>
  <c r="P36" i="55"/>
  <c r="H46" i="55" a="1"/>
  <c r="H46" i="55" s="1"/>
  <c r="J43" i="55" a="1"/>
  <c r="J43" i="55" s="1"/>
  <c r="J41" i="55" a="1"/>
  <c r="J41" i="55" s="1"/>
  <c r="J45" i="55" a="1"/>
  <c r="J45" i="55" s="1"/>
  <c r="H43" i="55" a="1"/>
  <c r="H43" i="55" s="1"/>
  <c r="H41" i="55" a="1"/>
  <c r="H41" i="55" s="1"/>
  <c r="J46" i="55" a="1"/>
  <c r="J46" i="55" s="1"/>
  <c r="H42" i="55" a="1"/>
  <c r="H42" i="55" s="1"/>
  <c r="H40" i="55" a="1"/>
  <c r="H40" i="55" s="1"/>
  <c r="H45" i="55" a="1"/>
  <c r="H45" i="55" s="1"/>
  <c r="J42" i="55" a="1"/>
  <c r="J42" i="55" s="1"/>
  <c r="J40" i="55" a="1"/>
  <c r="J40" i="55" s="1"/>
  <c r="M11" i="52"/>
  <c r="G10" i="43"/>
  <c r="U10" i="43" s="1"/>
  <c r="M13" i="43"/>
  <c r="M12" i="50"/>
  <c r="M13" i="52"/>
  <c r="G11" i="49"/>
  <c r="M10" i="49"/>
  <c r="H46" i="60" a="1"/>
  <c r="H46" i="60" s="1"/>
  <c r="H42" i="60" a="1"/>
  <c r="H42" i="60" s="1"/>
  <c r="J45" i="60" a="1"/>
  <c r="J45" i="60" s="1"/>
  <c r="H45" i="60" a="1"/>
  <c r="H45" i="60" s="1"/>
  <c r="J41" i="60" a="1"/>
  <c r="J41" i="60" s="1"/>
  <c r="H41" i="60" a="1"/>
  <c r="H41" i="60" s="1"/>
  <c r="J43" i="60" a="1"/>
  <c r="J43" i="60" s="1"/>
  <c r="H40" i="60" a="1"/>
  <c r="H40" i="60" s="1"/>
  <c r="J46" i="60" a="1"/>
  <c r="J46" i="60" s="1"/>
  <c r="H43" i="60" a="1"/>
  <c r="H43" i="60" s="1"/>
  <c r="J42" i="60" a="1"/>
  <c r="J42" i="60" s="1"/>
  <c r="J40" i="60" a="1"/>
  <c r="J40" i="60" s="1"/>
  <c r="M12" i="52"/>
  <c r="I36" i="19"/>
  <c r="P36" i="41"/>
  <c r="R96" i="14"/>
  <c r="T58" i="14"/>
  <c r="R27" i="14"/>
  <c r="R100" i="14"/>
  <c r="R86" i="14"/>
  <c r="I36" i="40"/>
  <c r="I36" i="38"/>
  <c r="G13" i="44"/>
  <c r="M13" i="47"/>
  <c r="G13" i="47"/>
  <c r="R74" i="14"/>
  <c r="M13" i="44"/>
  <c r="M12" i="47"/>
  <c r="M12" i="43"/>
  <c r="R65" i="14"/>
  <c r="G12" i="48"/>
  <c r="E12" i="48" s="1"/>
  <c r="R49" i="14"/>
  <c r="M11" i="43"/>
  <c r="I36" i="41"/>
  <c r="I36" i="42"/>
  <c r="M11" i="44"/>
  <c r="P36" i="38"/>
  <c r="G11" i="48"/>
  <c r="I36" i="36"/>
  <c r="M11" i="47"/>
  <c r="P36" i="34"/>
  <c r="G11" i="47"/>
  <c r="M10" i="47"/>
  <c r="P36" i="42"/>
  <c r="P36" i="35"/>
  <c r="G10" i="47"/>
  <c r="U10" i="47" s="1"/>
  <c r="T76" i="14"/>
  <c r="M10" i="44"/>
  <c r="R115" i="14"/>
  <c r="I36" i="32"/>
  <c r="M10" i="48"/>
  <c r="P36" i="36"/>
  <c r="G10" i="48"/>
  <c r="U10" i="48" s="1"/>
  <c r="I36" i="37"/>
  <c r="M10" i="43"/>
  <c r="P36" i="39"/>
  <c r="P36" i="33"/>
  <c r="P36" i="19"/>
  <c r="R108" i="14"/>
  <c r="R55" i="14"/>
  <c r="R35" i="14"/>
  <c r="R57" i="14"/>
  <c r="M9" i="48"/>
  <c r="P36" i="40"/>
  <c r="G9" i="48"/>
  <c r="M9" i="47"/>
  <c r="P36" i="37"/>
  <c r="G9" i="47"/>
  <c r="R76" i="14"/>
  <c r="P36" i="32"/>
  <c r="M9" i="44"/>
  <c r="R44" i="14"/>
  <c r="R85" i="14"/>
  <c r="H30" i="13" s="1"/>
  <c r="R68" i="14"/>
  <c r="AI185" i="8"/>
  <c r="H41" i="19" a="1"/>
  <c r="H41" i="19" s="1"/>
  <c r="R18" i="14"/>
  <c r="J46" i="39" a="1"/>
  <c r="J46" i="39" s="1"/>
  <c r="H42" i="39" a="1"/>
  <c r="H42" i="39" s="1"/>
  <c r="H40" i="39" a="1"/>
  <c r="H40" i="39" s="1"/>
  <c r="H46" i="39" a="1"/>
  <c r="H46" i="39" s="1"/>
  <c r="J43" i="39" a="1"/>
  <c r="J43" i="39" s="1"/>
  <c r="J41" i="39" a="1"/>
  <c r="J41" i="39" s="1"/>
  <c r="J45" i="39" a="1"/>
  <c r="J45" i="39" s="1"/>
  <c r="H43" i="39" a="1"/>
  <c r="H43" i="39" s="1"/>
  <c r="H41" i="39" a="1"/>
  <c r="H41" i="39" s="1"/>
  <c r="J40" i="39" a="1"/>
  <c r="J40" i="39" s="1"/>
  <c r="J42" i="39" a="1"/>
  <c r="J42" i="39" s="1"/>
  <c r="H45" i="39" a="1"/>
  <c r="H45" i="39" s="1"/>
  <c r="H46" i="40" a="1"/>
  <c r="H46" i="40" s="1"/>
  <c r="J43" i="40" a="1"/>
  <c r="J43" i="40" s="1"/>
  <c r="J41" i="40" a="1"/>
  <c r="J41" i="40" s="1"/>
  <c r="J45" i="40" a="1"/>
  <c r="J45" i="40" s="1"/>
  <c r="H43" i="40" a="1"/>
  <c r="H43" i="40" s="1"/>
  <c r="H41" i="40" a="1"/>
  <c r="H41" i="40" s="1"/>
  <c r="H45" i="40" a="1"/>
  <c r="H45" i="40" s="1"/>
  <c r="J42" i="40" a="1"/>
  <c r="J42" i="40" s="1"/>
  <c r="J40" i="40" a="1"/>
  <c r="J40" i="40" s="1"/>
  <c r="H42" i="40" a="1"/>
  <c r="H42" i="40" s="1"/>
  <c r="H40" i="40" a="1"/>
  <c r="H40" i="40" s="1"/>
  <c r="J46" i="40" a="1"/>
  <c r="J46" i="40" s="1"/>
  <c r="H45" i="42" a="1"/>
  <c r="H45" i="42" s="1"/>
  <c r="J42" i="42" a="1"/>
  <c r="J42" i="42" s="1"/>
  <c r="J40" i="42" a="1"/>
  <c r="J40" i="42" s="1"/>
  <c r="J46" i="42" a="1"/>
  <c r="J46" i="42" s="1"/>
  <c r="H42" i="42" a="1"/>
  <c r="H42" i="42" s="1"/>
  <c r="H40" i="42" a="1"/>
  <c r="H40" i="42" s="1"/>
  <c r="H46" i="42" a="1"/>
  <c r="H46" i="42" s="1"/>
  <c r="J43" i="42" a="1"/>
  <c r="J43" i="42" s="1"/>
  <c r="J41" i="42" a="1"/>
  <c r="J41" i="42" s="1"/>
  <c r="J45" i="42" a="1"/>
  <c r="J45" i="42" s="1"/>
  <c r="H43" i="42" a="1"/>
  <c r="H43" i="42" s="1"/>
  <c r="H41" i="42" a="1"/>
  <c r="H41" i="42" s="1"/>
  <c r="J45" i="41" a="1"/>
  <c r="J45" i="41" s="1"/>
  <c r="H43" i="41" a="1"/>
  <c r="H43" i="41" s="1"/>
  <c r="H41" i="41" a="1"/>
  <c r="H41" i="41" s="1"/>
  <c r="H45" i="41" a="1"/>
  <c r="H45" i="41" s="1"/>
  <c r="J42" i="41" a="1"/>
  <c r="J42" i="41" s="1"/>
  <c r="J40" i="41" a="1"/>
  <c r="J40" i="41" s="1"/>
  <c r="J46" i="41" a="1"/>
  <c r="J46" i="41" s="1"/>
  <c r="H42" i="41" a="1"/>
  <c r="H42" i="41" s="1"/>
  <c r="H40" i="41" a="1"/>
  <c r="H40" i="41" s="1"/>
  <c r="J41" i="41" a="1"/>
  <c r="J41" i="41" s="1"/>
  <c r="J43" i="41" a="1"/>
  <c r="J43" i="41" s="1"/>
  <c r="H46" i="41" a="1"/>
  <c r="H46" i="41" s="1"/>
  <c r="J46" i="35" a="1"/>
  <c r="J46" i="35" s="1"/>
  <c r="H42" i="35" a="1"/>
  <c r="H42" i="35" s="1"/>
  <c r="H40" i="35" a="1"/>
  <c r="H40" i="35" s="1"/>
  <c r="H46" i="35" a="1"/>
  <c r="H46" i="35" s="1"/>
  <c r="J43" i="35" a="1"/>
  <c r="J43" i="35" s="1"/>
  <c r="J41" i="35" a="1"/>
  <c r="J41" i="35" s="1"/>
  <c r="H43" i="35" a="1"/>
  <c r="H43" i="35" s="1"/>
  <c r="J42" i="35" a="1"/>
  <c r="J42" i="35" s="1"/>
  <c r="H41" i="35" a="1"/>
  <c r="H41" i="35" s="1"/>
  <c r="J40" i="35" a="1"/>
  <c r="J40" i="35" s="1"/>
  <c r="J45" i="35" a="1"/>
  <c r="J45" i="35" s="1"/>
  <c r="H45" i="35" a="1"/>
  <c r="H45" i="35" s="1"/>
  <c r="H49" i="35" s="1"/>
  <c r="R116" i="14"/>
  <c r="R95" i="14"/>
  <c r="H46" i="36" a="1"/>
  <c r="H46" i="36" s="1"/>
  <c r="J43" i="36" a="1"/>
  <c r="J43" i="36" s="1"/>
  <c r="J41" i="36" a="1"/>
  <c r="J41" i="36" s="1"/>
  <c r="J45" i="36" a="1"/>
  <c r="J45" i="36" s="1"/>
  <c r="H43" i="36" a="1"/>
  <c r="H43" i="36" s="1"/>
  <c r="H41" i="36" a="1"/>
  <c r="H41" i="36" s="1"/>
  <c r="J46" i="36" a="1"/>
  <c r="J46" i="36" s="1"/>
  <c r="H40" i="36" a="1"/>
  <c r="H40" i="36" s="1"/>
  <c r="H45" i="36" a="1"/>
  <c r="H45" i="36" s="1"/>
  <c r="H49" i="36" s="1"/>
  <c r="J42" i="36" a="1"/>
  <c r="J42" i="36" s="1"/>
  <c r="H42" i="36" a="1"/>
  <c r="H42" i="36" s="1"/>
  <c r="J40" i="36" a="1"/>
  <c r="J40" i="36" s="1"/>
  <c r="R19" i="14"/>
  <c r="J45" i="37" a="1"/>
  <c r="J45" i="37" s="1"/>
  <c r="H43" i="37" a="1"/>
  <c r="H43" i="37" s="1"/>
  <c r="H41" i="37" a="1"/>
  <c r="H41" i="37" s="1"/>
  <c r="H45" i="37" a="1"/>
  <c r="H45" i="37" s="1"/>
  <c r="J42" i="37" a="1"/>
  <c r="J42" i="37" s="1"/>
  <c r="J40" i="37" a="1"/>
  <c r="J40" i="37" s="1"/>
  <c r="H40" i="37" a="1"/>
  <c r="H40" i="37" s="1"/>
  <c r="J41" i="37" a="1"/>
  <c r="J41" i="37" s="1"/>
  <c r="J46" i="37" a="1"/>
  <c r="J46" i="37" s="1"/>
  <c r="H46" i="37" a="1"/>
  <c r="H46" i="37" s="1"/>
  <c r="H42" i="37" a="1"/>
  <c r="H42" i="37" s="1"/>
  <c r="J43" i="37" a="1"/>
  <c r="J43" i="37" s="1"/>
  <c r="R101" i="14"/>
  <c r="J41" i="38" a="1"/>
  <c r="J41" i="38" s="1"/>
  <c r="H45" i="38" a="1"/>
  <c r="H45" i="38" s="1"/>
  <c r="J42" i="38" a="1"/>
  <c r="J42" i="38" s="1"/>
  <c r="J40" i="38" a="1"/>
  <c r="J40" i="38" s="1"/>
  <c r="J46" i="38" a="1"/>
  <c r="J46" i="38" s="1"/>
  <c r="H42" i="38" a="1"/>
  <c r="H42" i="38" s="1"/>
  <c r="H40" i="38" a="1"/>
  <c r="H40" i="38" s="1"/>
  <c r="J43" i="38" a="1"/>
  <c r="J43" i="38" s="1"/>
  <c r="H46" i="38" a="1"/>
  <c r="H46" i="38" s="1"/>
  <c r="J45" i="38" a="1"/>
  <c r="J45" i="38" s="1"/>
  <c r="H43" i="38" a="1"/>
  <c r="H43" i="38" s="1"/>
  <c r="H41" i="38" a="1"/>
  <c r="H41" i="38" s="1"/>
  <c r="R77" i="14"/>
  <c r="J45" i="33" a="1"/>
  <c r="J45" i="33" s="1"/>
  <c r="H43" i="33" a="1"/>
  <c r="H43" i="33" s="1"/>
  <c r="H41" i="33" a="1"/>
  <c r="H41" i="33" s="1"/>
  <c r="H40" i="33" a="1"/>
  <c r="H40" i="33" s="1"/>
  <c r="J46" i="33" a="1"/>
  <c r="J46" i="33" s="1"/>
  <c r="H45" i="33" a="1"/>
  <c r="H45" i="33" s="1"/>
  <c r="J42" i="33" a="1"/>
  <c r="J42" i="33" s="1"/>
  <c r="J40" i="33" a="1"/>
  <c r="J40" i="33" s="1"/>
  <c r="H42" i="33" a="1"/>
  <c r="H42" i="33" s="1"/>
  <c r="H46" i="33" a="1"/>
  <c r="H46" i="33" s="1"/>
  <c r="J43" i="33" a="1"/>
  <c r="J43" i="33" s="1"/>
  <c r="J41" i="33" a="1"/>
  <c r="J41" i="33" s="1"/>
  <c r="AJ425" i="8"/>
  <c r="AI429" i="8"/>
  <c r="H45" i="19" a="1"/>
  <c r="H45" i="19" s="1"/>
  <c r="U80" i="14"/>
  <c r="R33" i="14"/>
  <c r="R41" i="14"/>
  <c r="U74" i="14"/>
  <c r="R92" i="14"/>
  <c r="R79" i="14"/>
  <c r="R51" i="14"/>
  <c r="R94" i="14"/>
  <c r="J45" i="19" a="1"/>
  <c r="J45" i="19" s="1"/>
  <c r="H45" i="34" a="1"/>
  <c r="H45" i="34" s="1"/>
  <c r="J42" i="34" a="1"/>
  <c r="J42" i="34" s="1"/>
  <c r="J40" i="34" a="1"/>
  <c r="J40" i="34" s="1"/>
  <c r="J43" i="34" a="1"/>
  <c r="J43" i="34" s="1"/>
  <c r="J41" i="34" a="1"/>
  <c r="J41" i="34" s="1"/>
  <c r="J46" i="34" a="1"/>
  <c r="J46" i="34" s="1"/>
  <c r="H42" i="34" a="1"/>
  <c r="H42" i="34" s="1"/>
  <c r="H40" i="34" a="1"/>
  <c r="H40" i="34" s="1"/>
  <c r="H46" i="34" a="1"/>
  <c r="H46" i="34" s="1"/>
  <c r="J45" i="34" a="1"/>
  <c r="J45" i="34" s="1"/>
  <c r="H43" i="34" a="1"/>
  <c r="H43" i="34" s="1"/>
  <c r="H41" i="34" a="1"/>
  <c r="H41" i="34" s="1"/>
  <c r="J42" i="19" a="1"/>
  <c r="J42" i="19" s="1"/>
  <c r="H43" i="19" a="1"/>
  <c r="H43" i="19" s="1"/>
  <c r="H46" i="19" a="1"/>
  <c r="H46" i="19" s="1"/>
  <c r="T57" i="14"/>
  <c r="R111" i="14"/>
  <c r="R56" i="14"/>
  <c r="J43" i="32" a="1"/>
  <c r="J43" i="32" s="1"/>
  <c r="H45" i="32" a="1"/>
  <c r="H45" i="32" s="1"/>
  <c r="J42" i="32" a="1"/>
  <c r="J42" i="32" s="1"/>
  <c r="J40" i="32" a="1"/>
  <c r="J40" i="32" s="1"/>
  <c r="H46" i="32" a="1"/>
  <c r="H46" i="32" s="1"/>
  <c r="J46" i="32" a="1"/>
  <c r="J46" i="32" s="1"/>
  <c r="H42" i="32" a="1"/>
  <c r="H42" i="32" s="1"/>
  <c r="H40" i="32" a="1"/>
  <c r="H40" i="32" s="1"/>
  <c r="J45" i="32" a="1"/>
  <c r="J45" i="32" s="1"/>
  <c r="H43" i="32" a="1"/>
  <c r="H43" i="32" s="1"/>
  <c r="H41" i="32" a="1"/>
  <c r="H41" i="32" s="1"/>
  <c r="J41" i="32" a="1"/>
  <c r="J41" i="32" s="1"/>
  <c r="T91" i="14"/>
  <c r="L22" i="13" s="1"/>
  <c r="J40" i="19" a="1"/>
  <c r="J40" i="19" s="1"/>
  <c r="H40" i="19" a="1"/>
  <c r="H40" i="19" s="1"/>
  <c r="H42" i="19" a="1"/>
  <c r="H42" i="19" s="1"/>
  <c r="J46" i="19" a="1"/>
  <c r="J46" i="19" s="1"/>
  <c r="J41" i="19" a="1"/>
  <c r="J41" i="19" s="1"/>
  <c r="J43" i="19" a="1"/>
  <c r="J43" i="19" s="1"/>
  <c r="AI394" i="8"/>
  <c r="AI320" i="8"/>
  <c r="AI177" i="8"/>
  <c r="U56" i="14"/>
  <c r="R80" i="14"/>
  <c r="R62" i="14"/>
  <c r="R37" i="14"/>
  <c r="R70" i="14"/>
  <c r="AI365" i="8"/>
  <c r="U44" i="14"/>
  <c r="AJ243" i="8"/>
  <c r="AI323" i="8"/>
  <c r="R107" i="14"/>
  <c r="R38" i="14"/>
  <c r="T22" i="14"/>
  <c r="T50" i="14"/>
  <c r="T35" i="14"/>
  <c r="T64" i="14"/>
  <c r="T47" i="14"/>
  <c r="R97" i="14"/>
  <c r="T68" i="14"/>
  <c r="R112" i="14"/>
  <c r="U41" i="14"/>
  <c r="U54" i="14"/>
  <c r="T32" i="14"/>
  <c r="V37" i="14"/>
  <c r="R11" i="14"/>
  <c r="V36" i="14"/>
  <c r="T27" i="14"/>
  <c r="T101" i="14"/>
  <c r="T81" i="14"/>
  <c r="V35" i="14"/>
  <c r="U60" i="14"/>
  <c r="V90" i="14"/>
  <c r="T13" i="14"/>
  <c r="T56" i="14"/>
  <c r="V109" i="14"/>
  <c r="U76" i="14"/>
  <c r="T89" i="14"/>
  <c r="U116" i="14"/>
  <c r="T106" i="14"/>
  <c r="K31" i="13"/>
  <c r="V51" i="14"/>
  <c r="V50" i="14"/>
  <c r="U20" i="14"/>
  <c r="V34" i="14"/>
  <c r="AJ362" i="8"/>
  <c r="AJ148" i="8"/>
  <c r="U72" i="14"/>
  <c r="U34" i="14"/>
  <c r="V96" i="14"/>
  <c r="V46" i="14"/>
  <c r="T72" i="14"/>
  <c r="AI242" i="8"/>
  <c r="AI192" i="8"/>
  <c r="AJ142" i="8"/>
  <c r="U65" i="14"/>
  <c r="U96" i="14"/>
  <c r="U77" i="14"/>
  <c r="V52" i="14"/>
  <c r="V70" i="14"/>
  <c r="T14" i="14"/>
  <c r="V47" i="14"/>
  <c r="AI407" i="8"/>
  <c r="M31" i="13"/>
  <c r="AI257" i="8"/>
  <c r="AI280" i="8"/>
  <c r="AJ369" i="8"/>
  <c r="AJ156" i="8"/>
  <c r="AC88" i="8"/>
  <c r="I22" i="13" s="1"/>
  <c r="T55" i="14"/>
  <c r="V99" i="14"/>
  <c r="V55" i="14"/>
  <c r="T110" i="14"/>
  <c r="I8" i="13" a="1"/>
  <c r="I8" i="13" s="1"/>
  <c r="I12" i="13" a="1"/>
  <c r="I12" i="13" s="1"/>
  <c r="I7" i="13" a="1"/>
  <c r="I7" i="13" s="1"/>
  <c r="I6" i="13" a="1"/>
  <c r="I6" i="13" s="1"/>
  <c r="I14" i="13" a="1"/>
  <c r="I14" i="13" s="1"/>
  <c r="I13" i="13" a="1"/>
  <c r="I13" i="13" s="1"/>
  <c r="I11" i="13" a="1"/>
  <c r="I11" i="13" s="1"/>
  <c r="I10" i="13" a="1"/>
  <c r="I10" i="13" s="1"/>
  <c r="I9" i="13" a="1"/>
  <c r="I9" i="13" s="1"/>
  <c r="K28" i="13"/>
  <c r="L8" i="13" a="1"/>
  <c r="L8" i="13" s="1"/>
  <c r="L11" i="13" a="1"/>
  <c r="L11" i="13" s="1"/>
  <c r="L13" i="13" a="1"/>
  <c r="L13" i="13" s="1"/>
  <c r="L10" i="13" a="1"/>
  <c r="L10" i="13" s="1"/>
  <c r="L12" i="13" a="1"/>
  <c r="L12" i="13" s="1"/>
  <c r="L9" i="13" a="1"/>
  <c r="L9" i="13" s="1"/>
  <c r="L14" i="13" a="1"/>
  <c r="L14" i="13" s="1"/>
  <c r="L6" i="13" a="1"/>
  <c r="L6" i="13" s="1"/>
  <c r="L7" i="13" a="1"/>
  <c r="L7" i="13" s="1"/>
  <c r="K24" i="13"/>
  <c r="T92" i="14"/>
  <c r="M33" i="13"/>
  <c r="K26" i="13"/>
  <c r="M26" i="13"/>
  <c r="T24" i="14"/>
  <c r="V29" i="14"/>
  <c r="V25" i="14"/>
  <c r="T88" i="14"/>
  <c r="T28" i="14"/>
  <c r="T95" i="14"/>
  <c r="K15" i="13"/>
  <c r="M23" i="13"/>
  <c r="M28" i="13"/>
  <c r="M24" i="13"/>
  <c r="H9" i="13" a="1"/>
  <c r="H9" i="13" s="1"/>
  <c r="H8" i="13" a="1"/>
  <c r="H8" i="13" s="1"/>
  <c r="H11" i="13" a="1"/>
  <c r="H11" i="13" s="1"/>
  <c r="H12" i="13" a="1"/>
  <c r="H12" i="13" s="1"/>
  <c r="H7" i="13" a="1"/>
  <c r="H7" i="13" s="1"/>
  <c r="H6" i="13" a="1"/>
  <c r="H6" i="13" s="1"/>
  <c r="H14" i="13" a="1"/>
  <c r="H14" i="13" s="1"/>
  <c r="H13" i="13" a="1"/>
  <c r="H13" i="13" s="1"/>
  <c r="H10" i="13" a="1"/>
  <c r="H10" i="13" s="1"/>
  <c r="U111" i="14"/>
  <c r="U91" i="14"/>
  <c r="N22" i="13" s="1"/>
  <c r="U17" i="14"/>
  <c r="V44" i="14"/>
  <c r="U84" i="14"/>
  <c r="T75" i="14"/>
  <c r="T29" i="14"/>
  <c r="AJ120" i="8"/>
  <c r="S10" i="13" a="1"/>
  <c r="S10" i="13" s="1"/>
  <c r="S9" i="13" a="1"/>
  <c r="S9" i="13" s="1"/>
  <c r="S11" i="13" a="1"/>
  <c r="S11" i="13" s="1"/>
  <c r="S12" i="13" a="1"/>
  <c r="S12" i="13" s="1"/>
  <c r="S8" i="13" a="1"/>
  <c r="S8" i="13" s="1"/>
  <c r="S13" i="13" a="1"/>
  <c r="S13" i="13" s="1"/>
  <c r="S14" i="13" a="1"/>
  <c r="S14" i="13" s="1"/>
  <c r="S7" i="13" a="1"/>
  <c r="S7" i="13" s="1"/>
  <c r="S6" i="13" a="1"/>
  <c r="S6" i="13" s="1"/>
  <c r="AI340" i="8"/>
  <c r="U68" i="14"/>
  <c r="V43" i="14"/>
  <c r="V113" i="14"/>
  <c r="V108" i="14"/>
  <c r="T107" i="14"/>
  <c r="K33" i="13"/>
  <c r="M15" i="13"/>
  <c r="U51" i="14"/>
  <c r="V33" i="14"/>
  <c r="V83" i="14"/>
  <c r="V22" i="14"/>
  <c r="T70" i="14"/>
  <c r="U61" i="14"/>
  <c r="U92" i="14"/>
  <c r="U45" i="14"/>
  <c r="U64" i="14"/>
  <c r="U103" i="14"/>
  <c r="T80" i="14"/>
  <c r="T25" i="14"/>
  <c r="T100" i="14"/>
  <c r="T41" i="14"/>
  <c r="U109" i="14"/>
  <c r="U50" i="14"/>
  <c r="V78" i="14"/>
  <c r="V23" i="14"/>
  <c r="T19" i="14"/>
  <c r="T111" i="14"/>
  <c r="T108" i="14"/>
  <c r="T103" i="14"/>
  <c r="U73" i="14"/>
  <c r="U102" i="14"/>
  <c r="U13" i="14"/>
  <c r="U58" i="14"/>
  <c r="U31" i="14"/>
  <c r="V40" i="14"/>
  <c r="V87" i="14"/>
  <c r="T104" i="14"/>
  <c r="T45" i="14"/>
  <c r="T112" i="14"/>
  <c r="U104" i="14"/>
  <c r="U94" i="14"/>
  <c r="T67" i="14"/>
  <c r="T33" i="14"/>
  <c r="T60" i="14"/>
  <c r="U105" i="14"/>
  <c r="U18" i="14"/>
  <c r="U42" i="14"/>
  <c r="V110" i="14"/>
  <c r="T105" i="14"/>
  <c r="T49" i="14"/>
  <c r="T39" i="14"/>
  <c r="V54" i="14"/>
  <c r="V41" i="14"/>
  <c r="V17" i="14"/>
  <c r="V88" i="14"/>
  <c r="V65" i="14"/>
  <c r="V11" i="14"/>
  <c r="V77" i="14"/>
  <c r="V14" i="14"/>
  <c r="U86" i="14"/>
  <c r="AJ204" i="8"/>
  <c r="U108" i="14"/>
  <c r="V72" i="14"/>
  <c r="AI380" i="8"/>
  <c r="U48" i="14"/>
  <c r="S456" i="14" a="1"/>
  <c r="S456" i="14" s="1"/>
  <c r="S448" i="14"/>
  <c r="R10" i="14"/>
  <c r="U81" i="14"/>
  <c r="R13" i="14"/>
  <c r="R91" i="14"/>
  <c r="R81" i="14"/>
  <c r="R25" i="14"/>
  <c r="U112" i="14"/>
  <c r="U27" i="14"/>
  <c r="U11" i="14"/>
  <c r="T66" i="14"/>
  <c r="T20" i="14"/>
  <c r="V42" i="14"/>
  <c r="T114" i="14"/>
  <c r="T51" i="14"/>
  <c r="V111" i="14"/>
  <c r="T40" i="14"/>
  <c r="V48" i="14"/>
  <c r="V81" i="14"/>
  <c r="V102" i="14"/>
  <c r="V10" i="14"/>
  <c r="V84" i="14"/>
  <c r="V107" i="14"/>
  <c r="V21" i="14"/>
  <c r="V91" i="14"/>
  <c r="V105" i="14"/>
  <c r="V106" i="14"/>
  <c r="V26" i="14"/>
  <c r="V68" i="14"/>
  <c r="V79" i="14"/>
  <c r="T30" i="14"/>
  <c r="T82" i="14"/>
  <c r="T12" i="14"/>
  <c r="T93" i="14"/>
  <c r="T109" i="14"/>
  <c r="T42" i="14"/>
  <c r="T63" i="14"/>
  <c r="T83" i="14"/>
  <c r="L31" i="13" s="1"/>
  <c r="V18" i="14"/>
  <c r="T65" i="14"/>
  <c r="R78" i="14"/>
  <c r="V39" i="14"/>
  <c r="V101" i="14"/>
  <c r="U38" i="14"/>
  <c r="V461" i="14" a="1"/>
  <c r="V461" i="14" s="1"/>
  <c r="V459" i="14" a="1"/>
  <c r="V459" i="14" s="1"/>
  <c r="V458" i="14" a="1"/>
  <c r="V458" i="14" s="1"/>
  <c r="V457" i="14" a="1"/>
  <c r="V457" i="14" s="1"/>
  <c r="V456" i="14" a="1"/>
  <c r="V456" i="14" s="1"/>
  <c r="V453" i="14" a="1"/>
  <c r="V453" i="14" s="1"/>
  <c r="V452" i="14" a="1"/>
  <c r="V452" i="14" s="1"/>
  <c r="V448" i="14"/>
  <c r="V451" i="14" a="1"/>
  <c r="V451" i="14" s="1"/>
  <c r="U10" i="14"/>
  <c r="U69" i="14"/>
  <c r="R52" i="14"/>
  <c r="H25" i="13" s="1"/>
  <c r="U62" i="14"/>
  <c r="U23" i="14"/>
  <c r="T54" i="14"/>
  <c r="T26" i="14"/>
  <c r="R106" i="14"/>
  <c r="V13" i="14"/>
  <c r="V38" i="14"/>
  <c r="V86" i="14"/>
  <c r="V89" i="14"/>
  <c r="V45" i="14"/>
  <c r="V28" i="14"/>
  <c r="V92" i="14"/>
  <c r="V69" i="14"/>
  <c r="T96" i="14"/>
  <c r="T115" i="14"/>
  <c r="T102" i="14"/>
  <c r="T15" i="14"/>
  <c r="T98" i="14"/>
  <c r="T53" i="14"/>
  <c r="T52" i="14"/>
  <c r="L25" i="13" s="1"/>
  <c r="R102" i="14"/>
  <c r="T11" i="14"/>
  <c r="U24" i="14"/>
  <c r="U67" i="14"/>
  <c r="R22" i="14"/>
  <c r="U71" i="14"/>
  <c r="U40" i="14"/>
  <c r="U28" i="14"/>
  <c r="R67" i="14"/>
  <c r="U21" i="14"/>
  <c r="R66" i="14"/>
  <c r="R26" i="14"/>
  <c r="R40" i="14"/>
  <c r="U52" i="14"/>
  <c r="N25" i="13" s="1"/>
  <c r="V16" i="14"/>
  <c r="V66" i="14"/>
  <c r="V64" i="14"/>
  <c r="V30" i="14"/>
  <c r="V114" i="14"/>
  <c r="V53" i="14"/>
  <c r="V95" i="14"/>
  <c r="T69" i="14"/>
  <c r="T59" i="14"/>
  <c r="T86" i="14"/>
  <c r="V12" i="14"/>
  <c r="T78" i="14"/>
  <c r="T43" i="14"/>
  <c r="U75" i="14"/>
  <c r="U47" i="14"/>
  <c r="R59" i="14"/>
  <c r="U98" i="14"/>
  <c r="U46" i="14"/>
  <c r="U36" i="14"/>
  <c r="U89" i="14"/>
  <c r="U12" i="14"/>
  <c r="U101" i="14"/>
  <c r="U88" i="14"/>
  <c r="U33" i="14"/>
  <c r="U113" i="14"/>
  <c r="U57" i="14"/>
  <c r="R109" i="14"/>
  <c r="R87" i="14"/>
  <c r="R46" i="14"/>
  <c r="U97" i="14"/>
  <c r="U35" i="14"/>
  <c r="U100" i="14"/>
  <c r="U19" i="14"/>
  <c r="T38" i="14"/>
  <c r="T17" i="14"/>
  <c r="T48" i="14"/>
  <c r="V82" i="14"/>
  <c r="V100" i="14"/>
  <c r="V20" i="14"/>
  <c r="V112" i="14"/>
  <c r="V115" i="14"/>
  <c r="T113" i="14"/>
  <c r="T90" i="14"/>
  <c r="T23" i="14"/>
  <c r="T34" i="14"/>
  <c r="T61" i="14"/>
  <c r="T99" i="14"/>
  <c r="T73" i="14"/>
  <c r="T85" i="14"/>
  <c r="T77" i="14"/>
  <c r="U29" i="14"/>
  <c r="T37" i="14"/>
  <c r="T16" i="14"/>
  <c r="V85" i="14"/>
  <c r="U110" i="14"/>
  <c r="V104" i="14"/>
  <c r="AJ193" i="8"/>
  <c r="U90" i="14"/>
  <c r="U39" i="14"/>
  <c r="U15" i="14"/>
  <c r="U78" i="14"/>
  <c r="U26" i="14"/>
  <c r="U83" i="14"/>
  <c r="N31" i="13" s="1"/>
  <c r="U37" i="14"/>
  <c r="R110" i="14"/>
  <c r="R24" i="14"/>
  <c r="U106" i="14"/>
  <c r="U79" i="14"/>
  <c r="R61" i="14"/>
  <c r="R12" i="14"/>
  <c r="T71" i="14"/>
  <c r="V59" i="14"/>
  <c r="V94" i="14"/>
  <c r="V98" i="14"/>
  <c r="V61" i="14"/>
  <c r="V56" i="14"/>
  <c r="V32" i="14"/>
  <c r="V67" i="14"/>
  <c r="V73" i="14"/>
  <c r="V103" i="14"/>
  <c r="V19" i="14"/>
  <c r="T84" i="14"/>
  <c r="T36" i="14"/>
  <c r="T97" i="14"/>
  <c r="T79" i="14"/>
  <c r="T116" i="14"/>
  <c r="T87" i="14"/>
  <c r="T21" i="14"/>
  <c r="V31" i="14"/>
  <c r="V74" i="14"/>
  <c r="T62" i="14"/>
  <c r="V60" i="14"/>
  <c r="U66" i="14"/>
  <c r="U93" i="14"/>
  <c r="U87" i="14"/>
  <c r="R82" i="14"/>
  <c r="U114" i="14"/>
  <c r="R50" i="14"/>
  <c r="U70" i="14"/>
  <c r="U63" i="14"/>
  <c r="U32" i="14"/>
  <c r="U43" i="14"/>
  <c r="R73" i="14"/>
  <c r="U55" i="14"/>
  <c r="U95" i="14"/>
  <c r="U49" i="14"/>
  <c r="R14" i="14"/>
  <c r="T31" i="14"/>
  <c r="V93" i="14"/>
  <c r="V75" i="14"/>
  <c r="T44" i="14"/>
  <c r="V116" i="14"/>
  <c r="V27" i="14"/>
  <c r="V57" i="14"/>
  <c r="V80" i="14"/>
  <c r="V62" i="14"/>
  <c r="V58" i="14"/>
  <c r="V76" i="14"/>
  <c r="V63" i="14"/>
  <c r="V71" i="14"/>
  <c r="V15" i="14"/>
  <c r="V49" i="14"/>
  <c r="V97" i="14"/>
  <c r="V24" i="14"/>
  <c r="U452" i="14" a="1"/>
  <c r="U452" i="14" s="1"/>
  <c r="U462" i="14" a="1"/>
  <c r="U462" i="14" s="1"/>
  <c r="U461" i="14" a="1"/>
  <c r="U461" i="14" s="1"/>
  <c r="U459" i="14" a="1"/>
  <c r="U459" i="14" s="1"/>
  <c r="U458" i="14" a="1"/>
  <c r="U458" i="14" s="1"/>
  <c r="U457" i="14" a="1"/>
  <c r="U457" i="14" s="1"/>
  <c r="U453" i="14" a="1"/>
  <c r="U453" i="14" s="1"/>
  <c r="U456" i="14" a="1"/>
  <c r="U456" i="14" s="1"/>
  <c r="U448" i="14"/>
  <c r="U451" i="14" a="1"/>
  <c r="U451" i="14" s="1"/>
  <c r="T10" i="14"/>
  <c r="T18" i="14"/>
  <c r="T74" i="14"/>
  <c r="T94" i="14"/>
  <c r="T46" i="14"/>
  <c r="AJ175" i="8"/>
  <c r="AI256" i="8"/>
  <c r="AI247" i="8"/>
  <c r="AJ135" i="8"/>
  <c r="AJ395" i="8"/>
  <c r="AJ153" i="8"/>
  <c r="AJ171" i="8"/>
  <c r="AI376" i="8"/>
  <c r="AJ365" i="8"/>
  <c r="AJ280" i="8"/>
  <c r="AC40" i="8"/>
  <c r="AI135" i="8"/>
  <c r="AI384" i="8"/>
  <c r="AI328" i="8"/>
  <c r="AI209" i="8"/>
  <c r="AJ195" i="8"/>
  <c r="AI218" i="8"/>
  <c r="AI368" i="8"/>
  <c r="AJ376" i="8"/>
  <c r="AJ261" i="8"/>
  <c r="AI367" i="8"/>
  <c r="AJ308" i="8"/>
  <c r="AJ164" i="8"/>
  <c r="AJ206" i="8"/>
  <c r="AI239" i="8"/>
  <c r="AJ419" i="8"/>
  <c r="AJ284" i="8"/>
  <c r="AJ247" i="8"/>
  <c r="AJ220" i="8"/>
  <c r="AI423" i="8"/>
  <c r="AI422" i="8"/>
  <c r="AJ251" i="8"/>
  <c r="AI324" i="8"/>
  <c r="AJ172" i="8"/>
  <c r="AI122" i="8"/>
  <c r="AI204" i="8"/>
  <c r="AC34" i="8"/>
  <c r="AI431" i="8"/>
  <c r="AI202" i="8"/>
  <c r="AI421" i="8"/>
  <c r="AI313" i="8"/>
  <c r="AI235" i="8"/>
  <c r="AC103" i="8"/>
  <c r="AC35" i="8"/>
  <c r="AJ154" i="8"/>
  <c r="AJ176" i="8"/>
  <c r="AJ359" i="8"/>
  <c r="AJ255" i="8"/>
  <c r="AJ275" i="8"/>
  <c r="AI224" i="8"/>
  <c r="AI428" i="8"/>
  <c r="AJ317" i="8"/>
  <c r="AI179" i="8"/>
  <c r="AC107" i="8"/>
  <c r="AI333" i="8"/>
  <c r="AI338" i="8"/>
  <c r="AI344" i="8"/>
  <c r="AJ238" i="8"/>
  <c r="AI403" i="8"/>
  <c r="AJ427" i="8"/>
  <c r="AC81" i="8"/>
  <c r="AJ335" i="8"/>
  <c r="AI151" i="8"/>
  <c r="AI234" i="8"/>
  <c r="AJ221" i="8"/>
  <c r="AI141" i="8"/>
  <c r="AI198" i="8"/>
  <c r="AI363" i="8"/>
  <c r="AJ305" i="8"/>
  <c r="AI241" i="8"/>
  <c r="AI269" i="8"/>
  <c r="AI334" i="8"/>
  <c r="AC67" i="8"/>
  <c r="AC16" i="8"/>
  <c r="AJ350" i="8"/>
  <c r="AC79" i="8"/>
  <c r="AI265" i="8"/>
  <c r="AI161" i="8"/>
  <c r="AC106" i="8"/>
  <c r="AI219" i="8"/>
  <c r="AI430" i="8"/>
  <c r="AI362" i="8"/>
  <c r="AJ161" i="8"/>
  <c r="AJ163" i="8"/>
  <c r="AJ214" i="8"/>
  <c r="AI415" i="8"/>
  <c r="AI147" i="8"/>
  <c r="AI427" i="8"/>
  <c r="AC61" i="8"/>
  <c r="AJ139" i="8"/>
  <c r="AJ324" i="8"/>
  <c r="AJ239" i="8"/>
  <c r="AJ273" i="8"/>
  <c r="AJ128" i="8"/>
  <c r="AI127" i="8"/>
  <c r="AI297" i="8"/>
  <c r="AI298" i="8"/>
  <c r="AI416" i="8"/>
  <c r="AI300" i="8"/>
  <c r="AC32" i="8"/>
  <c r="AJ360" i="8"/>
  <c r="AI326" i="8"/>
  <c r="AI158" i="8"/>
  <c r="AC99" i="8"/>
  <c r="AI396" i="8"/>
  <c r="AJ290" i="8"/>
  <c r="AI150" i="8"/>
  <c r="AI370" i="8"/>
  <c r="AI378" i="8"/>
  <c r="AJ265" i="8"/>
  <c r="AI337" i="8"/>
  <c r="AI306" i="8"/>
  <c r="AI196" i="8"/>
  <c r="AJ418" i="8"/>
  <c r="AI401" i="8"/>
  <c r="AI233" i="8"/>
  <c r="AC54" i="8"/>
  <c r="AJ266" i="8"/>
  <c r="AI317" i="8"/>
  <c r="AI296" i="8"/>
  <c r="AI149" i="8"/>
  <c r="AJ219" i="8"/>
  <c r="AI350" i="8"/>
  <c r="AI262" i="8"/>
  <c r="AI408" i="8"/>
  <c r="AI418" i="8"/>
  <c r="AC39" i="8"/>
  <c r="AI391" i="8"/>
  <c r="AI289" i="8"/>
  <c r="AC20" i="8"/>
  <c r="AI133" i="8"/>
  <c r="AC108" i="8"/>
  <c r="AI156" i="8"/>
  <c r="AI369" i="8"/>
  <c r="AJ152" i="8"/>
  <c r="AI217" i="8"/>
  <c r="AJ428" i="8"/>
  <c r="AJ133" i="8"/>
  <c r="AI160" i="8"/>
  <c r="AI212" i="8"/>
  <c r="AJ218" i="8"/>
  <c r="AJ391" i="8"/>
  <c r="AJ424" i="8"/>
  <c r="AI230" i="8"/>
  <c r="AJ183" i="8"/>
  <c r="AJ147" i="8"/>
  <c r="AI303" i="8"/>
  <c r="AJ213" i="8"/>
  <c r="AI124" i="8"/>
  <c r="AJ169" i="8"/>
  <c r="AJ304" i="8"/>
  <c r="AI379" i="8"/>
  <c r="AJ433" i="8"/>
  <c r="AG96" i="8"/>
  <c r="S27" i="13" s="1"/>
  <c r="AJ397" i="8"/>
  <c r="AJ127" i="8"/>
  <c r="AI226" i="8"/>
  <c r="AI278" i="8"/>
  <c r="AI314" i="8"/>
  <c r="AJ281" i="8"/>
  <c r="AI166" i="8"/>
  <c r="AJ222" i="8"/>
  <c r="AJ260" i="8"/>
  <c r="AI180" i="8"/>
  <c r="AI389" i="8"/>
  <c r="AJ292" i="8"/>
  <c r="AC42" i="8"/>
  <c r="AC19" i="8"/>
  <c r="AC85" i="8"/>
  <c r="AC52" i="8"/>
  <c r="AC50" i="8"/>
  <c r="AC56" i="8"/>
  <c r="AC60" i="8"/>
  <c r="AJ316" i="8"/>
  <c r="AC92" i="8"/>
  <c r="AC41" i="8"/>
  <c r="AJ291" i="8"/>
  <c r="AC71" i="8"/>
  <c r="AC31" i="8"/>
  <c r="AJ199" i="8"/>
  <c r="AJ203" i="8"/>
  <c r="AI405" i="8"/>
  <c r="AJ358" i="8"/>
  <c r="AI248" i="8"/>
  <c r="AC93" i="8"/>
  <c r="AC86" i="8"/>
  <c r="AI395" i="8"/>
  <c r="AJ310" i="8"/>
  <c r="AI385" i="8"/>
  <c r="AJ167" i="8"/>
  <c r="AJ262" i="8"/>
  <c r="AC68" i="8"/>
  <c r="AC26" i="8"/>
  <c r="AJ311" i="8"/>
  <c r="AJ406" i="8"/>
  <c r="AC55" i="8"/>
  <c r="AJ225" i="8"/>
  <c r="AC78" i="8"/>
  <c r="AJ249" i="8"/>
  <c r="AC21" i="8"/>
  <c r="AI420" i="8"/>
  <c r="AC110" i="8"/>
  <c r="AI134" i="8"/>
  <c r="AC69" i="8"/>
  <c r="AC63" i="8"/>
  <c r="AC38" i="8"/>
  <c r="AC33" i="8"/>
  <c r="AI131" i="8"/>
  <c r="AJ209" i="8"/>
  <c r="AI329" i="8"/>
  <c r="AJ166" i="8"/>
  <c r="AJ326" i="8"/>
  <c r="AC100" i="8"/>
  <c r="AC53" i="8"/>
  <c r="AC28" i="8"/>
  <c r="AC17" i="8"/>
  <c r="AC90" i="8"/>
  <c r="AI352" i="8"/>
  <c r="AJ356" i="8"/>
  <c r="AJ328" i="8"/>
  <c r="AG55" i="8"/>
  <c r="AI223" i="8"/>
  <c r="AJ137" i="8"/>
  <c r="AC102" i="8"/>
  <c r="AI193" i="8"/>
  <c r="AI194" i="8"/>
  <c r="AI190" i="8"/>
  <c r="AJ400" i="8"/>
  <c r="AJ300" i="8"/>
  <c r="AJ377" i="8"/>
  <c r="AJ268" i="8"/>
  <c r="AI214" i="8"/>
  <c r="AC95" i="8"/>
  <c r="AJ382" i="8"/>
  <c r="AI406" i="8"/>
  <c r="AJ134" i="8"/>
  <c r="AI291" i="8"/>
  <c r="AJ178" i="8"/>
  <c r="AC76" i="8"/>
  <c r="AC49" i="8"/>
  <c r="I25" i="13" s="1"/>
  <c r="AC47" i="8"/>
  <c r="AJ210" i="8"/>
  <c r="AI353" i="8"/>
  <c r="AJ259" i="8"/>
  <c r="AC15" i="8"/>
  <c r="AC58" i="8"/>
  <c r="AC72" i="8"/>
  <c r="AJ346" i="8"/>
  <c r="AC75" i="8"/>
  <c r="AJ191" i="8"/>
  <c r="AI144" i="8"/>
  <c r="AC57" i="8"/>
  <c r="AJ393" i="8"/>
  <c r="AC65" i="8"/>
  <c r="AC59" i="8"/>
  <c r="AC7" i="8"/>
  <c r="AC24" i="8"/>
  <c r="AI182" i="8"/>
  <c r="AJ200" i="8"/>
  <c r="AJ187" i="8"/>
  <c r="AJ347" i="8"/>
  <c r="AG71" i="8"/>
  <c r="AJ386" i="8"/>
  <c r="AC22" i="8"/>
  <c r="AI357" i="8"/>
  <c r="AI311" i="8"/>
  <c r="AJ279" i="8"/>
  <c r="AG91" i="8"/>
  <c r="AJ278" i="8"/>
  <c r="AI275" i="8"/>
  <c r="AJ303" i="8"/>
  <c r="AI358" i="8"/>
  <c r="AG49" i="8"/>
  <c r="S25" i="13" s="1"/>
  <c r="AJ286" i="8"/>
  <c r="AJ173" i="8"/>
  <c r="AI260" i="8"/>
  <c r="AI249" i="8"/>
  <c r="AJ420" i="8"/>
  <c r="AI267" i="8"/>
  <c r="AJ256" i="8"/>
  <c r="AG22" i="8"/>
  <c r="AC27" i="8"/>
  <c r="I29" i="13" s="1"/>
  <c r="AI167" i="8"/>
  <c r="AJ314" i="8"/>
  <c r="AJ302" i="8"/>
  <c r="AI225" i="8"/>
  <c r="AJ223" i="8"/>
  <c r="AC94" i="8"/>
  <c r="AC11" i="8"/>
  <c r="AC66" i="8"/>
  <c r="AJ136" i="8"/>
  <c r="AJ426" i="8"/>
  <c r="AC30" i="8"/>
  <c r="AC83" i="8"/>
  <c r="AC29" i="8"/>
  <c r="AI197" i="8"/>
  <c r="AG70" i="8"/>
  <c r="AG76" i="8"/>
  <c r="AJ405" i="8"/>
  <c r="AI191" i="8"/>
  <c r="AI251" i="8"/>
  <c r="AG44" i="8"/>
  <c r="AI203" i="8"/>
  <c r="AI171" i="8"/>
  <c r="AJ295" i="8"/>
  <c r="AJ352" i="8"/>
  <c r="AI292" i="8"/>
  <c r="AI200" i="8"/>
  <c r="AC97" i="8"/>
  <c r="AJ313" i="8"/>
  <c r="AJ434" i="8"/>
  <c r="AI382" i="8"/>
  <c r="AJ158" i="8"/>
  <c r="AJ355" i="8"/>
  <c r="AI211" i="8"/>
  <c r="AJ180" i="8"/>
  <c r="AI310" i="8"/>
  <c r="AJ250" i="8"/>
  <c r="AI168" i="8"/>
  <c r="AJ344" i="8"/>
  <c r="AI356" i="8"/>
  <c r="AJ188" i="8"/>
  <c r="AC12" i="8"/>
  <c r="AJ182" i="8"/>
  <c r="AJ371" i="8"/>
  <c r="AC64" i="8"/>
  <c r="AJ181" i="8"/>
  <c r="AJ389" i="8"/>
  <c r="AC36" i="8"/>
  <c r="AC96" i="8"/>
  <c r="AI399" i="8"/>
  <c r="AI359" i="8"/>
  <c r="AI238" i="8"/>
  <c r="AI412" i="8"/>
  <c r="AJ271" i="8"/>
  <c r="AI215" i="8"/>
  <c r="AJ253" i="8"/>
  <c r="AI316" i="8"/>
  <c r="AJ307" i="8"/>
  <c r="AJ248" i="8"/>
  <c r="AI390" i="8"/>
  <c r="AI339" i="8"/>
  <c r="AJ385" i="8"/>
  <c r="AI199" i="8"/>
  <c r="AJ227" i="8"/>
  <c r="AJ289" i="8"/>
  <c r="AJ230" i="8"/>
  <c r="AJ157" i="8"/>
  <c r="AI210" i="8"/>
  <c r="AJ146" i="8"/>
  <c r="AI184" i="8"/>
  <c r="AI253" i="8"/>
  <c r="AI355" i="8"/>
  <c r="AJ384" i="8"/>
  <c r="AJ189" i="8"/>
  <c r="AJ121" i="8"/>
  <c r="AJ415" i="8"/>
  <c r="AI186" i="8"/>
  <c r="AI393" i="8"/>
  <c r="AI259" i="8"/>
  <c r="AJ378" i="8"/>
  <c r="AI189" i="8"/>
  <c r="AI163" i="8"/>
  <c r="AJ392" i="8"/>
  <c r="AJ403" i="8"/>
  <c r="AJ168" i="8"/>
  <c r="AJ408" i="8"/>
  <c r="AJ325" i="8"/>
  <c r="AJ205" i="8"/>
  <c r="AI307" i="8"/>
  <c r="AJ370" i="8"/>
  <c r="AI272" i="8"/>
  <c r="AJ122" i="8"/>
  <c r="AI274" i="8"/>
  <c r="AJ254" i="8"/>
  <c r="AC98" i="8"/>
  <c r="AJ353" i="8"/>
  <c r="AI410" i="8"/>
  <c r="AJ272" i="8"/>
  <c r="AJ144" i="8"/>
  <c r="AI349" i="8"/>
  <c r="AC82" i="8"/>
  <c r="I30" i="13" s="1"/>
  <c r="AC104" i="8"/>
  <c r="AJ229" i="8"/>
  <c r="AJ138" i="8"/>
  <c r="AJ237" i="8"/>
  <c r="AC70" i="8"/>
  <c r="AJ332" i="8"/>
  <c r="AI245" i="8"/>
  <c r="AJ186" i="8"/>
  <c r="AI154" i="8"/>
  <c r="AI277" i="8"/>
  <c r="AG15" i="8"/>
  <c r="AI331" i="8"/>
  <c r="AI346" i="8"/>
  <c r="AJ422" i="8"/>
  <c r="AG101" i="8"/>
  <c r="AI136" i="8"/>
  <c r="AI426" i="8"/>
  <c r="AC37" i="8"/>
  <c r="AJ277" i="8"/>
  <c r="AG20" i="8"/>
  <c r="AC109" i="8"/>
  <c r="AG79" i="8"/>
  <c r="AG59" i="8"/>
  <c r="AJ329" i="8"/>
  <c r="AJ331" i="8"/>
  <c r="AI295" i="8"/>
  <c r="AJ198" i="8"/>
  <c r="AJ396" i="8"/>
  <c r="AJ414" i="8"/>
  <c r="AJ126" i="8"/>
  <c r="AI170" i="8"/>
  <c r="AJ323" i="8"/>
  <c r="AJ129" i="8"/>
  <c r="AJ351" i="8"/>
  <c r="AI130" i="8"/>
  <c r="AD448" i="8" a="1"/>
  <c r="AD448" i="8" s="1"/>
  <c r="AJ404" i="8"/>
  <c r="AC87" i="8"/>
  <c r="AJ287" i="8"/>
  <c r="AI322" i="8"/>
  <c r="AI373" i="8"/>
  <c r="AC89" i="8"/>
  <c r="AC48" i="8"/>
  <c r="AC80" i="8"/>
  <c r="AC62" i="8"/>
  <c r="AC44" i="8"/>
  <c r="AI330" i="8"/>
  <c r="AI236" i="8"/>
  <c r="AJ174" i="8"/>
  <c r="AI228" i="8"/>
  <c r="AG104" i="8"/>
  <c r="AG81" i="8"/>
  <c r="AI271" i="8"/>
  <c r="AI372" i="8"/>
  <c r="AG39" i="8"/>
  <c r="AI153" i="8"/>
  <c r="AI304" i="8"/>
  <c r="AI301" i="8"/>
  <c r="AJ338" i="8"/>
  <c r="AG107" i="8"/>
  <c r="AG72" i="8"/>
  <c r="AJ339" i="8"/>
  <c r="AJ334" i="8"/>
  <c r="AI254" i="8"/>
  <c r="AJ430" i="8"/>
  <c r="AI252" i="8"/>
  <c r="AJ374" i="8"/>
  <c r="AI208" i="8"/>
  <c r="AC8" i="8"/>
  <c r="AJ244" i="8"/>
  <c r="AI290" i="8"/>
  <c r="AC91" i="8"/>
  <c r="AJ373" i="8"/>
  <c r="AJ322" i="8"/>
  <c r="AC101" i="8"/>
  <c r="AG57" i="8"/>
  <c r="AC9" i="8"/>
  <c r="AC84" i="8"/>
  <c r="AJ267" i="8"/>
  <c r="AC77" i="8"/>
  <c r="AJ388" i="8"/>
  <c r="AI433" i="8"/>
  <c r="AJ367" i="8"/>
  <c r="AG61" i="8"/>
  <c r="AC45" i="8"/>
  <c r="AJ226" i="8"/>
  <c r="AC46" i="8"/>
  <c r="AJ242" i="8"/>
  <c r="AJ236" i="8"/>
  <c r="AJ383" i="8"/>
  <c r="AG21" i="8"/>
  <c r="AI237" i="8"/>
  <c r="AI148" i="8"/>
  <c r="AI413" i="8"/>
  <c r="AJ398" i="8"/>
  <c r="AJ306" i="8"/>
  <c r="AI187" i="8"/>
  <c r="AI273" i="8"/>
  <c r="AC43" i="8"/>
  <c r="AJ125" i="8"/>
  <c r="AC74" i="8"/>
  <c r="AJ330" i="8"/>
  <c r="AJ413" i="8"/>
  <c r="AI229" i="8"/>
  <c r="AI152" i="8"/>
  <c r="AJ357" i="8"/>
  <c r="AI336" i="8"/>
  <c r="AC25" i="8"/>
  <c r="AI227" i="8"/>
  <c r="AJ124" i="8"/>
  <c r="AJ368" i="8"/>
  <c r="AG51" i="8"/>
  <c r="AJ228" i="8"/>
  <c r="AJ170" i="8"/>
  <c r="AI232" i="8"/>
  <c r="AI283" i="8"/>
  <c r="AI128" i="8"/>
  <c r="AG85" i="8"/>
  <c r="AG84" i="8"/>
  <c r="AC23" i="8"/>
  <c r="AI409" i="8"/>
  <c r="AJ379" i="8"/>
  <c r="AI205" i="8"/>
  <c r="AG13" i="8"/>
  <c r="AI325" i="8"/>
  <c r="AI383" i="8"/>
  <c r="AI255" i="8"/>
  <c r="AI174" i="8"/>
  <c r="AE445" i="8"/>
  <c r="AI387" i="8"/>
  <c r="AI213" i="8"/>
  <c r="AG34" i="8"/>
  <c r="AI366" i="8"/>
  <c r="AI244" i="8"/>
  <c r="AJ412" i="8"/>
  <c r="AJ283" i="8"/>
  <c r="AG11" i="8"/>
  <c r="AG99" i="8"/>
  <c r="AJ155" i="8"/>
  <c r="AI425" i="8"/>
  <c r="AI299" i="8"/>
  <c r="AG18" i="8"/>
  <c r="AJ361" i="8"/>
  <c r="AJ341" i="8"/>
  <c r="AJ211" i="8"/>
  <c r="AJ235" i="8"/>
  <c r="AI286" i="8"/>
  <c r="AI284" i="8"/>
  <c r="AI216" i="8"/>
  <c r="AI164" i="8"/>
  <c r="AG105" i="8"/>
  <c r="AI293" i="8"/>
  <c r="AI129" i="8"/>
  <c r="AJ337" i="8"/>
  <c r="AC10" i="8"/>
  <c r="AG9" i="8"/>
  <c r="AJ401" i="8"/>
  <c r="AG92" i="8"/>
  <c r="AI388" i="8"/>
  <c r="AI377" i="8"/>
  <c r="AC13" i="8"/>
  <c r="AI125" i="8"/>
  <c r="AG106" i="8"/>
  <c r="AI308" i="8"/>
  <c r="AI172" i="8"/>
  <c r="AJ394" i="8"/>
  <c r="AJ179" i="8"/>
  <c r="AI137" i="8"/>
  <c r="AI173" i="8"/>
  <c r="AJ423" i="8"/>
  <c r="AC105" i="8"/>
  <c r="AJ130" i="8"/>
  <c r="AD442" i="8" a="1"/>
  <c r="AD442" i="8" s="1"/>
  <c r="AJ149" i="8"/>
  <c r="AG110" i="8"/>
  <c r="AI250" i="8"/>
  <c r="AI347" i="8"/>
  <c r="AJ212" i="8"/>
  <c r="AI419" i="8"/>
  <c r="AG83" i="8"/>
  <c r="AI181" i="8"/>
  <c r="AJ410" i="8"/>
  <c r="AI305" i="8"/>
  <c r="AI287" i="8"/>
  <c r="AJ285" i="8"/>
  <c r="AG35" i="8"/>
  <c r="AI417" i="8"/>
  <c r="AI404" i="8"/>
  <c r="AG63" i="8"/>
  <c r="AI402" i="8"/>
  <c r="AG27" i="8"/>
  <c r="S29" i="13" s="1"/>
  <c r="AJ145" i="8"/>
  <c r="AG74" i="8"/>
  <c r="AG45" i="8"/>
  <c r="AJ245" i="8"/>
  <c r="AJ270" i="8"/>
  <c r="AG65" i="8"/>
  <c r="AF445" i="8"/>
  <c r="AI332" i="8"/>
  <c r="AJ293" i="8"/>
  <c r="AG47" i="8"/>
  <c r="AJ194" i="8"/>
  <c r="AJ143" i="8"/>
  <c r="AG31" i="8"/>
  <c r="AI142" i="8"/>
  <c r="AJ224" i="8"/>
  <c r="AI126" i="8"/>
  <c r="AJ372" i="8"/>
  <c r="AJ297" i="8"/>
  <c r="AI263" i="8"/>
  <c r="AC18" i="8"/>
  <c r="AI121" i="8"/>
  <c r="AJ312" i="8"/>
  <c r="AJ375" i="8"/>
  <c r="AI371" i="8"/>
  <c r="AG87" i="8"/>
  <c r="AJ296" i="8"/>
  <c r="AJ208" i="8"/>
  <c r="AG29" i="8"/>
  <c r="AD437" i="8"/>
  <c r="AD450" i="8" a="1"/>
  <c r="AD450" i="8" s="1"/>
  <c r="AG24" i="8"/>
  <c r="AJ184" i="8"/>
  <c r="AI386" i="8"/>
  <c r="AG43" i="8"/>
  <c r="AI361" i="8"/>
  <c r="AJ421" i="8"/>
  <c r="AJ380" i="8"/>
  <c r="AJ151" i="8"/>
  <c r="AI335" i="8"/>
  <c r="AJ217" i="8"/>
  <c r="AI397" i="8"/>
  <c r="AI285" i="8"/>
  <c r="AJ202" i="8"/>
  <c r="AI188" i="8"/>
  <c r="AI434" i="8"/>
  <c r="AJ315" i="8"/>
  <c r="AJ282" i="8"/>
  <c r="AI266" i="8"/>
  <c r="AI327" i="8"/>
  <c r="AI400" i="8"/>
  <c r="AJ342" i="8"/>
  <c r="AI165" i="8"/>
  <c r="AG28" i="8"/>
  <c r="AI270" i="8"/>
  <c r="AG66" i="8"/>
  <c r="AJ196" i="8"/>
  <c r="AJ190" i="8"/>
  <c r="AJ432" i="8"/>
  <c r="AC111" i="8"/>
  <c r="AI206" i="8"/>
  <c r="AI178" i="8"/>
  <c r="AJ319" i="8"/>
  <c r="AI319" i="8"/>
  <c r="AG94" i="8"/>
  <c r="AJ215" i="8"/>
  <c r="AJ233" i="8"/>
  <c r="AG33" i="8"/>
  <c r="AD438" i="8"/>
  <c r="AI120" i="8"/>
  <c r="AI375" i="8"/>
  <c r="AJ318" i="8"/>
  <c r="AI318" i="8"/>
  <c r="AC73" i="8"/>
  <c r="AG98" i="8"/>
  <c r="AI246" i="8"/>
  <c r="AI364" i="8"/>
  <c r="AJ399" i="8"/>
  <c r="AG103" i="8"/>
  <c r="AI302" i="8"/>
  <c r="AG23" i="8"/>
  <c r="AI146" i="8"/>
  <c r="AJ299" i="8"/>
  <c r="AC14" i="8"/>
  <c r="AG19" i="8"/>
  <c r="AJ298" i="8"/>
  <c r="AG32" i="8"/>
  <c r="AJ348" i="8"/>
  <c r="AJ321" i="8"/>
  <c r="AG460" i="8"/>
  <c r="AG88" i="8"/>
  <c r="AJ429" i="8"/>
  <c r="AI288" i="8"/>
  <c r="AI282" i="8"/>
  <c r="AI138" i="8"/>
  <c r="AG8" i="8"/>
  <c r="AJ123" i="8"/>
  <c r="AJ264" i="8"/>
  <c r="AI176" i="8"/>
  <c r="AG14" i="8"/>
  <c r="AJ252" i="8"/>
  <c r="AC51" i="8"/>
  <c r="AI424" i="8"/>
  <c r="AG68" i="8"/>
  <c r="AJ185" i="8"/>
  <c r="AJ274" i="8"/>
  <c r="AJ387" i="8"/>
  <c r="AG67" i="8"/>
  <c r="AJ340" i="8"/>
  <c r="AJ231" i="8"/>
  <c r="AJ197" i="8"/>
  <c r="AJ431" i="8"/>
  <c r="AG54" i="8"/>
  <c r="AG58" i="8"/>
  <c r="AG40" i="8"/>
  <c r="AI169" i="8"/>
  <c r="AJ159" i="8"/>
  <c r="AD443" i="8" a="1"/>
  <c r="AD443" i="8" s="1"/>
  <c r="AG12" i="8"/>
  <c r="AG89" i="8"/>
  <c r="AJ160" i="8"/>
  <c r="AI392" i="8"/>
  <c r="AG77" i="8"/>
  <c r="AJ301" i="8"/>
  <c r="AI351" i="8"/>
  <c r="AG37" i="8"/>
  <c r="AG50" i="8"/>
  <c r="AI243" i="8"/>
  <c r="AJ366" i="8"/>
  <c r="AI157" i="8"/>
  <c r="AJ349" i="8"/>
  <c r="AI312" i="8"/>
  <c r="AJ132" i="8"/>
  <c r="AJ141" i="8"/>
  <c r="AI132" i="8"/>
  <c r="AI343" i="8"/>
  <c r="AI264" i="8"/>
  <c r="AG26" i="8"/>
  <c r="AI294" i="8"/>
  <c r="AJ131" i="8"/>
  <c r="AJ294" i="8"/>
  <c r="AG48" i="8"/>
  <c r="AI175" i="8"/>
  <c r="AG82" i="8"/>
  <c r="S30" i="13" s="1"/>
  <c r="AI276" i="8"/>
  <c r="AJ165" i="8"/>
  <c r="AJ192" i="8"/>
  <c r="AG69" i="8"/>
  <c r="AJ240" i="8"/>
  <c r="AJ140" i="8"/>
  <c r="AJ407" i="8"/>
  <c r="AJ336" i="8"/>
  <c r="AD444" i="8" a="1"/>
  <c r="AD444" i="8" s="1"/>
  <c r="AJ402" i="8"/>
  <c r="AG93" i="8"/>
  <c r="AJ333" i="8"/>
  <c r="AI143" i="8"/>
  <c r="AJ257" i="8"/>
  <c r="AI221" i="8"/>
  <c r="AG73" i="8"/>
  <c r="AJ327" i="8"/>
  <c r="AG42" i="8"/>
  <c r="AH42" i="8" s="1"/>
  <c r="AG38" i="8"/>
  <c r="AG36" i="8"/>
  <c r="AI381" i="8"/>
  <c r="AG102" i="8"/>
  <c r="AJ345" i="8"/>
  <c r="AI360" i="8"/>
  <c r="AJ309" i="8"/>
  <c r="AI207" i="8"/>
  <c r="AI159" i="8"/>
  <c r="AG111" i="8"/>
  <c r="AI123" i="8"/>
  <c r="AC445" i="8"/>
  <c r="AG41" i="8"/>
  <c r="AJ216" i="8"/>
  <c r="AG10" i="8"/>
  <c r="AG56" i="8"/>
  <c r="AI281" i="8"/>
  <c r="AG53" i="8"/>
  <c r="AI145" i="8"/>
  <c r="AJ177" i="8"/>
  <c r="AI414" i="8"/>
  <c r="AI279" i="8"/>
  <c r="AI220" i="8"/>
  <c r="AI201" i="8"/>
  <c r="AG25" i="8"/>
  <c r="AJ363" i="8"/>
  <c r="AG86" i="8"/>
  <c r="AI240" i="8"/>
  <c r="AJ269" i="8"/>
  <c r="AJ162" i="8"/>
  <c r="AI342" i="8"/>
  <c r="AI345" i="8"/>
  <c r="AJ258" i="8"/>
  <c r="AJ354" i="8"/>
  <c r="AJ246" i="8"/>
  <c r="AI258" i="8"/>
  <c r="AJ201" i="8"/>
  <c r="AD449" i="8" a="1"/>
  <c r="AD449" i="8" s="1"/>
  <c r="AI222" i="8"/>
  <c r="AG16" i="8"/>
  <c r="AI432" i="8"/>
  <c r="AI411" i="8"/>
  <c r="AJ417" i="8"/>
  <c r="AI354" i="8"/>
  <c r="AJ241" i="8"/>
  <c r="AI231" i="8"/>
  <c r="AG90" i="8"/>
  <c r="AG64" i="8"/>
  <c r="AJ234" i="8"/>
  <c r="AI183" i="8"/>
  <c r="AJ207" i="8"/>
  <c r="AG46" i="8"/>
  <c r="AI309" i="8"/>
  <c r="AI162" i="8"/>
  <c r="AG97" i="8"/>
  <c r="AG80" i="8"/>
  <c r="AJ288" i="8"/>
  <c r="AG78" i="8"/>
  <c r="AI195" i="8"/>
  <c r="AG108" i="8"/>
  <c r="AI348" i="8"/>
  <c r="AG52" i="8"/>
  <c r="AG17" i="8"/>
  <c r="AG62" i="8"/>
  <c r="AI321" i="8"/>
  <c r="AI315" i="8"/>
  <c r="AG60" i="8"/>
  <c r="AD447" i="8" a="1"/>
  <c r="AD447" i="8" s="1"/>
  <c r="AH450" i="8" a="1"/>
  <c r="AH450" i="8" s="1"/>
  <c r="AH447" i="8" a="1"/>
  <c r="AH447" i="8" s="1"/>
  <c r="AH444" i="8" a="1"/>
  <c r="AH444" i="8" s="1"/>
  <c r="AH449" i="8" a="1"/>
  <c r="AH449" i="8" s="1"/>
  <c r="AH443" i="8" a="1"/>
  <c r="AH443" i="8" s="1"/>
  <c r="AH442" i="8" a="1"/>
  <c r="AH442" i="8" s="1"/>
  <c r="AH448" i="8" a="1"/>
  <c r="AH448" i="8" s="1"/>
  <c r="AH438" i="8"/>
  <c r="AH437" i="8"/>
  <c r="AG458" i="8" s="1"/>
  <c r="AG478" i="8" s="1"/>
  <c r="AG7" i="8"/>
  <c r="AI155" i="8"/>
  <c r="AG100" i="8"/>
  <c r="AI261" i="8"/>
  <c r="AG30" i="8"/>
  <c r="AJ150" i="8"/>
  <c r="AG95" i="8"/>
  <c r="AJ411" i="8"/>
  <c r="AJ320" i="8"/>
  <c r="AG109" i="8"/>
  <c r="AJ390" i="8"/>
  <c r="AJ381" i="8"/>
  <c r="AJ276" i="8"/>
  <c r="AG75" i="8"/>
  <c r="N6" i="13" l="1" a="1"/>
  <c r="N6" i="13" s="1"/>
  <c r="N9" i="13" a="1"/>
  <c r="N9" i="13" s="1"/>
  <c r="N7" i="13" a="1"/>
  <c r="N7" i="13" s="1"/>
  <c r="U25" i="14"/>
  <c r="N14" i="13" a="1"/>
  <c r="N14" i="13" s="1"/>
  <c r="N8" i="13" a="1"/>
  <c r="N8" i="13" s="1"/>
  <c r="N10" i="13" a="1"/>
  <c r="N10" i="13" s="1"/>
  <c r="N11" i="13" a="1"/>
  <c r="N11" i="13" s="1"/>
  <c r="N33" i="13" s="1"/>
  <c r="N13" i="13" a="1"/>
  <c r="N13" i="13" s="1"/>
  <c r="N12" i="13" a="1"/>
  <c r="N12" i="13" s="1"/>
  <c r="V462" i="14" a="1"/>
  <c r="V462" i="14" s="1"/>
  <c r="AH20" i="8"/>
  <c r="AH31" i="8"/>
  <c r="AH99" i="8"/>
  <c r="AI99" i="8"/>
  <c r="E16" i="81"/>
  <c r="E16" i="47"/>
  <c r="E16" i="84"/>
  <c r="E16" i="97"/>
  <c r="E17" i="50"/>
  <c r="E16" i="68"/>
  <c r="E15" i="82"/>
  <c r="H16" i="14"/>
  <c r="H19" i="14"/>
  <c r="E17" i="66"/>
  <c r="E17" i="98"/>
  <c r="E17" i="67"/>
  <c r="E18" i="48"/>
  <c r="E12" i="98"/>
  <c r="E15" i="68"/>
  <c r="E9" i="44"/>
  <c r="E10" i="66"/>
  <c r="E15" i="81"/>
  <c r="E16" i="52"/>
  <c r="E18" i="84"/>
  <c r="E17" i="97"/>
  <c r="E16" i="51"/>
  <c r="H18" i="14"/>
  <c r="E16" i="98"/>
  <c r="H17" i="14"/>
  <c r="J49" i="73"/>
  <c r="E17" i="99"/>
  <c r="E14" i="83"/>
  <c r="E15" i="98"/>
  <c r="E17" i="68"/>
  <c r="E14" i="97"/>
  <c r="L16" i="14"/>
  <c r="F16" i="14" s="1"/>
  <c r="E14" i="100"/>
  <c r="E15" i="100"/>
  <c r="L19" i="14"/>
  <c r="F19" i="14" s="1"/>
  <c r="E15" i="44"/>
  <c r="J49" i="74"/>
  <c r="L18" i="14"/>
  <c r="E14" i="52"/>
  <c r="L17" i="14"/>
  <c r="E14" i="81"/>
  <c r="H49" i="108"/>
  <c r="E14" i="49"/>
  <c r="E14" i="47"/>
  <c r="AG467" i="8"/>
  <c r="E11" i="50"/>
  <c r="E10" i="49"/>
  <c r="E14" i="48"/>
  <c r="E13" i="67"/>
  <c r="H49" i="110"/>
  <c r="J49" i="112"/>
  <c r="E14" i="43"/>
  <c r="E14" i="99"/>
  <c r="E14" i="98"/>
  <c r="E12" i="44"/>
  <c r="E11" i="84"/>
  <c r="E12" i="100"/>
  <c r="H49" i="61"/>
  <c r="J49" i="61"/>
  <c r="E14" i="65"/>
  <c r="H49" i="107"/>
  <c r="G32" i="13"/>
  <c r="E11" i="68"/>
  <c r="E14" i="82"/>
  <c r="E14" i="66"/>
  <c r="E14" i="84"/>
  <c r="E10" i="68"/>
  <c r="E10" i="65"/>
  <c r="E10" i="100"/>
  <c r="J49" i="104"/>
  <c r="J44" i="101"/>
  <c r="H49" i="103"/>
  <c r="H15" i="14"/>
  <c r="E14" i="51"/>
  <c r="E14" i="44"/>
  <c r="AG471" i="8"/>
  <c r="AG473" i="8" s="1"/>
  <c r="H49" i="60"/>
  <c r="J49" i="111"/>
  <c r="H49" i="112"/>
  <c r="E14" i="50"/>
  <c r="E11" i="52"/>
  <c r="AG468" i="8"/>
  <c r="N41" i="13"/>
  <c r="H49" i="53"/>
  <c r="E14" i="68"/>
  <c r="E13" i="82"/>
  <c r="E10" i="99"/>
  <c r="E12" i="97"/>
  <c r="E10" i="98"/>
  <c r="E10" i="83"/>
  <c r="E10" i="97"/>
  <c r="J41" i="13"/>
  <c r="T41" i="13"/>
  <c r="J49" i="54"/>
  <c r="H49" i="55"/>
  <c r="H49" i="78"/>
  <c r="H49" i="74"/>
  <c r="J44" i="77"/>
  <c r="L15" i="14"/>
  <c r="J49" i="72"/>
  <c r="J49" i="91"/>
  <c r="J49" i="89"/>
  <c r="E13" i="68"/>
  <c r="E12" i="65"/>
  <c r="E11" i="44"/>
  <c r="E12" i="47"/>
  <c r="E10" i="82"/>
  <c r="L14" i="14"/>
  <c r="E11" i="98"/>
  <c r="E11" i="81"/>
  <c r="E11" i="83"/>
  <c r="V524" i="14"/>
  <c r="V484" i="14"/>
  <c r="E12" i="67"/>
  <c r="V521" i="14"/>
  <c r="E11" i="48"/>
  <c r="E10" i="50"/>
  <c r="E12" i="50"/>
  <c r="E13" i="50"/>
  <c r="E13" i="48"/>
  <c r="H11" i="14"/>
  <c r="H13" i="14"/>
  <c r="E11" i="100"/>
  <c r="L12" i="14"/>
  <c r="E12" i="51"/>
  <c r="L10" i="14"/>
  <c r="J49" i="93"/>
  <c r="E12" i="83"/>
  <c r="E13" i="97"/>
  <c r="E11" i="99"/>
  <c r="J49" i="109"/>
  <c r="J49" i="64"/>
  <c r="H44" i="71"/>
  <c r="H49" i="106"/>
  <c r="J44" i="105"/>
  <c r="J49" i="110"/>
  <c r="E13" i="98"/>
  <c r="L11" i="14"/>
  <c r="E11" i="49"/>
  <c r="H44" i="75"/>
  <c r="H49" i="85"/>
  <c r="J49" i="105"/>
  <c r="J49" i="103"/>
  <c r="E12" i="43"/>
  <c r="L13" i="14"/>
  <c r="E12" i="52"/>
  <c r="H12" i="14"/>
  <c r="H14" i="14"/>
  <c r="J49" i="94"/>
  <c r="E9" i="43"/>
  <c r="H10" i="14"/>
  <c r="E9" i="99"/>
  <c r="M34" i="99"/>
  <c r="E10" i="44"/>
  <c r="H49" i="58"/>
  <c r="H44" i="74"/>
  <c r="J49" i="70"/>
  <c r="J44" i="107"/>
  <c r="H44" i="105"/>
  <c r="H44" i="101"/>
  <c r="J44" i="103"/>
  <c r="J44" i="71"/>
  <c r="J44" i="73"/>
  <c r="J44" i="106"/>
  <c r="J44" i="102"/>
  <c r="H44" i="111"/>
  <c r="J44" i="104"/>
  <c r="G34" i="99"/>
  <c r="H49" i="89"/>
  <c r="H49" i="102"/>
  <c r="M34" i="100"/>
  <c r="E9" i="100"/>
  <c r="E12" i="99"/>
  <c r="J49" i="108"/>
  <c r="E11" i="82"/>
  <c r="E11" i="97"/>
  <c r="E13" i="99"/>
  <c r="J44" i="111"/>
  <c r="H49" i="101"/>
  <c r="H44" i="112"/>
  <c r="E9" i="97"/>
  <c r="M34" i="97"/>
  <c r="E12" i="66"/>
  <c r="J49" i="90"/>
  <c r="H44" i="107"/>
  <c r="E13" i="100"/>
  <c r="H49" i="105"/>
  <c r="G34" i="97"/>
  <c r="H44" i="110"/>
  <c r="G34" i="98"/>
  <c r="H44" i="103"/>
  <c r="H49" i="69"/>
  <c r="J49" i="75"/>
  <c r="J44" i="88"/>
  <c r="J49" i="87"/>
  <c r="H49" i="95"/>
  <c r="H44" i="106"/>
  <c r="J49" i="106"/>
  <c r="G34" i="100"/>
  <c r="H44" i="102"/>
  <c r="J49" i="102"/>
  <c r="H49" i="111"/>
  <c r="H44" i="104"/>
  <c r="J44" i="110"/>
  <c r="J44" i="109"/>
  <c r="H44" i="109"/>
  <c r="H44" i="108"/>
  <c r="G34" i="44"/>
  <c r="J44" i="78"/>
  <c r="H49" i="94"/>
  <c r="J49" i="88"/>
  <c r="E13" i="84"/>
  <c r="J49" i="92"/>
  <c r="J44" i="95"/>
  <c r="J49" i="85"/>
  <c r="E13" i="81"/>
  <c r="H49" i="104"/>
  <c r="J49" i="101"/>
  <c r="J44" i="112"/>
  <c r="E9" i="98"/>
  <c r="M34" i="98"/>
  <c r="J44" i="108"/>
  <c r="J44" i="96"/>
  <c r="E9" i="83"/>
  <c r="M34" i="83"/>
  <c r="E13" i="43"/>
  <c r="H44" i="87"/>
  <c r="J49" i="86"/>
  <c r="J49" i="69"/>
  <c r="J44" i="79"/>
  <c r="H44" i="94"/>
  <c r="H44" i="96"/>
  <c r="H49" i="96"/>
  <c r="H44" i="91"/>
  <c r="M34" i="84"/>
  <c r="E9" i="84"/>
  <c r="J49" i="95"/>
  <c r="H44" i="86"/>
  <c r="J44" i="89"/>
  <c r="G34" i="84"/>
  <c r="J44" i="54"/>
  <c r="H49" i="80"/>
  <c r="H49" i="73"/>
  <c r="E11" i="65"/>
  <c r="G34" i="81"/>
  <c r="J49" i="96"/>
  <c r="M34" i="82"/>
  <c r="E9" i="82"/>
  <c r="E12" i="82"/>
  <c r="H44" i="89"/>
  <c r="J44" i="90"/>
  <c r="G34" i="83"/>
  <c r="J44" i="55"/>
  <c r="H49" i="63"/>
  <c r="E13" i="51"/>
  <c r="J44" i="87"/>
  <c r="M34" i="81"/>
  <c r="E9" i="81"/>
  <c r="J44" i="93"/>
  <c r="J44" i="86"/>
  <c r="H44" i="59"/>
  <c r="H44" i="88"/>
  <c r="E13" i="83"/>
  <c r="J44" i="92"/>
  <c r="H44" i="85"/>
  <c r="H44" i="78"/>
  <c r="H49" i="75"/>
  <c r="H49" i="88"/>
  <c r="E10" i="81"/>
  <c r="H49" i="87"/>
  <c r="J44" i="91"/>
  <c r="H44" i="92"/>
  <c r="H44" i="95"/>
  <c r="H49" i="86"/>
  <c r="E12" i="81"/>
  <c r="H44" i="90"/>
  <c r="J49" i="53"/>
  <c r="H49" i="72"/>
  <c r="J44" i="94"/>
  <c r="G34" i="82"/>
  <c r="H49" i="92"/>
  <c r="H44" i="93"/>
  <c r="J44" i="85"/>
  <c r="E10" i="84"/>
  <c r="H49" i="90"/>
  <c r="J44" i="80"/>
  <c r="H44" i="77"/>
  <c r="J44" i="69"/>
  <c r="E10" i="67"/>
  <c r="J49" i="60"/>
  <c r="G34" i="43"/>
  <c r="J44" i="63"/>
  <c r="J49" i="57"/>
  <c r="H49" i="59"/>
  <c r="G34" i="52"/>
  <c r="E12" i="49"/>
  <c r="G34" i="50"/>
  <c r="E10" i="51"/>
  <c r="H49" i="77"/>
  <c r="H44" i="70"/>
  <c r="M34" i="66"/>
  <c r="E9" i="66"/>
  <c r="H49" i="56"/>
  <c r="J49" i="80"/>
  <c r="H49" i="71"/>
  <c r="J44" i="70"/>
  <c r="J49" i="77"/>
  <c r="E13" i="65"/>
  <c r="H49" i="79"/>
  <c r="J49" i="78"/>
  <c r="H44" i="72"/>
  <c r="H49" i="76"/>
  <c r="J44" i="75"/>
  <c r="E9" i="67"/>
  <c r="M34" i="67"/>
  <c r="H44" i="60"/>
  <c r="H49" i="57"/>
  <c r="H49" i="62"/>
  <c r="J44" i="58"/>
  <c r="E13" i="66"/>
  <c r="H44" i="79"/>
  <c r="H49" i="70"/>
  <c r="M34" i="65"/>
  <c r="E9" i="65"/>
  <c r="G34" i="66"/>
  <c r="E9" i="68"/>
  <c r="M34" i="68"/>
  <c r="E11" i="43"/>
  <c r="E11" i="51"/>
  <c r="H44" i="80"/>
  <c r="J49" i="71"/>
  <c r="H44" i="73"/>
  <c r="E11" i="67"/>
  <c r="J44" i="72"/>
  <c r="H44" i="76"/>
  <c r="J49" i="76"/>
  <c r="J44" i="74"/>
  <c r="E12" i="68"/>
  <c r="H44" i="69"/>
  <c r="G34" i="65"/>
  <c r="J49" i="79"/>
  <c r="G34" i="68"/>
  <c r="J44" i="76"/>
  <c r="G34" i="67"/>
  <c r="E10" i="43"/>
  <c r="J44" i="62"/>
  <c r="H44" i="58"/>
  <c r="J49" i="58"/>
  <c r="J49" i="55"/>
  <c r="J44" i="57"/>
  <c r="J44" i="64"/>
  <c r="H44" i="53"/>
  <c r="J44" i="61"/>
  <c r="E13" i="49"/>
  <c r="J49" i="59"/>
  <c r="M34" i="49"/>
  <c r="E9" i="49"/>
  <c r="H44" i="61"/>
  <c r="H49" i="54"/>
  <c r="E9" i="52"/>
  <c r="M34" i="52"/>
  <c r="H49" i="64"/>
  <c r="E9" i="51"/>
  <c r="M34" i="51"/>
  <c r="J49" i="56"/>
  <c r="E13" i="52"/>
  <c r="H44" i="55"/>
  <c r="H44" i="63"/>
  <c r="J49" i="63"/>
  <c r="G34" i="51"/>
  <c r="J44" i="53"/>
  <c r="E10" i="52"/>
  <c r="J44" i="56"/>
  <c r="M34" i="50"/>
  <c r="E9" i="50"/>
  <c r="H44" i="62"/>
  <c r="J49" i="62"/>
  <c r="J44" i="59"/>
  <c r="H44" i="56"/>
  <c r="J44" i="60"/>
  <c r="H44" i="57"/>
  <c r="H44" i="64"/>
  <c r="G34" i="49"/>
  <c r="H44" i="54"/>
  <c r="E9" i="48"/>
  <c r="E10" i="48"/>
  <c r="E10" i="47"/>
  <c r="M34" i="47"/>
  <c r="E13" i="44"/>
  <c r="E13" i="47"/>
  <c r="E11" i="47"/>
  <c r="G34" i="48"/>
  <c r="M34" i="44"/>
  <c r="G34" i="47"/>
  <c r="M34" i="48"/>
  <c r="M34" i="43"/>
  <c r="H28" i="13"/>
  <c r="E9" i="47"/>
  <c r="J44" i="41"/>
  <c r="H44" i="39"/>
  <c r="H49" i="42"/>
  <c r="J44" i="40"/>
  <c r="J44" i="42"/>
  <c r="J49" i="39"/>
  <c r="J49" i="36"/>
  <c r="J44" i="39"/>
  <c r="J49" i="42"/>
  <c r="J49" i="33"/>
  <c r="H44" i="37"/>
  <c r="H49" i="41"/>
  <c r="H49" i="39"/>
  <c r="H49" i="40"/>
  <c r="J49" i="19"/>
  <c r="J49" i="40"/>
  <c r="H44" i="42"/>
  <c r="H44" i="40"/>
  <c r="H49" i="33"/>
  <c r="H49" i="38"/>
  <c r="H49" i="37"/>
  <c r="J49" i="35"/>
  <c r="H44" i="35"/>
  <c r="H44" i="41"/>
  <c r="J49" i="41"/>
  <c r="J44" i="34"/>
  <c r="J44" i="33"/>
  <c r="J44" i="38"/>
  <c r="J44" i="37"/>
  <c r="J49" i="38"/>
  <c r="H44" i="36"/>
  <c r="J44" i="35"/>
  <c r="K32" i="13"/>
  <c r="H23" i="13"/>
  <c r="H44" i="38"/>
  <c r="J49" i="37"/>
  <c r="J44" i="36"/>
  <c r="H49" i="19"/>
  <c r="J49" i="34"/>
  <c r="H49" i="34"/>
  <c r="J44" i="19"/>
  <c r="H44" i="34"/>
  <c r="H44" i="33"/>
  <c r="H44" i="19"/>
  <c r="J44" i="32"/>
  <c r="H49" i="32"/>
  <c r="J49" i="32"/>
  <c r="H44" i="32"/>
  <c r="L23" i="13"/>
  <c r="AE563" i="14"/>
  <c r="AE551" i="14"/>
  <c r="L24" i="13"/>
  <c r="E29" i="13"/>
  <c r="M32" i="13"/>
  <c r="AE572" i="14"/>
  <c r="I23" i="13"/>
  <c r="H26" i="13"/>
  <c r="S23" i="13"/>
  <c r="L26" i="13"/>
  <c r="U454" i="14"/>
  <c r="AE550" i="14"/>
  <c r="E10" i="13"/>
  <c r="AI44" i="8"/>
  <c r="I31" i="13"/>
  <c r="L33" i="13"/>
  <c r="E11" i="13"/>
  <c r="S24" i="13"/>
  <c r="AH107" i="8"/>
  <c r="AI96" i="8"/>
  <c r="I27" i="13"/>
  <c r="E27" i="13" s="1"/>
  <c r="H22" i="13"/>
  <c r="S15" i="13"/>
  <c r="L15" i="13"/>
  <c r="E13" i="13"/>
  <c r="I28" i="13"/>
  <c r="AI88" i="8"/>
  <c r="S22" i="13"/>
  <c r="E22" i="13" s="1"/>
  <c r="AH22" i="8"/>
  <c r="E25" i="13"/>
  <c r="I24" i="13"/>
  <c r="N28" i="13"/>
  <c r="E14" i="13"/>
  <c r="AI100" i="8"/>
  <c r="S31" i="13"/>
  <c r="L28" i="13"/>
  <c r="L30" i="13"/>
  <c r="N26" i="13"/>
  <c r="H15" i="13"/>
  <c r="I15" i="13"/>
  <c r="E6" i="13"/>
  <c r="E30" i="13"/>
  <c r="S28" i="13"/>
  <c r="H24" i="13"/>
  <c r="L29" i="13"/>
  <c r="N23" i="13"/>
  <c r="E7" i="13"/>
  <c r="L27" i="13"/>
  <c r="E12" i="13"/>
  <c r="S26" i="13"/>
  <c r="I26" i="13"/>
  <c r="N24" i="13"/>
  <c r="E9" i="13"/>
  <c r="I33" i="13"/>
  <c r="E8" i="13"/>
  <c r="AE557" i="14"/>
  <c r="AE567" i="14"/>
  <c r="AE571" i="14"/>
  <c r="AE547" i="14"/>
  <c r="AE558" i="14"/>
  <c r="AE554" i="14"/>
  <c r="AE552" i="14"/>
  <c r="AI40" i="8"/>
  <c r="AH35" i="8"/>
  <c r="AE555" i="14"/>
  <c r="AH16" i="8"/>
  <c r="AE568" i="14"/>
  <c r="AE553" i="14"/>
  <c r="AE562" i="14"/>
  <c r="AE556" i="14"/>
  <c r="AJ556" i="14" s="1"/>
  <c r="V454" i="14"/>
  <c r="AE573" i="14"/>
  <c r="AE560" i="14"/>
  <c r="AE570" i="14"/>
  <c r="AE561" i="14"/>
  <c r="AE559" i="14"/>
  <c r="AH7" i="8"/>
  <c r="AI39" i="8"/>
  <c r="AH28" i="8"/>
  <c r="AI72" i="8"/>
  <c r="AI60" i="8"/>
  <c r="AH46" i="8"/>
  <c r="AH59" i="8"/>
  <c r="AI34" i="8"/>
  <c r="AI81" i="8"/>
  <c r="AH106" i="8"/>
  <c r="AH49" i="8"/>
  <c r="AH63" i="8"/>
  <c r="AH39" i="8"/>
  <c r="AI15" i="8"/>
  <c r="AI54" i="8"/>
  <c r="AH47" i="8"/>
  <c r="AI75" i="8"/>
  <c r="AH36" i="8"/>
  <c r="AH85" i="8"/>
  <c r="AH95" i="8"/>
  <c r="AI93" i="8"/>
  <c r="AH67" i="8"/>
  <c r="AI70" i="8"/>
  <c r="AI90" i="8"/>
  <c r="AH61" i="8"/>
  <c r="AH45" i="8"/>
  <c r="AI9" i="8"/>
  <c r="AI50" i="8"/>
  <c r="AH12" i="8"/>
  <c r="AI8" i="8"/>
  <c r="AI62" i="8"/>
  <c r="AI103" i="8"/>
  <c r="AH109" i="8"/>
  <c r="AH79" i="8"/>
  <c r="AI79" i="8"/>
  <c r="AI42" i="8"/>
  <c r="AI69" i="8"/>
  <c r="AI49" i="8"/>
  <c r="AI32" i="8"/>
  <c r="AH72" i="8"/>
  <c r="AH91" i="8"/>
  <c r="AI108" i="8"/>
  <c r="AI35" i="8"/>
  <c r="AH19" i="8"/>
  <c r="AH41" i="8"/>
  <c r="AH92" i="8"/>
  <c r="AI17" i="8"/>
  <c r="AI102" i="8"/>
  <c r="AI98" i="8"/>
  <c r="AH66" i="8"/>
  <c r="AI89" i="8"/>
  <c r="AH37" i="8"/>
  <c r="AI68" i="8"/>
  <c r="AH94" i="8"/>
  <c r="AH21" i="8"/>
  <c r="AH15" i="8"/>
  <c r="AI22" i="8"/>
  <c r="AI52" i="8"/>
  <c r="AI66" i="8"/>
  <c r="AH74" i="8"/>
  <c r="AI71" i="8"/>
  <c r="AH55" i="8"/>
  <c r="AH26" i="8"/>
  <c r="AH96" i="8"/>
  <c r="AH86" i="8"/>
  <c r="AH33" i="8"/>
  <c r="AI29" i="8"/>
  <c r="AH27" i="8"/>
  <c r="AH110" i="8"/>
  <c r="AI59" i="8"/>
  <c r="AH70" i="8"/>
  <c r="AH32" i="8"/>
  <c r="AI106" i="8"/>
  <c r="AH50" i="8"/>
  <c r="AI85" i="8"/>
  <c r="AI87" i="8"/>
  <c r="AH57" i="8"/>
  <c r="AH78" i="8"/>
  <c r="AI56" i="8"/>
  <c r="AH38" i="8"/>
  <c r="AI55" i="8"/>
  <c r="AI48" i="8"/>
  <c r="AI24" i="8"/>
  <c r="AH8" i="8"/>
  <c r="AH60" i="8"/>
  <c r="AI11" i="8"/>
  <c r="AH104" i="8"/>
  <c r="AH89" i="8"/>
  <c r="AH44" i="8"/>
  <c r="AI65" i="8"/>
  <c r="AH58" i="8"/>
  <c r="AH10" i="8"/>
  <c r="AI21" i="8"/>
  <c r="AH84" i="8"/>
  <c r="AH43" i="8"/>
  <c r="AH97" i="8"/>
  <c r="AI47" i="8"/>
  <c r="AH71" i="8"/>
  <c r="AI64" i="8"/>
  <c r="AI30" i="8"/>
  <c r="AH40" i="8"/>
  <c r="AH82" i="8"/>
  <c r="AI77" i="8"/>
  <c r="AH65" i="8"/>
  <c r="AI58" i="8"/>
  <c r="AI23" i="8"/>
  <c r="AH83" i="8"/>
  <c r="AH76" i="8"/>
  <c r="AI19" i="8"/>
  <c r="AH53" i="8"/>
  <c r="AH68" i="8"/>
  <c r="AI27" i="8"/>
  <c r="AI110" i="8"/>
  <c r="Z448" i="8"/>
  <c r="AH103" i="8"/>
  <c r="AH24" i="8"/>
  <c r="AI107" i="8"/>
  <c r="AH69" i="8"/>
  <c r="AI12" i="8"/>
  <c r="AI76" i="8"/>
  <c r="Z449" i="8"/>
  <c r="AI20" i="8"/>
  <c r="AH102" i="8"/>
  <c r="Z444" i="8"/>
  <c r="AI94" i="8"/>
  <c r="AI45" i="8"/>
  <c r="AI26" i="8"/>
  <c r="AI97" i="8"/>
  <c r="AI80" i="8"/>
  <c r="AI104" i="8"/>
  <c r="AI36" i="8"/>
  <c r="AH88" i="8"/>
  <c r="AH105" i="8"/>
  <c r="AH9" i="8"/>
  <c r="AH81" i="8"/>
  <c r="AH34" i="8"/>
  <c r="AH11" i="8"/>
  <c r="AH13" i="8"/>
  <c r="AH14" i="8"/>
  <c r="AI101" i="8"/>
  <c r="AI25" i="8"/>
  <c r="Z442" i="8"/>
  <c r="AI86" i="8"/>
  <c r="AH77" i="8"/>
  <c r="AI91" i="8"/>
  <c r="AI61" i="8"/>
  <c r="AI43" i="8"/>
  <c r="AI16" i="8"/>
  <c r="AH25" i="8"/>
  <c r="Z447" i="8"/>
  <c r="AI7" i="8"/>
  <c r="AH17" i="8"/>
  <c r="AI33" i="8"/>
  <c r="AI109" i="8"/>
  <c r="AI38" i="8"/>
  <c r="AH23" i="8"/>
  <c r="AH87" i="8"/>
  <c r="AH111" i="8"/>
  <c r="AI51" i="8"/>
  <c r="AH90" i="8"/>
  <c r="AI28" i="8"/>
  <c r="AI67" i="8"/>
  <c r="Z437" i="8"/>
  <c r="AG455" i="8" s="1"/>
  <c r="AI82" i="8"/>
  <c r="AI31" i="8"/>
  <c r="AJ438" i="8"/>
  <c r="AI57" i="8"/>
  <c r="Z450" i="8"/>
  <c r="AI83" i="8"/>
  <c r="AI105" i="8"/>
  <c r="AI92" i="8"/>
  <c r="AI63" i="8"/>
  <c r="AI53" i="8"/>
  <c r="AH101" i="8"/>
  <c r="AI74" i="8"/>
  <c r="AI46" i="8"/>
  <c r="AH64" i="8"/>
  <c r="AI10" i="8"/>
  <c r="AI84" i="8"/>
  <c r="AH62" i="8"/>
  <c r="AI14" i="8"/>
  <c r="AI41" i="8"/>
  <c r="AI18" i="8"/>
  <c r="AD445" i="8"/>
  <c r="AH48" i="8"/>
  <c r="AI13" i="8"/>
  <c r="AH75" i="8"/>
  <c r="AH93" i="8"/>
  <c r="AH30" i="8"/>
  <c r="AI438" i="8"/>
  <c r="AH80" i="8"/>
  <c r="AH18" i="8"/>
  <c r="AH445" i="8"/>
  <c r="AH54" i="8"/>
  <c r="Z438" i="8"/>
  <c r="AG456" i="8" s="1"/>
  <c r="AI111" i="8"/>
  <c r="AH56" i="8"/>
  <c r="AI37" i="8"/>
  <c r="AI78" i="8"/>
  <c r="AH98" i="8"/>
  <c r="AI95" i="8"/>
  <c r="AH100" i="8"/>
  <c r="AI73" i="8"/>
  <c r="AH73" i="8"/>
  <c r="AH29" i="8"/>
  <c r="AH52" i="8"/>
  <c r="Z443" i="8"/>
  <c r="AG459" i="8"/>
  <c r="AH108" i="8"/>
  <c r="AH51" i="8"/>
  <c r="N15" i="13" l="1"/>
  <c r="F18" i="14"/>
  <c r="F17" i="14"/>
  <c r="AG469" i="8"/>
  <c r="AG470" i="8" s="1"/>
  <c r="E34" i="65"/>
  <c r="F15" i="14"/>
  <c r="AG477" i="8"/>
  <c r="AG479" i="8"/>
  <c r="AG466" i="8"/>
  <c r="AG480" i="8"/>
  <c r="E34" i="50"/>
  <c r="E34" i="98"/>
  <c r="F14" i="14"/>
  <c r="E34" i="44"/>
  <c r="L35" i="14"/>
  <c r="X296" i="14" s="1" a="1"/>
  <c r="X296" i="14" s="1"/>
  <c r="F12" i="14"/>
  <c r="E34" i="99"/>
  <c r="F13" i="14"/>
  <c r="F11" i="14"/>
  <c r="E34" i="43"/>
  <c r="F10" i="14"/>
  <c r="H35" i="14"/>
  <c r="T139" i="14" s="1" a="1"/>
  <c r="T139" i="14" s="1"/>
  <c r="E34" i="51"/>
  <c r="E34" i="97"/>
  <c r="E34" i="100"/>
  <c r="E34" i="82"/>
  <c r="E34" i="84"/>
  <c r="E34" i="81"/>
  <c r="E34" i="83"/>
  <c r="E34" i="48"/>
  <c r="E34" i="67"/>
  <c r="E34" i="52"/>
  <c r="E34" i="68"/>
  <c r="E34" i="66"/>
  <c r="E34" i="49"/>
  <c r="E34" i="47"/>
  <c r="E23" i="13"/>
  <c r="S33" i="13"/>
  <c r="E33" i="13" s="1"/>
  <c r="S32" i="13"/>
  <c r="E24" i="13"/>
  <c r="I32" i="13"/>
  <c r="E26" i="13"/>
  <c r="N32" i="13"/>
  <c r="E28" i="13"/>
  <c r="E31" i="13"/>
  <c r="H32" i="13"/>
  <c r="L32" i="13"/>
  <c r="H33" i="13"/>
  <c r="E15" i="13"/>
  <c r="AE575" i="14"/>
  <c r="AE548" i="14" s="1"/>
  <c r="AE579" i="14" s="1"/>
  <c r="AE580" i="14" s="1"/>
  <c r="AG482" i="8"/>
  <c r="AG483" i="8" s="1"/>
  <c r="AG486" i="8"/>
  <c r="AG485" i="8" s="1"/>
  <c r="AG487" i="8" s="1"/>
  <c r="Z445" i="8"/>
  <c r="AG475" i="8" s="1"/>
  <c r="AG462" i="8"/>
  <c r="AG457" i="8"/>
  <c r="AG463" i="8" s="1"/>
  <c r="AG465" i="8" s="1"/>
  <c r="T439" i="14" l="1" a="1"/>
  <c r="T439" i="14" s="1"/>
  <c r="X133" i="14" a="1"/>
  <c r="X133" i="14" s="1"/>
  <c r="T181" i="14" a="1"/>
  <c r="T181" i="14" s="1"/>
  <c r="T441" i="14" a="1"/>
  <c r="T441" i="14" s="1"/>
  <c r="T306" i="14" a="1"/>
  <c r="T306" i="14" s="1"/>
  <c r="T177" i="14" a="1"/>
  <c r="T177" i="14" s="1"/>
  <c r="T253" i="14" a="1"/>
  <c r="T253" i="14" s="1"/>
  <c r="X162" i="14" a="1"/>
  <c r="X162" i="14" s="1"/>
  <c r="T156" i="14" a="1"/>
  <c r="T156" i="14" s="1"/>
  <c r="T415" i="14" a="1"/>
  <c r="T415" i="14" s="1"/>
  <c r="T242" i="14" a="1"/>
  <c r="T242" i="14" s="1"/>
  <c r="T174" i="14" a="1"/>
  <c r="T174" i="14" s="1"/>
  <c r="T190" i="14" a="1"/>
  <c r="T190" i="14" s="1"/>
  <c r="T184" i="14" a="1"/>
  <c r="T184" i="14" s="1"/>
  <c r="T333" i="14" a="1"/>
  <c r="T333" i="14" s="1"/>
  <c r="T354" i="14" a="1"/>
  <c r="T354" i="14" s="1"/>
  <c r="T383" i="14" a="1"/>
  <c r="T383" i="14" s="1"/>
  <c r="T278" i="14" a="1"/>
  <c r="T278" i="14" s="1"/>
  <c r="T384" i="14" a="1"/>
  <c r="T384" i="14" s="1"/>
  <c r="T224" i="14" a="1"/>
  <c r="T224" i="14" s="1"/>
  <c r="T186" i="14" a="1"/>
  <c r="T186" i="14" s="1"/>
  <c r="T365" i="14" a="1"/>
  <c r="T365" i="14" s="1"/>
  <c r="T435" i="14" a="1"/>
  <c r="T435" i="14" s="1"/>
  <c r="T381" i="14" a="1"/>
  <c r="T381" i="14" s="1"/>
  <c r="T343" i="14" a="1"/>
  <c r="T343" i="14" s="1"/>
  <c r="T271" i="14" a="1"/>
  <c r="T271" i="14" s="1"/>
  <c r="T422" i="14" a="1"/>
  <c r="T422" i="14" s="1"/>
  <c r="T291" i="14" a="1"/>
  <c r="T291" i="14" s="1"/>
  <c r="T359" i="14" a="1"/>
  <c r="T359" i="14" s="1"/>
  <c r="T426" i="14" a="1"/>
  <c r="T426" i="14" s="1"/>
  <c r="T403" i="14" a="1"/>
  <c r="T403" i="14" s="1"/>
  <c r="T213" i="14" a="1"/>
  <c r="T213" i="14" s="1"/>
  <c r="T412" i="14" a="1"/>
  <c r="T412" i="14" s="1"/>
  <c r="T313" i="14" a="1"/>
  <c r="T313" i="14" s="1"/>
  <c r="T316" i="14" a="1"/>
  <c r="T316" i="14" s="1"/>
  <c r="T149" i="14" a="1"/>
  <c r="T149" i="14" s="1"/>
  <c r="T231" i="14" a="1"/>
  <c r="T231" i="14" s="1"/>
  <c r="T341" i="14" a="1"/>
  <c r="T341" i="14" s="1"/>
  <c r="T155" i="14" a="1"/>
  <c r="T155" i="14" s="1"/>
  <c r="T134" i="14" a="1"/>
  <c r="T134" i="14" s="1"/>
  <c r="T172" i="14" a="1"/>
  <c r="T172" i="14" s="1"/>
  <c r="T256" i="14" a="1"/>
  <c r="T256" i="14" s="1"/>
  <c r="T289" i="14" a="1"/>
  <c r="T289" i="14" s="1"/>
  <c r="T161" i="14" a="1"/>
  <c r="T161" i="14" s="1"/>
  <c r="T393" i="14" a="1"/>
  <c r="T393" i="14" s="1"/>
  <c r="T405" i="14" a="1"/>
  <c r="T405" i="14" s="1"/>
  <c r="T247" i="14" a="1"/>
  <c r="T247" i="14" s="1"/>
  <c r="T274" i="14" a="1"/>
  <c r="T274" i="14" s="1"/>
  <c r="T295" i="14" a="1"/>
  <c r="T295" i="14" s="1"/>
  <c r="T351" i="14" a="1"/>
  <c r="T351" i="14" s="1"/>
  <c r="T276" i="14" a="1"/>
  <c r="T276" i="14" s="1"/>
  <c r="T241" i="14" a="1"/>
  <c r="T241" i="14" s="1"/>
  <c r="T265" i="14" a="1"/>
  <c r="T265" i="14" s="1"/>
  <c r="T188" i="14" a="1"/>
  <c r="T188" i="14" s="1"/>
  <c r="X166" i="14" a="1"/>
  <c r="X166" i="14" s="1"/>
  <c r="T248" i="14" a="1"/>
  <c r="T248" i="14" s="1"/>
  <c r="T360" i="14" a="1"/>
  <c r="T360" i="14" s="1"/>
  <c r="T141" i="14" a="1"/>
  <c r="T141" i="14" s="1"/>
  <c r="T391" i="14" a="1"/>
  <c r="T391" i="14" s="1"/>
  <c r="T250" i="14" a="1"/>
  <c r="T250" i="14" s="1"/>
  <c r="T159" i="14" a="1"/>
  <c r="T159" i="14" s="1"/>
  <c r="T216" i="14" a="1"/>
  <c r="T216" i="14" s="1"/>
  <c r="T135" i="14" a="1"/>
  <c r="T135" i="14" s="1"/>
  <c r="T402" i="14" a="1"/>
  <c r="T402" i="14" s="1"/>
  <c r="T298" i="14" a="1"/>
  <c r="T298" i="14" s="1"/>
  <c r="T337" i="14" a="1"/>
  <c r="T337" i="14" s="1"/>
  <c r="T230" i="14" a="1"/>
  <c r="T230" i="14" s="1"/>
  <c r="T191" i="14" a="1"/>
  <c r="T191" i="14" s="1"/>
  <c r="T183" i="14" a="1"/>
  <c r="T183" i="14" s="1"/>
  <c r="T176" i="14" a="1"/>
  <c r="T176" i="14" s="1"/>
  <c r="T226" i="14" a="1"/>
  <c r="T226" i="14" s="1"/>
  <c r="T372" i="14" a="1"/>
  <c r="T372" i="14" s="1"/>
  <c r="T148" i="14" a="1"/>
  <c r="T148" i="14" s="1"/>
  <c r="T136" i="14" a="1"/>
  <c r="T136" i="14" s="1"/>
  <c r="T339" i="14" a="1"/>
  <c r="T339" i="14" s="1"/>
  <c r="T436" i="14" a="1"/>
  <c r="T436" i="14" s="1"/>
  <c r="T202" i="14" a="1"/>
  <c r="T202" i="14" s="1"/>
  <c r="X172" i="14" a="1"/>
  <c r="X172" i="14" s="1"/>
  <c r="X370" i="14" a="1"/>
  <c r="X370" i="14" s="1"/>
  <c r="X127" i="14" a="1"/>
  <c r="X127" i="14" s="1"/>
  <c r="X263" i="14" a="1"/>
  <c r="X263" i="14" s="1"/>
  <c r="X428" i="14" a="1"/>
  <c r="X428" i="14" s="1"/>
  <c r="X348" i="14" a="1"/>
  <c r="X348" i="14" s="1"/>
  <c r="X186" i="14" a="1"/>
  <c r="X186" i="14" s="1"/>
  <c r="X416" i="14" a="1"/>
  <c r="X416" i="14" s="1"/>
  <c r="X245" i="14" a="1"/>
  <c r="X245" i="14" s="1"/>
  <c r="X220" i="14" a="1"/>
  <c r="X220" i="14" s="1"/>
  <c r="X385" i="14" a="1"/>
  <c r="X385" i="14" s="1"/>
  <c r="X237" i="14" a="1"/>
  <c r="X237" i="14" s="1"/>
  <c r="X223" i="14" a="1"/>
  <c r="X223" i="14" s="1"/>
  <c r="X409" i="14" a="1"/>
  <c r="X409" i="14" s="1"/>
  <c r="X332" i="14" a="1"/>
  <c r="X332" i="14" s="1"/>
  <c r="T300" i="14" a="1"/>
  <c r="T300" i="14" s="1"/>
  <c r="X423" i="14" a="1"/>
  <c r="X423" i="14" s="1"/>
  <c r="X207" i="14" a="1"/>
  <c r="X207" i="14" s="1"/>
  <c r="X239" i="14" a="1"/>
  <c r="X239" i="14" s="1"/>
  <c r="X250" i="14" a="1"/>
  <c r="X250" i="14" s="1"/>
  <c r="X247" i="14" a="1"/>
  <c r="X247" i="14" s="1"/>
  <c r="X179" i="14" a="1"/>
  <c r="X179" i="14" s="1"/>
  <c r="X267" i="14" a="1"/>
  <c r="X267" i="14" s="1"/>
  <c r="X233" i="14" a="1"/>
  <c r="X233" i="14" s="1"/>
  <c r="X283" i="14" a="1"/>
  <c r="X283" i="14" s="1"/>
  <c r="X136" i="14" a="1"/>
  <c r="X136" i="14" s="1"/>
  <c r="X417" i="14" a="1"/>
  <c r="X417" i="14" s="1"/>
  <c r="X314" i="14" a="1"/>
  <c r="X314" i="14" s="1"/>
  <c r="X139" i="14" a="1"/>
  <c r="X139" i="14" s="1"/>
  <c r="Z139" i="14" s="1"/>
  <c r="X131" i="14" a="1"/>
  <c r="X131" i="14" s="1"/>
  <c r="X144" i="14" a="1"/>
  <c r="X144" i="14" s="1"/>
  <c r="X313" i="14" a="1"/>
  <c r="X313" i="14" s="1"/>
  <c r="X308" i="14" a="1"/>
  <c r="X308" i="14" s="1"/>
  <c r="T296" i="14" a="1"/>
  <c r="T296" i="14" s="1"/>
  <c r="Z296" i="14" s="1"/>
  <c r="X436" i="14" a="1"/>
  <c r="X436" i="14" s="1"/>
  <c r="X397" i="14" a="1"/>
  <c r="X397" i="14" s="1"/>
  <c r="X175" i="14" a="1"/>
  <c r="X175" i="14" s="1"/>
  <c r="X221" i="14" a="1"/>
  <c r="X221" i="14" s="1"/>
  <c r="X238" i="14" a="1"/>
  <c r="X238" i="14" s="1"/>
  <c r="X195" i="14" a="1"/>
  <c r="X195" i="14" s="1"/>
  <c r="T266" i="14" a="1"/>
  <c r="T266" i="14" s="1"/>
  <c r="T163" i="14" a="1"/>
  <c r="T163" i="14" s="1"/>
  <c r="T345" i="14" a="1"/>
  <c r="T345" i="14" s="1"/>
  <c r="T126" i="14" a="1"/>
  <c r="T126" i="14" s="1"/>
  <c r="T178" i="14" a="1"/>
  <c r="T178" i="14" s="1"/>
  <c r="T207" i="14" a="1"/>
  <c r="T207" i="14" s="1"/>
  <c r="T225" i="14" a="1"/>
  <c r="T225" i="14" s="1"/>
  <c r="T347" i="14" a="1"/>
  <c r="T347" i="14" s="1"/>
  <c r="T255" i="14" a="1"/>
  <c r="T255" i="14" s="1"/>
  <c r="T407" i="14" a="1"/>
  <c r="T407" i="14" s="1"/>
  <c r="T269" i="14" a="1"/>
  <c r="T269" i="14" s="1"/>
  <c r="T429" i="14" a="1"/>
  <c r="T429" i="14" s="1"/>
  <c r="T259" i="14" a="1"/>
  <c r="T259" i="14" s="1"/>
  <c r="T283" i="14" a="1"/>
  <c r="T283" i="14" s="1"/>
  <c r="T227" i="14" a="1"/>
  <c r="T227" i="14" s="1"/>
  <c r="T380" i="14" a="1"/>
  <c r="T380" i="14" s="1"/>
  <c r="T314" i="14" a="1"/>
  <c r="T314" i="14" s="1"/>
  <c r="T390" i="14" a="1"/>
  <c r="T390" i="14" s="1"/>
  <c r="T373" i="14" a="1"/>
  <c r="T373" i="14" s="1"/>
  <c r="T238" i="14" a="1"/>
  <c r="T238" i="14" s="1"/>
  <c r="T424" i="14" a="1"/>
  <c r="T424" i="14" s="1"/>
  <c r="T201" i="14" a="1"/>
  <c r="T201" i="14" s="1"/>
  <c r="T382" i="14" a="1"/>
  <c r="T382" i="14" s="1"/>
  <c r="T185" i="14" a="1"/>
  <c r="T185" i="14" s="1"/>
  <c r="T419" i="14" a="1"/>
  <c r="T419" i="14" s="1"/>
  <c r="T414" i="14" a="1"/>
  <c r="T414" i="14" s="1"/>
  <c r="T325" i="14" a="1"/>
  <c r="T325" i="14" s="1"/>
  <c r="T212" i="14" a="1"/>
  <c r="T212" i="14" s="1"/>
  <c r="T311" i="14" a="1"/>
  <c r="T311" i="14" s="1"/>
  <c r="T425" i="14" a="1"/>
  <c r="T425" i="14" s="1"/>
  <c r="T228" i="14" a="1"/>
  <c r="T228" i="14" s="1"/>
  <c r="T143" i="14" a="1"/>
  <c r="T143" i="14" s="1"/>
  <c r="T396" i="14" a="1"/>
  <c r="T396" i="14" s="1"/>
  <c r="T246" i="14" a="1"/>
  <c r="T246" i="14" s="1"/>
  <c r="T329" i="14" a="1"/>
  <c r="T329" i="14" s="1"/>
  <c r="T197" i="14" a="1"/>
  <c r="T197" i="14" s="1"/>
  <c r="T160" i="14" a="1"/>
  <c r="T160" i="14" s="1"/>
  <c r="T321" i="14" a="1"/>
  <c r="T321" i="14" s="1"/>
  <c r="T220" i="14" a="1"/>
  <c r="T220" i="14" s="1"/>
  <c r="X173" i="14" a="1"/>
  <c r="X173" i="14" s="1"/>
  <c r="X300" i="14" a="1"/>
  <c r="X300" i="14" s="1"/>
  <c r="X372" i="14" a="1"/>
  <c r="X372" i="14" s="1"/>
  <c r="X206" i="14" a="1"/>
  <c r="X206" i="14" s="1"/>
  <c r="X137" i="14" a="1"/>
  <c r="X137" i="14" s="1"/>
  <c r="X319" i="14" a="1"/>
  <c r="X319" i="14" s="1"/>
  <c r="X214" i="14" a="1"/>
  <c r="X214" i="14" s="1"/>
  <c r="X163" i="14" a="1"/>
  <c r="X163" i="14" s="1"/>
  <c r="X410" i="14" a="1"/>
  <c r="X410" i="14" s="1"/>
  <c r="X376" i="14" a="1"/>
  <c r="X376" i="14" s="1"/>
  <c r="X368" i="14" a="1"/>
  <c r="X368" i="14" s="1"/>
  <c r="X377" i="14" a="1"/>
  <c r="X377" i="14" s="1"/>
  <c r="X278" i="14" a="1"/>
  <c r="X278" i="14" s="1"/>
  <c r="T206" i="14" a="1"/>
  <c r="T206" i="14" s="1"/>
  <c r="T334" i="14" a="1"/>
  <c r="T334" i="14" s="1"/>
  <c r="T420" i="14" a="1"/>
  <c r="T420" i="14" s="1"/>
  <c r="T244" i="14" a="1"/>
  <c r="T244" i="14" s="1"/>
  <c r="T319" i="14" a="1"/>
  <c r="T319" i="14" s="1"/>
  <c r="T327" i="14" a="1"/>
  <c r="T327" i="14" s="1"/>
  <c r="T364" i="14" a="1"/>
  <c r="T364" i="14" s="1"/>
  <c r="T145" i="14" a="1"/>
  <c r="T145" i="14" s="1"/>
  <c r="T229" i="14" a="1"/>
  <c r="T229" i="14" s="1"/>
  <c r="T294" i="14" a="1"/>
  <c r="T294" i="14" s="1"/>
  <c r="T375" i="14" a="1"/>
  <c r="T375" i="14" s="1"/>
  <c r="T153" i="14" a="1"/>
  <c r="T153" i="14" s="1"/>
  <c r="T254" i="14" a="1"/>
  <c r="T254" i="14" s="1"/>
  <c r="T370" i="14" a="1"/>
  <c r="T370" i="14" s="1"/>
  <c r="T308" i="14" a="1"/>
  <c r="T308" i="14" s="1"/>
  <c r="T193" i="14" a="1"/>
  <c r="T193" i="14" s="1"/>
  <c r="T129" i="14" a="1"/>
  <c r="T129" i="14" s="1"/>
  <c r="T151" i="14" a="1"/>
  <c r="T151" i="14" s="1"/>
  <c r="T430" i="14" a="1"/>
  <c r="T430" i="14" s="1"/>
  <c r="T440" i="14" a="1"/>
  <c r="T440" i="14" s="1"/>
  <c r="T252" i="14" a="1"/>
  <c r="T252" i="14" s="1"/>
  <c r="T368" i="14" a="1"/>
  <c r="T368" i="14" s="1"/>
  <c r="T262" i="14" a="1"/>
  <c r="T262" i="14" s="1"/>
  <c r="T323" i="14" a="1"/>
  <c r="T323" i="14" s="1"/>
  <c r="T431" i="14" a="1"/>
  <c r="T431" i="14" s="1"/>
  <c r="T376" i="14" a="1"/>
  <c r="T376" i="14" s="1"/>
  <c r="T428" i="14" a="1"/>
  <c r="T428" i="14" s="1"/>
  <c r="T409" i="14" a="1"/>
  <c r="T409" i="14" s="1"/>
  <c r="T127" i="14" a="1"/>
  <c r="T127" i="14" s="1"/>
  <c r="T150" i="14" a="1"/>
  <c r="T150" i="14" s="1"/>
  <c r="T286" i="14" a="1"/>
  <c r="T286" i="14" s="1"/>
  <c r="T423" i="14" a="1"/>
  <c r="T423" i="14" s="1"/>
  <c r="T219" i="14" a="1"/>
  <c r="T219" i="14" s="1"/>
  <c r="T211" i="14" a="1"/>
  <c r="T211" i="14" s="1"/>
  <c r="T399" i="14" a="1"/>
  <c r="T399" i="14" s="1"/>
  <c r="T389" i="14" a="1"/>
  <c r="T389" i="14" s="1"/>
  <c r="T144" i="14" a="1"/>
  <c r="T144" i="14" s="1"/>
  <c r="T303" i="14" a="1"/>
  <c r="T303" i="14" s="1"/>
  <c r="T131" i="14" a="1"/>
  <c r="T131" i="14" s="1"/>
  <c r="T338" i="14" a="1"/>
  <c r="T338" i="14" s="1"/>
  <c r="T413" i="14" a="1"/>
  <c r="T413" i="14" s="1"/>
  <c r="T335" i="14" a="1"/>
  <c r="T335" i="14" s="1"/>
  <c r="T173" i="14" a="1"/>
  <c r="T173" i="14" s="1"/>
  <c r="T275" i="14" a="1"/>
  <c r="T275" i="14" s="1"/>
  <c r="T208" i="14" a="1"/>
  <c r="T208" i="14" s="1"/>
  <c r="T267" i="14" a="1"/>
  <c r="T267" i="14" s="1"/>
  <c r="T205" i="14" a="1"/>
  <c r="T205" i="14" s="1"/>
  <c r="T187" i="14" a="1"/>
  <c r="T187" i="14" s="1"/>
  <c r="X208" i="14" a="1"/>
  <c r="X208" i="14" s="1"/>
  <c r="X242" i="14" a="1"/>
  <c r="X242" i="14" s="1"/>
  <c r="X277" i="14" a="1"/>
  <c r="X277" i="14" s="1"/>
  <c r="X140" i="14" a="1"/>
  <c r="X140" i="14" s="1"/>
  <c r="X365" i="14" a="1"/>
  <c r="X365" i="14" s="1"/>
  <c r="X279" i="14" a="1"/>
  <c r="X279" i="14" s="1"/>
  <c r="X320" i="14" a="1"/>
  <c r="X320" i="14" s="1"/>
  <c r="X123" i="14" a="1"/>
  <c r="X123" i="14" s="1"/>
  <c r="X249" i="14" a="1"/>
  <c r="X249" i="14" s="1"/>
  <c r="X353" i="14" a="1"/>
  <c r="X353" i="14" s="1"/>
  <c r="X135" i="14" a="1"/>
  <c r="X135" i="14" s="1"/>
  <c r="X174" i="14" a="1"/>
  <c r="X174" i="14" s="1"/>
  <c r="X189" i="14" a="1"/>
  <c r="X189" i="14" s="1"/>
  <c r="X420" i="14" a="1"/>
  <c r="X420" i="14" s="1"/>
  <c r="T358" i="14" a="1"/>
  <c r="T358" i="14" s="1"/>
  <c r="T432" i="14" a="1"/>
  <c r="T432" i="14" s="1"/>
  <c r="T281" i="14" a="1"/>
  <c r="T281" i="14" s="1"/>
  <c r="T162" i="14" a="1"/>
  <c r="T162" i="14" s="1"/>
  <c r="T332" i="14" a="1"/>
  <c r="T332" i="14" s="1"/>
  <c r="T133" i="14" a="1"/>
  <c r="T133" i="14" s="1"/>
  <c r="Z133" i="14" s="1"/>
  <c r="T194" i="14" a="1"/>
  <c r="T194" i="14" s="1"/>
  <c r="T353" i="14" a="1"/>
  <c r="T353" i="14" s="1"/>
  <c r="T357" i="14" a="1"/>
  <c r="T357" i="14" s="1"/>
  <c r="T366" i="14" a="1"/>
  <c r="T366" i="14" s="1"/>
  <c r="T356" i="14" a="1"/>
  <c r="T356" i="14" s="1"/>
  <c r="T285" i="14" a="1"/>
  <c r="T285" i="14" s="1"/>
  <c r="T392" i="14" a="1"/>
  <c r="T392" i="14" s="1"/>
  <c r="T157" i="14" a="1"/>
  <c r="T157" i="14" s="1"/>
  <c r="T369" i="14" a="1"/>
  <c r="T369" i="14" s="1"/>
  <c r="T261" i="14" a="1"/>
  <c r="T261" i="14" s="1"/>
  <c r="T237" i="14" a="1"/>
  <c r="T237" i="14" s="1"/>
  <c r="T328" i="14" a="1"/>
  <c r="T328" i="14" s="1"/>
  <c r="T138" i="14" a="1"/>
  <c r="T138" i="14" s="1"/>
  <c r="T273" i="14" a="1"/>
  <c r="T273" i="14" s="1"/>
  <c r="T340" i="14" a="1"/>
  <c r="T340" i="14" s="1"/>
  <c r="T245" i="14" a="1"/>
  <c r="T245" i="14" s="1"/>
  <c r="T249" i="14" a="1"/>
  <c r="T249" i="14" s="1"/>
  <c r="T239" i="14" a="1"/>
  <c r="T239" i="14" s="1"/>
  <c r="T122" i="14" a="1"/>
  <c r="T122" i="14" s="1"/>
  <c r="T272" i="14" a="1"/>
  <c r="T272" i="14" s="1"/>
  <c r="T189" i="14" a="1"/>
  <c r="T189" i="14" s="1"/>
  <c r="T221" i="14" a="1"/>
  <c r="T221" i="14" s="1"/>
  <c r="T140" i="14" a="1"/>
  <c r="T140" i="14" s="1"/>
  <c r="T386" i="14" a="1"/>
  <c r="T386" i="14" s="1"/>
  <c r="T236" i="14" a="1"/>
  <c r="T236" i="14" s="1"/>
  <c r="T367" i="14" a="1"/>
  <c r="T367" i="14" s="1"/>
  <c r="T166" i="14" a="1"/>
  <c r="T166" i="14" s="1"/>
  <c r="T258" i="14" a="1"/>
  <c r="T258" i="14" s="1"/>
  <c r="T438" i="14" a="1"/>
  <c r="T438" i="14" s="1"/>
  <c r="T400" i="14" a="1"/>
  <c r="T400" i="14" s="1"/>
  <c r="T288" i="14" a="1"/>
  <c r="T288" i="14" s="1"/>
  <c r="T233" i="14" a="1"/>
  <c r="T233" i="14" s="1"/>
  <c r="T388" i="14" a="1"/>
  <c r="T388" i="14" s="1"/>
  <c r="T223" i="14" a="1"/>
  <c r="T223" i="14" s="1"/>
  <c r="T346" i="14" a="1"/>
  <c r="T346" i="14" s="1"/>
  <c r="T326" i="14" a="1"/>
  <c r="T326" i="14" s="1"/>
  <c r="T282" i="14" a="1"/>
  <c r="T282" i="14" s="1"/>
  <c r="T234" i="14" a="1"/>
  <c r="T234" i="14" s="1"/>
  <c r="T315" i="14" a="1"/>
  <c r="T315" i="14" s="1"/>
  <c r="T124" i="14" a="1"/>
  <c r="T124" i="14" s="1"/>
  <c r="T180" i="14" a="1"/>
  <c r="T180" i="14" s="1"/>
  <c r="T146" i="14" a="1"/>
  <c r="T146" i="14" s="1"/>
  <c r="X431" i="14" a="1"/>
  <c r="X431" i="14" s="1"/>
  <c r="X324" i="14" a="1"/>
  <c r="X324" i="14" s="1"/>
  <c r="X230" i="14" a="1"/>
  <c r="X230" i="14" s="1"/>
  <c r="X178" i="14" a="1"/>
  <c r="X178" i="14" s="1"/>
  <c r="X309" i="14" a="1"/>
  <c r="X309" i="14" s="1"/>
  <c r="X338" i="14" a="1"/>
  <c r="X338" i="14" s="1"/>
  <c r="X342" i="14" a="1"/>
  <c r="X342" i="14" s="1"/>
  <c r="X301" i="14" a="1"/>
  <c r="X301" i="14" s="1"/>
  <c r="X305" i="14" a="1"/>
  <c r="X305" i="14" s="1"/>
  <c r="X430" i="14" a="1"/>
  <c r="X430" i="14" s="1"/>
  <c r="X265" i="14" a="1"/>
  <c r="X265" i="14" s="1"/>
  <c r="X374" i="14" a="1"/>
  <c r="X374" i="14" s="1"/>
  <c r="X337" i="14" a="1"/>
  <c r="X337" i="14" s="1"/>
  <c r="X380" i="14" a="1"/>
  <c r="X380" i="14" s="1"/>
  <c r="X394" i="14" a="1"/>
  <c r="X394" i="14" s="1"/>
  <c r="T344" i="14" a="1"/>
  <c r="T344" i="14" s="1"/>
  <c r="T182" i="14" a="1"/>
  <c r="T182" i="14" s="1"/>
  <c r="T200" i="14" a="1"/>
  <c r="T200" i="14" s="1"/>
  <c r="T210" i="14" a="1"/>
  <c r="T210" i="14" s="1"/>
  <c r="T204" i="14" a="1"/>
  <c r="T204" i="14" s="1"/>
  <c r="T385" i="14" a="1"/>
  <c r="T385" i="14" s="1"/>
  <c r="T301" i="14" a="1"/>
  <c r="T301" i="14" s="1"/>
  <c r="T203" i="14" a="1"/>
  <c r="T203" i="14" s="1"/>
  <c r="T418" i="14" a="1"/>
  <c r="T418" i="14" s="1"/>
  <c r="T263" i="14" a="1"/>
  <c r="T263" i="14" s="1"/>
  <c r="T214" i="14" a="1"/>
  <c r="T214" i="14" s="1"/>
  <c r="T299" i="14" a="1"/>
  <c r="T299" i="14" s="1"/>
  <c r="T169" i="14" a="1"/>
  <c r="T169" i="14" s="1"/>
  <c r="T290" i="14" a="1"/>
  <c r="T290" i="14" s="1"/>
  <c r="T217" i="14" a="1"/>
  <c r="T217" i="14" s="1"/>
  <c r="T362" i="14" a="1"/>
  <c r="T362" i="14" s="1"/>
  <c r="T305" i="14" a="1"/>
  <c r="T305" i="14" s="1"/>
  <c r="T406" i="14" a="1"/>
  <c r="T406" i="14" s="1"/>
  <c r="T318" i="14" a="1"/>
  <c r="T318" i="14" s="1"/>
  <c r="T167" i="14" a="1"/>
  <c r="T167" i="14" s="1"/>
  <c r="T387" i="14" a="1"/>
  <c r="T387" i="14" s="1"/>
  <c r="T270" i="14" a="1"/>
  <c r="T270" i="14" s="1"/>
  <c r="T330" i="14" a="1"/>
  <c r="T330" i="14" s="1"/>
  <c r="T379" i="14" a="1"/>
  <c r="T379" i="14" s="1"/>
  <c r="T408" i="14" a="1"/>
  <c r="T408" i="14" s="1"/>
  <c r="T125" i="14" a="1"/>
  <c r="T125" i="14" s="1"/>
  <c r="T165" i="14" a="1"/>
  <c r="T165" i="14" s="1"/>
  <c r="T320" i="14" a="1"/>
  <c r="T320" i="14" s="1"/>
  <c r="T132" i="14" a="1"/>
  <c r="T132" i="14" s="1"/>
  <c r="T349" i="14" a="1"/>
  <c r="T349" i="14" s="1"/>
  <c r="T158" i="14" a="1"/>
  <c r="T158" i="14" s="1"/>
  <c r="T331" i="14" a="1"/>
  <c r="T331" i="14" s="1"/>
  <c r="T416" i="14" a="1"/>
  <c r="T416" i="14" s="1"/>
  <c r="T361" i="14" a="1"/>
  <c r="T361" i="14" s="1"/>
  <c r="T168" i="14" a="1"/>
  <c r="T168" i="14" s="1"/>
  <c r="T175" i="14" a="1"/>
  <c r="T175" i="14" s="1"/>
  <c r="T123" i="14" a="1"/>
  <c r="T123" i="14" s="1"/>
  <c r="T199" i="14" a="1"/>
  <c r="T199" i="14" s="1"/>
  <c r="T297" i="14" a="1"/>
  <c r="T297" i="14" s="1"/>
  <c r="T179" i="14" a="1"/>
  <c r="T179" i="14" s="1"/>
  <c r="T304" i="14" a="1"/>
  <c r="T304" i="14" s="1"/>
  <c r="T154" i="14" a="1"/>
  <c r="T154" i="14" s="1"/>
  <c r="T171" i="14" a="1"/>
  <c r="T171" i="14" s="1"/>
  <c r="T374" i="14" a="1"/>
  <c r="T374" i="14" s="1"/>
  <c r="T195" i="14" a="1"/>
  <c r="T195" i="14" s="1"/>
  <c r="T437" i="14" a="1"/>
  <c r="T437" i="14" s="1"/>
  <c r="T421" i="14" a="1"/>
  <c r="T421" i="14" s="1"/>
  <c r="T394" i="14" a="1"/>
  <c r="T394" i="14" s="1"/>
  <c r="X352" i="14" a="1"/>
  <c r="X352" i="14" s="1"/>
  <c r="X418" i="14" a="1"/>
  <c r="X418" i="14" s="1"/>
  <c r="X184" i="14" a="1"/>
  <c r="X184" i="14" s="1"/>
  <c r="X362" i="14" a="1"/>
  <c r="X362" i="14" s="1"/>
  <c r="X232" i="14" a="1"/>
  <c r="X232" i="14" s="1"/>
  <c r="X130" i="14" a="1"/>
  <c r="X130" i="14" s="1"/>
  <c r="X231" i="14" a="1"/>
  <c r="X231" i="14" s="1"/>
  <c r="X346" i="14" a="1"/>
  <c r="X346" i="14" s="1"/>
  <c r="X225" i="14" a="1"/>
  <c r="X225" i="14" s="1"/>
  <c r="X371" i="14" a="1"/>
  <c r="X371" i="14" s="1"/>
  <c r="X157" i="14" a="1"/>
  <c r="X157" i="14" s="1"/>
  <c r="X270" i="14" a="1"/>
  <c r="X270" i="14" s="1"/>
  <c r="X369" i="14" a="1"/>
  <c r="X369" i="14" s="1"/>
  <c r="X299" i="14" a="1"/>
  <c r="X299" i="14" s="1"/>
  <c r="T192" i="14" a="1"/>
  <c r="T192" i="14" s="1"/>
  <c r="T427" i="14" a="1"/>
  <c r="T427" i="14" s="1"/>
  <c r="T257" i="14" a="1"/>
  <c r="T257" i="14" s="1"/>
  <c r="T196" i="14" a="1"/>
  <c r="T196" i="14" s="1"/>
  <c r="T218" i="14" a="1"/>
  <c r="T218" i="14" s="1"/>
  <c r="T307" i="14" a="1"/>
  <c r="T307" i="14" s="1"/>
  <c r="T417" i="14" a="1"/>
  <c r="T417" i="14" s="1"/>
  <c r="T322" i="14" a="1"/>
  <c r="T322" i="14" s="1"/>
  <c r="T378" i="14" a="1"/>
  <c r="T378" i="14" s="1"/>
  <c r="T309" i="14" a="1"/>
  <c r="T309" i="14" s="1"/>
  <c r="T170" i="14" a="1"/>
  <c r="T170" i="14" s="1"/>
  <c r="T264" i="14" a="1"/>
  <c r="T264" i="14" s="1"/>
  <c r="T397" i="14" a="1"/>
  <c r="T397" i="14" s="1"/>
  <c r="T317" i="14" a="1"/>
  <c r="T317" i="14" s="1"/>
  <c r="T260" i="14" a="1"/>
  <c r="T260" i="14" s="1"/>
  <c r="T348" i="14" a="1"/>
  <c r="T348" i="14" s="1"/>
  <c r="T377" i="14" a="1"/>
  <c r="T377" i="14" s="1"/>
  <c r="T336" i="14" a="1"/>
  <c r="T336" i="14" s="1"/>
  <c r="T284" i="14" a="1"/>
  <c r="T284" i="14" s="1"/>
  <c r="T268" i="14" a="1"/>
  <c r="T268" i="14" s="1"/>
  <c r="T310" i="14" a="1"/>
  <c r="T310" i="14" s="1"/>
  <c r="T147" i="14" a="1"/>
  <c r="T147" i="14" s="1"/>
  <c r="T243" i="14" a="1"/>
  <c r="T243" i="14" s="1"/>
  <c r="T404" i="14" a="1"/>
  <c r="T404" i="14" s="1"/>
  <c r="T302" i="14" a="1"/>
  <c r="T302" i="14" s="1"/>
  <c r="T312" i="14" a="1"/>
  <c r="T312" i="14" s="1"/>
  <c r="T410" i="14" a="1"/>
  <c r="T410" i="14" s="1"/>
  <c r="T142" i="14" a="1"/>
  <c r="T142" i="14" s="1"/>
  <c r="T235" i="14" a="1"/>
  <c r="T235" i="14" s="1"/>
  <c r="T433" i="14" a="1"/>
  <c r="T433" i="14" s="1"/>
  <c r="T232" i="14" a="1"/>
  <c r="T232" i="14" s="1"/>
  <c r="T350" i="14" a="1"/>
  <c r="T350" i="14" s="1"/>
  <c r="T395" i="14" a="1"/>
  <c r="T395" i="14" s="1"/>
  <c r="T355" i="14" a="1"/>
  <c r="T355" i="14" s="1"/>
  <c r="T277" i="14" a="1"/>
  <c r="T277" i="14" s="1"/>
  <c r="T442" i="14" a="1"/>
  <c r="T442" i="14" s="1"/>
  <c r="T137" i="14" a="1"/>
  <c r="T137" i="14" s="1"/>
  <c r="T279" i="14" a="1"/>
  <c r="T279" i="14" s="1"/>
  <c r="T434" i="14" a="1"/>
  <c r="T434" i="14" s="1"/>
  <c r="T222" i="14" a="1"/>
  <c r="T222" i="14" s="1"/>
  <c r="T215" i="14" a="1"/>
  <c r="T215" i="14" s="1"/>
  <c r="T198" i="14" a="1"/>
  <c r="T198" i="14" s="1"/>
  <c r="T130" i="14" a="1"/>
  <c r="T130" i="14" s="1"/>
  <c r="T398" i="14" a="1"/>
  <c r="T398" i="14" s="1"/>
  <c r="T371" i="14" a="1"/>
  <c r="T371" i="14" s="1"/>
  <c r="T352" i="14" a="1"/>
  <c r="T352" i="14" s="1"/>
  <c r="T251" i="14" a="1"/>
  <c r="T251" i="14" s="1"/>
  <c r="X254" i="14" a="1"/>
  <c r="X254" i="14" s="1"/>
  <c r="X156" i="14" a="1"/>
  <c r="X156" i="14" s="1"/>
  <c r="X160" i="14" a="1"/>
  <c r="X160" i="14" s="1"/>
  <c r="X419" i="14" a="1"/>
  <c r="X419" i="14" s="1"/>
  <c r="X381" i="14" a="1"/>
  <c r="X381" i="14" s="1"/>
  <c r="X286" i="14" a="1"/>
  <c r="X286" i="14" s="1"/>
  <c r="X190" i="14" a="1"/>
  <c r="X190" i="14" s="1"/>
  <c r="X411" i="14" a="1"/>
  <c r="X411" i="14" s="1"/>
  <c r="X356" i="14" a="1"/>
  <c r="X356" i="14" s="1"/>
  <c r="X284" i="14" a="1"/>
  <c r="X284" i="14" s="1"/>
  <c r="X228" i="14" a="1"/>
  <c r="X228" i="14" s="1"/>
  <c r="X262" i="14" a="1"/>
  <c r="X262" i="14" s="1"/>
  <c r="X400" i="14" a="1"/>
  <c r="X400" i="14" s="1"/>
  <c r="F35" i="14"/>
  <c r="X391" i="14" a="1"/>
  <c r="X391" i="14" s="1"/>
  <c r="X227" i="14" a="1"/>
  <c r="X227" i="14" s="1"/>
  <c r="X358" i="14" a="1"/>
  <c r="X358" i="14" s="1"/>
  <c r="X288" i="14" a="1"/>
  <c r="X288" i="14" s="1"/>
  <c r="X126" i="14" a="1"/>
  <c r="X126" i="14" s="1"/>
  <c r="X361" i="14" a="1"/>
  <c r="X361" i="14" s="1"/>
  <c r="X201" i="14" a="1"/>
  <c r="X201" i="14" s="1"/>
  <c r="X298" i="14" a="1"/>
  <c r="X298" i="14" s="1"/>
  <c r="Y298" i="14" s="1"/>
  <c r="X243" i="14" a="1"/>
  <c r="X243" i="14" s="1"/>
  <c r="X415" i="14" a="1"/>
  <c r="X415" i="14" s="1"/>
  <c r="X138" i="14" a="1"/>
  <c r="X138" i="14" s="1"/>
  <c r="X241" i="14" a="1"/>
  <c r="X241" i="14" s="1"/>
  <c r="X393" i="14" a="1"/>
  <c r="X393" i="14" s="1"/>
  <c r="X405" i="14" a="1"/>
  <c r="X405" i="14" s="1"/>
  <c r="X311" i="14" a="1"/>
  <c r="X311" i="14" s="1"/>
  <c r="X329" i="14" a="1"/>
  <c r="X329" i="14" s="1"/>
  <c r="X159" i="14" a="1"/>
  <c r="X159" i="14" s="1"/>
  <c r="X333" i="14" a="1"/>
  <c r="X333" i="14" s="1"/>
  <c r="X177" i="14" a="1"/>
  <c r="X177" i="14" s="1"/>
  <c r="X294" i="14" a="1"/>
  <c r="X294" i="14" s="1"/>
  <c r="X275" i="14" a="1"/>
  <c r="X275" i="14" s="1"/>
  <c r="X170" i="14" a="1"/>
  <c r="X170" i="14" s="1"/>
  <c r="X328" i="14" a="1"/>
  <c r="X328" i="14" s="1"/>
  <c r="X439" i="14" a="1"/>
  <c r="X439" i="14" s="1"/>
  <c r="Z439" i="14" s="1"/>
  <c r="X295" i="14" a="1"/>
  <c r="X295" i="14" s="1"/>
  <c r="X414" i="14" a="1"/>
  <c r="X414" i="14" s="1"/>
  <c r="X167" i="14" a="1"/>
  <c r="X167" i="14" s="1"/>
  <c r="X153" i="14" a="1"/>
  <c r="X153" i="14" s="1"/>
  <c r="X363" i="14" a="1"/>
  <c r="X363" i="14" s="1"/>
  <c r="X402" i="14" a="1"/>
  <c r="X402" i="14" s="1"/>
  <c r="X171" i="14" a="1"/>
  <c r="X171" i="14" s="1"/>
  <c r="X215" i="14" a="1"/>
  <c r="X215" i="14" s="1"/>
  <c r="X434" i="14" a="1"/>
  <c r="X434" i="14" s="1"/>
  <c r="X165" i="14" a="1"/>
  <c r="X165" i="14" s="1"/>
  <c r="X158" i="14" a="1"/>
  <c r="X158" i="14" s="1"/>
  <c r="X148" i="14" a="1"/>
  <c r="X148" i="14" s="1"/>
  <c r="X406" i="14" a="1"/>
  <c r="X406" i="14" s="1"/>
  <c r="X210" i="14" a="1"/>
  <c r="X210" i="14" s="1"/>
  <c r="X143" i="14" a="1"/>
  <c r="X143" i="14" s="1"/>
  <c r="X276" i="14" a="1"/>
  <c r="X276" i="14" s="1"/>
  <c r="X285" i="14" a="1"/>
  <c r="X285" i="14" s="1"/>
  <c r="X318" i="14" a="1"/>
  <c r="X318" i="14" s="1"/>
  <c r="X351" i="14" a="1"/>
  <c r="X351" i="14" s="1"/>
  <c r="X412" i="14" a="1"/>
  <c r="X412" i="14" s="1"/>
  <c r="X340" i="14" a="1"/>
  <c r="X340" i="14" s="1"/>
  <c r="X388" i="14" a="1"/>
  <c r="X388" i="14" s="1"/>
  <c r="X185" i="14" a="1"/>
  <c r="X185" i="14" s="1"/>
  <c r="X273" i="14" a="1"/>
  <c r="X273" i="14" s="1"/>
  <c r="X317" i="14" a="1"/>
  <c r="X317" i="14" s="1"/>
  <c r="X303" i="14" a="1"/>
  <c r="X303" i="14" s="1"/>
  <c r="X339" i="14" a="1"/>
  <c r="X339" i="14" s="1"/>
  <c r="X387" i="14" a="1"/>
  <c r="X387" i="14" s="1"/>
  <c r="X426" i="14" a="1"/>
  <c r="X426" i="14" s="1"/>
  <c r="Z426" i="14" s="1"/>
  <c r="X229" i="14" a="1"/>
  <c r="X229" i="14" s="1"/>
  <c r="X141" i="14" a="1"/>
  <c r="X141" i="14" s="1"/>
  <c r="X155" i="14" a="1"/>
  <c r="X155" i="14" s="1"/>
  <c r="X181" i="14" a="1"/>
  <c r="X181" i="14" s="1"/>
  <c r="X297" i="14" a="1"/>
  <c r="X297" i="14" s="1"/>
  <c r="X269" i="14" a="1"/>
  <c r="X269" i="14" s="1"/>
  <c r="X149" i="14" a="1"/>
  <c r="X149" i="14" s="1"/>
  <c r="X289" i="14" a="1"/>
  <c r="X289" i="14" s="1"/>
  <c r="X203" i="14" a="1"/>
  <c r="X203" i="14" s="1"/>
  <c r="X441" i="14" a="1"/>
  <c r="X441" i="14" s="1"/>
  <c r="X134" i="14" a="1"/>
  <c r="X134" i="14" s="1"/>
  <c r="X251" i="14" a="1"/>
  <c r="X251" i="14" s="1"/>
  <c r="X244" i="14" a="1"/>
  <c r="X244" i="14" s="1"/>
  <c r="X291" i="14" a="1"/>
  <c r="X291" i="14" s="1"/>
  <c r="Y291" i="14" s="1"/>
  <c r="X327" i="14" a="1"/>
  <c r="X327" i="14" s="1"/>
  <c r="X281" i="14" a="1"/>
  <c r="X281" i="14" s="1"/>
  <c r="X382" i="14" a="1"/>
  <c r="X382" i="14" s="1"/>
  <c r="X384" i="14" a="1"/>
  <c r="X384" i="14" s="1"/>
  <c r="X146" i="14" a="1"/>
  <c r="X146" i="14" s="1"/>
  <c r="X199" i="14" a="1"/>
  <c r="X199" i="14" s="1"/>
  <c r="X188" i="14" a="1"/>
  <c r="X188" i="14" s="1"/>
  <c r="X176" i="14" a="1"/>
  <c r="X176" i="14" s="1"/>
  <c r="X367" i="14" a="1"/>
  <c r="X367" i="14" s="1"/>
  <c r="X395" i="14" a="1"/>
  <c r="X395" i="14" s="1"/>
  <c r="X151" i="14" a="1"/>
  <c r="X151" i="14" s="1"/>
  <c r="X218" i="14" a="1"/>
  <c r="X218" i="14" s="1"/>
  <c r="X152" i="14" a="1"/>
  <c r="X152" i="14" s="1"/>
  <c r="X432" i="14" a="1"/>
  <c r="X432" i="14" s="1"/>
  <c r="X248" i="14" a="1"/>
  <c r="X248" i="14" s="1"/>
  <c r="X334" i="14" a="1"/>
  <c r="X334" i="14" s="1"/>
  <c r="X236" i="14" a="1"/>
  <c r="X236" i="14" s="1"/>
  <c r="X193" i="14" a="1"/>
  <c r="X193" i="14" s="1"/>
  <c r="X350" i="14" a="1"/>
  <c r="X350" i="14" s="1"/>
  <c r="X373" i="14" a="1"/>
  <c r="X373" i="14" s="1"/>
  <c r="X396" i="14" a="1"/>
  <c r="X396" i="14" s="1"/>
  <c r="X266" i="14" a="1"/>
  <c r="X266" i="14" s="1"/>
  <c r="X307" i="14" a="1"/>
  <c r="X307" i="14" s="1"/>
  <c r="X261" i="14" a="1"/>
  <c r="X261" i="14" s="1"/>
  <c r="X183" i="14" a="1"/>
  <c r="X183" i="14" s="1"/>
  <c r="Y183" i="14" s="1"/>
  <c r="X322" i="14" a="1"/>
  <c r="X322" i="14" s="1"/>
  <c r="X211" i="14" a="1"/>
  <c r="X211" i="14" s="1"/>
  <c r="X310" i="14" a="1"/>
  <c r="X310" i="14" s="1"/>
  <c r="X429" i="14" a="1"/>
  <c r="X429" i="14" s="1"/>
  <c r="X213" i="14" a="1"/>
  <c r="X213" i="14" s="1"/>
  <c r="X375" i="14" a="1"/>
  <c r="X375" i="14" s="1"/>
  <c r="X256" i="14" a="1"/>
  <c r="X256" i="14" s="1"/>
  <c r="X145" i="14" a="1"/>
  <c r="X145" i="14" s="1"/>
  <c r="X142" i="14" a="1"/>
  <c r="X142" i="14" s="1"/>
  <c r="X390" i="14" a="1"/>
  <c r="X390" i="14" s="1"/>
  <c r="X407" i="14" a="1"/>
  <c r="X407" i="14" s="1"/>
  <c r="X205" i="14" a="1"/>
  <c r="X205" i="14" s="1"/>
  <c r="X274" i="14" a="1"/>
  <c r="X274" i="14" s="1"/>
  <c r="X287" i="14" a="1"/>
  <c r="X287" i="14" s="1"/>
  <c r="X264" i="14" a="1"/>
  <c r="X264" i="14" s="1"/>
  <c r="X345" i="14" a="1"/>
  <c r="X345" i="14" s="1"/>
  <c r="X403" i="14" a="1"/>
  <c r="X403" i="14" s="1"/>
  <c r="X196" i="14" a="1"/>
  <c r="X196" i="14" s="1"/>
  <c r="X335" i="14" a="1"/>
  <c r="X335" i="14" s="1"/>
  <c r="X257" i="14" a="1"/>
  <c r="X257" i="14" s="1"/>
  <c r="X252" i="14" a="1"/>
  <c r="X252" i="14" s="1"/>
  <c r="X399" i="14" a="1"/>
  <c r="X399" i="14" s="1"/>
  <c r="X194" i="14" a="1"/>
  <c r="X194" i="14" s="1"/>
  <c r="X442" i="14" a="1"/>
  <c r="X442" i="14" s="1"/>
  <c r="T411" i="14" a="1"/>
  <c r="T411" i="14" s="1"/>
  <c r="T324" i="14" a="1"/>
  <c r="T324" i="14" s="1"/>
  <c r="T342" i="14" a="1"/>
  <c r="T342" i="14" s="1"/>
  <c r="T164" i="14" a="1"/>
  <c r="T164" i="14" s="1"/>
  <c r="T293" i="14" a="1"/>
  <c r="T293" i="14" s="1"/>
  <c r="X260" i="14" a="1"/>
  <c r="X260" i="14" s="1"/>
  <c r="X357" i="14" a="1"/>
  <c r="X357" i="14" s="1"/>
  <c r="X212" i="14" a="1"/>
  <c r="X212" i="14" s="1"/>
  <c r="X290" i="14" a="1"/>
  <c r="X290" i="14" s="1"/>
  <c r="X360" i="14" a="1"/>
  <c r="X360" i="14" s="1"/>
  <c r="X192" i="14" a="1"/>
  <c r="X192" i="14" s="1"/>
  <c r="X413" i="14" a="1"/>
  <c r="X413" i="14" s="1"/>
  <c r="X204" i="14" a="1"/>
  <c r="X204" i="14" s="1"/>
  <c r="X219" i="14" a="1"/>
  <c r="X219" i="14" s="1"/>
  <c r="X355" i="14" a="1"/>
  <c r="X355" i="14" s="1"/>
  <c r="X435" i="14" a="1"/>
  <c r="X435" i="14" s="1"/>
  <c r="X341" i="14" a="1"/>
  <c r="X341" i="14" s="1"/>
  <c r="X404" i="14" a="1"/>
  <c r="X404" i="14" s="1"/>
  <c r="X129" i="14" a="1"/>
  <c r="X129" i="14" s="1"/>
  <c r="X124" i="14" a="1"/>
  <c r="X124" i="14" s="1"/>
  <c r="X379" i="14" a="1"/>
  <c r="X379" i="14" s="1"/>
  <c r="X364" i="14" a="1"/>
  <c r="X364" i="14" s="1"/>
  <c r="X187" i="14" a="1"/>
  <c r="X187" i="14" s="1"/>
  <c r="X282" i="14" a="1"/>
  <c r="X282" i="14" s="1"/>
  <c r="X293" i="14" a="1"/>
  <c r="X293" i="14" s="1"/>
  <c r="X330" i="14" a="1"/>
  <c r="X330" i="14" s="1"/>
  <c r="X132" i="14" a="1"/>
  <c r="X132" i="14" s="1"/>
  <c r="X321" i="14" a="1"/>
  <c r="X321" i="14" s="1"/>
  <c r="X323" i="14" a="1"/>
  <c r="X323" i="14" s="1"/>
  <c r="X253" i="14" a="1"/>
  <c r="X253" i="14" s="1"/>
  <c r="X168" i="14" a="1"/>
  <c r="X168" i="14" s="1"/>
  <c r="X438" i="14" a="1"/>
  <c r="X438" i="14" s="1"/>
  <c r="X161" i="14" a="1"/>
  <c r="X161" i="14" s="1"/>
  <c r="X302" i="14" a="1"/>
  <c r="X302" i="14" s="1"/>
  <c r="X433" i="14" a="1"/>
  <c r="X433" i="14" s="1"/>
  <c r="X440" i="14" a="1"/>
  <c r="X440" i="14" s="1"/>
  <c r="X280" i="14" a="1"/>
  <c r="X280" i="14" s="1"/>
  <c r="X422" i="14" a="1"/>
  <c r="X422" i="14" s="1"/>
  <c r="Y422" i="14" s="1"/>
  <c r="X354" i="14" a="1"/>
  <c r="X354" i="14" s="1"/>
  <c r="X150" i="14" a="1"/>
  <c r="X150" i="14" s="1"/>
  <c r="X191" i="14" a="1"/>
  <c r="X191" i="14" s="1"/>
  <c r="X343" i="14" a="1"/>
  <c r="X343" i="14" s="1"/>
  <c r="X398" i="14" a="1"/>
  <c r="X398" i="14" s="1"/>
  <c r="X325" i="14" a="1"/>
  <c r="X325" i="14" s="1"/>
  <c r="X147" i="14" a="1"/>
  <c r="X147" i="14" s="1"/>
  <c r="Z147" i="14" s="1"/>
  <c r="X326" i="14" a="1"/>
  <c r="X326" i="14" s="1"/>
  <c r="X386" i="14" a="1"/>
  <c r="X386" i="14" s="1"/>
  <c r="X154" i="14" a="1"/>
  <c r="X154" i="14" s="1"/>
  <c r="X240" i="14" a="1"/>
  <c r="X240" i="14" s="1"/>
  <c r="X316" i="14" a="1"/>
  <c r="X316" i="14" s="1"/>
  <c r="X383" i="14" a="1"/>
  <c r="X383" i="14" s="1"/>
  <c r="X255" i="14" a="1"/>
  <c r="X255" i="14" s="1"/>
  <c r="X378" i="14" a="1"/>
  <c r="X378" i="14" s="1"/>
  <c r="X268" i="14" a="1"/>
  <c r="X268" i="14" s="1"/>
  <c r="X427" i="14" a="1"/>
  <c r="X427" i="14" s="1"/>
  <c r="X389" i="14" a="1"/>
  <c r="X389" i="14" s="1"/>
  <c r="X235" i="14" a="1"/>
  <c r="X235" i="14" s="1"/>
  <c r="X366" i="14" a="1"/>
  <c r="X366" i="14" s="1"/>
  <c r="X272" i="14" a="1"/>
  <c r="X272" i="14" s="1"/>
  <c r="X421" i="14" a="1"/>
  <c r="X421" i="14" s="1"/>
  <c r="X217" i="14" a="1"/>
  <c r="X217" i="14" s="1"/>
  <c r="X408" i="14" a="1"/>
  <c r="X408" i="14" s="1"/>
  <c r="X216" i="14" a="1"/>
  <c r="X216" i="14" s="1"/>
  <c r="X128" i="14" a="1"/>
  <c r="X128" i="14" s="1"/>
  <c r="X200" i="14" a="1"/>
  <c r="X200" i="14" s="1"/>
  <c r="X359" i="14" a="1"/>
  <c r="X359" i="14" s="1"/>
  <c r="X246" i="14" a="1"/>
  <c r="X246" i="14" s="1"/>
  <c r="X202" i="14" a="1"/>
  <c r="X202" i="14" s="1"/>
  <c r="X292" i="14" a="1"/>
  <c r="X292" i="14" s="1"/>
  <c r="X312" i="14" a="1"/>
  <c r="X312" i="14" s="1"/>
  <c r="X258" i="14" a="1"/>
  <c r="X258" i="14" s="1"/>
  <c r="X331" i="14" a="1"/>
  <c r="X331" i="14" s="1"/>
  <c r="X198" i="14" a="1"/>
  <c r="X198" i="14" s="1"/>
  <c r="X271" i="14" a="1"/>
  <c r="X271" i="14" s="1"/>
  <c r="X304" i="14" a="1"/>
  <c r="X304" i="14" s="1"/>
  <c r="X122" i="14" a="1"/>
  <c r="X122" i="14" s="1"/>
  <c r="X315" i="14" a="1"/>
  <c r="X315" i="14" s="1"/>
  <c r="X125" i="14" a="1"/>
  <c r="X125" i="14" s="1"/>
  <c r="X347" i="14" a="1"/>
  <c r="X347" i="14" s="1"/>
  <c r="X424" i="14" a="1"/>
  <c r="X424" i="14" s="1"/>
  <c r="X306" i="14" a="1"/>
  <c r="X306" i="14" s="1"/>
  <c r="X169" i="14" a="1"/>
  <c r="X169" i="14" s="1"/>
  <c r="X224" i="14" a="1"/>
  <c r="X224" i="14" s="1"/>
  <c r="X259" i="14" a="1"/>
  <c r="X259" i="14" s="1"/>
  <c r="X349" i="14" a="1"/>
  <c r="X349" i="14" s="1"/>
  <c r="X401" i="14" a="1"/>
  <c r="X401" i="14" s="1"/>
  <c r="X222" i="14" a="1"/>
  <c r="X222" i="14" s="1"/>
  <c r="X182" i="14" a="1"/>
  <c r="X182" i="14" s="1"/>
  <c r="X180" i="14" a="1"/>
  <c r="X180" i="14" s="1"/>
  <c r="X344" i="14" a="1"/>
  <c r="X344" i="14" s="1"/>
  <c r="X437" i="14" a="1"/>
  <c r="X437" i="14" s="1"/>
  <c r="X209" i="14" a="1"/>
  <c r="X209" i="14" s="1"/>
  <c r="X336" i="14" a="1"/>
  <c r="X336" i="14" s="1"/>
  <c r="X392" i="14" a="1"/>
  <c r="X392" i="14" s="1"/>
  <c r="X197" i="14" a="1"/>
  <c r="X197" i="14" s="1"/>
  <c r="X234" i="14" a="1"/>
  <c r="X234" i="14" s="1"/>
  <c r="X164" i="14" a="1"/>
  <c r="X164" i="14" s="1"/>
  <c r="X226" i="14" a="1"/>
  <c r="X226" i="14" s="1"/>
  <c r="Y226" i="14" s="1"/>
  <c r="X425" i="14" a="1"/>
  <c r="X425" i="14" s="1"/>
  <c r="T128" i="14" a="1"/>
  <c r="T128" i="14" s="1"/>
  <c r="T292" i="14" a="1"/>
  <c r="T292" i="14" s="1"/>
  <c r="T152" i="14" a="1"/>
  <c r="T152" i="14" s="1"/>
  <c r="T287" i="14" a="1"/>
  <c r="T287" i="14" s="1"/>
  <c r="T280" i="14" a="1"/>
  <c r="T280" i="14" s="1"/>
  <c r="T401" i="14" a="1"/>
  <c r="T401" i="14" s="1"/>
  <c r="T209" i="14" a="1"/>
  <c r="T209" i="14" s="1"/>
  <c r="T363" i="14" a="1"/>
  <c r="T363" i="14" s="1"/>
  <c r="T240" i="14" a="1"/>
  <c r="T240" i="14" s="1"/>
  <c r="E32" i="13"/>
  <c r="AG481" i="8"/>
  <c r="AG484" i="8" s="1"/>
  <c r="AG474" i="8"/>
  <c r="AG476" i="8" s="1"/>
  <c r="AG461" i="8"/>
  <c r="AG464" i="8"/>
  <c r="Y175" i="14" l="1"/>
  <c r="Z242" i="14"/>
  <c r="Z365" i="14"/>
  <c r="Y231" i="14"/>
  <c r="Y137" i="14"/>
  <c r="Z341" i="14"/>
  <c r="Z370" i="14"/>
  <c r="Z441" i="14"/>
  <c r="Z394" i="14"/>
  <c r="Y181" i="14"/>
  <c r="Y306" i="14"/>
  <c r="Y393" i="14"/>
  <c r="Y407" i="14"/>
  <c r="W93" i="14"/>
  <c r="Y177" i="14"/>
  <c r="Y190" i="14"/>
  <c r="Y184" i="14"/>
  <c r="Y431" i="14"/>
  <c r="Y271" i="14"/>
  <c r="Z175" i="14"/>
  <c r="Y167" i="14"/>
  <c r="Y138" i="14"/>
  <c r="Z356" i="14"/>
  <c r="S115" i="14"/>
  <c r="Y337" i="14"/>
  <c r="Y139" i="14"/>
  <c r="Z253" i="14"/>
  <c r="Z415" i="14"/>
  <c r="Y162" i="14"/>
  <c r="Z156" i="14"/>
  <c r="Z230" i="14"/>
  <c r="Z384" i="14"/>
  <c r="S14" i="14"/>
  <c r="Z316" i="14"/>
  <c r="Z122" i="14"/>
  <c r="Y134" i="14"/>
  <c r="Y286" i="14"/>
  <c r="Z239" i="14"/>
  <c r="Y155" i="14"/>
  <c r="Y127" i="14"/>
  <c r="Z428" i="14"/>
  <c r="Z220" i="14"/>
  <c r="Z298" i="14"/>
  <c r="Y196" i="14"/>
  <c r="Y402" i="14"/>
  <c r="Z361" i="14"/>
  <c r="S21" i="14"/>
  <c r="Y370" i="14"/>
  <c r="Z346" i="14"/>
  <c r="S80" i="14"/>
  <c r="Z135" i="14"/>
  <c r="S27" i="14"/>
  <c r="S44" i="14"/>
  <c r="Y343" i="14"/>
  <c r="Z360" i="14"/>
  <c r="Z406" i="14"/>
  <c r="S87" i="14"/>
  <c r="Z435" i="14"/>
  <c r="Z345" i="14"/>
  <c r="Y354" i="14"/>
  <c r="Y358" i="14"/>
  <c r="S97" i="14"/>
  <c r="Y364" i="14"/>
  <c r="Y333" i="14"/>
  <c r="Z198" i="14"/>
  <c r="Y274" i="14"/>
  <c r="Y213" i="14"/>
  <c r="Z247" i="14"/>
  <c r="Z186" i="14"/>
  <c r="Y241" i="14"/>
  <c r="Y421" i="14"/>
  <c r="Z393" i="14"/>
  <c r="Y394" i="14"/>
  <c r="Z190" i="14"/>
  <c r="Y247" i="14"/>
  <c r="S45" i="14"/>
  <c r="Z295" i="14"/>
  <c r="S18" i="14"/>
  <c r="Y230" i="14"/>
  <c r="S63" i="14"/>
  <c r="Z136" i="14"/>
  <c r="Y310" i="14"/>
  <c r="Y218" i="14"/>
  <c r="Z171" i="14"/>
  <c r="Z328" i="14"/>
  <c r="Z237" i="14"/>
  <c r="Z184" i="14"/>
  <c r="Y316" i="14"/>
  <c r="S106" i="14"/>
  <c r="Z172" i="14"/>
  <c r="Y209" i="14"/>
  <c r="Z412" i="14"/>
  <c r="Y148" i="14"/>
  <c r="Y147" i="14"/>
  <c r="Z219" i="14"/>
  <c r="Z307" i="14"/>
  <c r="Y178" i="14"/>
  <c r="S76" i="14"/>
  <c r="Z433" i="14"/>
  <c r="Y129" i="14"/>
  <c r="Z141" i="14"/>
  <c r="Y311" i="14"/>
  <c r="Y229" i="14"/>
  <c r="Y210" i="14"/>
  <c r="Y136" i="14"/>
  <c r="Z191" i="14"/>
  <c r="Z281" i="14"/>
  <c r="Y160" i="14"/>
  <c r="S73" i="14"/>
  <c r="S52" i="14"/>
  <c r="J25" i="13" s="1"/>
  <c r="Z252" i="14"/>
  <c r="S54" i="14"/>
  <c r="S58" i="14"/>
  <c r="S32" i="14"/>
  <c r="S62" i="14"/>
  <c r="Y424" i="14"/>
  <c r="Z438" i="14"/>
  <c r="Z282" i="14"/>
  <c r="Z149" i="14"/>
  <c r="Z241" i="14"/>
  <c r="W27" i="14"/>
  <c r="Z313" i="14"/>
  <c r="Z202" i="14"/>
  <c r="Z159" i="14"/>
  <c r="S89" i="14"/>
  <c r="Z236" i="14"/>
  <c r="Z216" i="14"/>
  <c r="Z312" i="14"/>
  <c r="Z369" i="14"/>
  <c r="Y221" i="14"/>
  <c r="Y252" i="14"/>
  <c r="Y336" i="14"/>
  <c r="W74" i="14"/>
  <c r="S67" i="14"/>
  <c r="Z285" i="14"/>
  <c r="Y159" i="14"/>
  <c r="Z391" i="14"/>
  <c r="Y265" i="14"/>
  <c r="S28" i="14"/>
  <c r="Z309" i="14"/>
  <c r="S100" i="14"/>
  <c r="Y202" i="14"/>
  <c r="Z232" i="14"/>
  <c r="Y172" i="14"/>
  <c r="Z162" i="14"/>
  <c r="Z276" i="14"/>
  <c r="Z423" i="14"/>
  <c r="Y250" i="14"/>
  <c r="Z127" i="14"/>
  <c r="Z144" i="14"/>
  <c r="Y365" i="14"/>
  <c r="Y363" i="14"/>
  <c r="S30" i="14"/>
  <c r="J29" i="13" s="1"/>
  <c r="Y436" i="14"/>
  <c r="Z331" i="14"/>
  <c r="Y438" i="14"/>
  <c r="Y176" i="14"/>
  <c r="Z188" i="14"/>
  <c r="Z359" i="14"/>
  <c r="Z203" i="14"/>
  <c r="Z405" i="14"/>
  <c r="Y419" i="14"/>
  <c r="Z215" i="14"/>
  <c r="Z378" i="14"/>
  <c r="Z421" i="14"/>
  <c r="Z297" i="14"/>
  <c r="Z217" i="14"/>
  <c r="Y347" i="14"/>
  <c r="Z204" i="14"/>
  <c r="Y400" i="14"/>
  <c r="Y186" i="14"/>
  <c r="Z354" i="14"/>
  <c r="Y319" i="14"/>
  <c r="Y287" i="14"/>
  <c r="W43" i="14"/>
  <c r="Y348" i="14"/>
  <c r="Z315" i="14"/>
  <c r="Y399" i="14"/>
  <c r="Y375" i="14"/>
  <c r="Z228" i="14"/>
  <c r="Z183" i="14"/>
  <c r="Y195" i="14"/>
  <c r="Y242" i="14"/>
  <c r="Y307" i="14"/>
  <c r="Z424" i="14"/>
  <c r="Z231" i="14"/>
  <c r="Z221" i="14"/>
  <c r="W84" i="14"/>
  <c r="AH572" i="14" s="1"/>
  <c r="Y232" i="14"/>
  <c r="Y313" i="14"/>
  <c r="Z173" i="14"/>
  <c r="Z195" i="14"/>
  <c r="Z374" i="14"/>
  <c r="S46" i="14"/>
  <c r="Y216" i="14"/>
  <c r="S41" i="14"/>
  <c r="Z177" i="14"/>
  <c r="Y374" i="14"/>
  <c r="Y295" i="14"/>
  <c r="Z333" i="14"/>
  <c r="Y144" i="14"/>
  <c r="Y133" i="14"/>
  <c r="Z358" i="14"/>
  <c r="Y415" i="14"/>
  <c r="Y273" i="14"/>
  <c r="Y378" i="14"/>
  <c r="Z213" i="14"/>
  <c r="Y192" i="14"/>
  <c r="Y335" i="14"/>
  <c r="Z201" i="14"/>
  <c r="Y235" i="14"/>
  <c r="S25" i="14"/>
  <c r="S75" i="14"/>
  <c r="Y214" i="14"/>
  <c r="S36" i="14"/>
  <c r="Y430" i="14"/>
  <c r="S60" i="14"/>
  <c r="S91" i="14"/>
  <c r="J22" i="13" s="1"/>
  <c r="Y432" i="14"/>
  <c r="Y123" i="14"/>
  <c r="Z187" i="14"/>
  <c r="Y338" i="14"/>
  <c r="Y323" i="14"/>
  <c r="Z197" i="14"/>
  <c r="Y238" i="14"/>
  <c r="S112" i="14"/>
  <c r="Y126" i="14"/>
  <c r="Y217" i="14"/>
  <c r="Y156" i="14"/>
  <c r="Z332" i="14"/>
  <c r="Y356" i="14"/>
  <c r="Z336" i="14"/>
  <c r="Z375" i="14"/>
  <c r="Y332" i="14"/>
  <c r="Y169" i="14"/>
  <c r="Y302" i="14"/>
  <c r="Z330" i="14"/>
  <c r="Z151" i="14"/>
  <c r="Z400" i="14"/>
  <c r="Z442" i="14"/>
  <c r="Y142" i="14"/>
  <c r="S34" i="14"/>
  <c r="W108" i="14"/>
  <c r="Y406" i="14"/>
  <c r="Y346" i="14"/>
  <c r="Y122" i="14"/>
  <c r="Z357" i="14"/>
  <c r="Z320" i="14"/>
  <c r="Y205" i="14"/>
  <c r="Z131" i="14"/>
  <c r="Z286" i="14"/>
  <c r="Z364" i="14"/>
  <c r="Y377" i="14"/>
  <c r="Y206" i="14"/>
  <c r="S79" i="14"/>
  <c r="Y325" i="14"/>
  <c r="Y373" i="14"/>
  <c r="Y385" i="14"/>
  <c r="S94" i="14"/>
  <c r="Y391" i="14"/>
  <c r="Y253" i="14"/>
  <c r="Y204" i="14"/>
  <c r="Y228" i="14"/>
  <c r="Y315" i="14"/>
  <c r="W29" i="14"/>
  <c r="W23" i="14"/>
  <c r="Y293" i="14"/>
  <c r="W61" i="14"/>
  <c r="Y130" i="14"/>
  <c r="Y257" i="14"/>
  <c r="Y225" i="14"/>
  <c r="Z408" i="14"/>
  <c r="Z418" i="14"/>
  <c r="Z146" i="14"/>
  <c r="Y420" i="14"/>
  <c r="S70" i="14"/>
  <c r="S19" i="14"/>
  <c r="Z414" i="14"/>
  <c r="Z163" i="14"/>
  <c r="Z140" i="14"/>
  <c r="Y280" i="14"/>
  <c r="Z294" i="14"/>
  <c r="Y355" i="14"/>
  <c r="S81" i="14"/>
  <c r="Y427" i="14"/>
  <c r="Y179" i="14"/>
  <c r="S95" i="14"/>
  <c r="Z362" i="14"/>
  <c r="Y236" i="14"/>
  <c r="Z189" i="14"/>
  <c r="Z376" i="14"/>
  <c r="Z300" i="14"/>
  <c r="Z255" i="14"/>
  <c r="Y283" i="14"/>
  <c r="S93" i="14"/>
  <c r="Y371" i="14"/>
  <c r="Z397" i="14"/>
  <c r="Y397" i="14"/>
  <c r="Y212" i="14"/>
  <c r="Z212" i="14"/>
  <c r="S40" i="14"/>
  <c r="Z323" i="14"/>
  <c r="S15" i="14"/>
  <c r="Y366" i="14"/>
  <c r="Z166" i="14"/>
  <c r="Y166" i="14"/>
  <c r="Z200" i="14"/>
  <c r="Y289" i="14"/>
  <c r="Z289" i="14"/>
  <c r="Y305" i="14"/>
  <c r="Z305" i="14"/>
  <c r="Y267" i="14"/>
  <c r="Z267" i="14"/>
  <c r="S92" i="14"/>
  <c r="Y368" i="14"/>
  <c r="Z368" i="14"/>
  <c r="Y372" i="14"/>
  <c r="Z372" i="14"/>
  <c r="Z390" i="14"/>
  <c r="S71" i="14"/>
  <c r="S37" i="14"/>
  <c r="Y388" i="14"/>
  <c r="S101" i="14"/>
  <c r="Z419" i="14"/>
  <c r="Y296" i="14"/>
  <c r="Y390" i="14"/>
  <c r="Y414" i="14"/>
  <c r="Z342" i="14"/>
  <c r="S83" i="14"/>
  <c r="J31" i="13" s="1"/>
  <c r="Y342" i="14"/>
  <c r="Z310" i="14"/>
  <c r="Y171" i="14"/>
  <c r="S78" i="14"/>
  <c r="Y326" i="14"/>
  <c r="Z193" i="14"/>
  <c r="S33" i="14"/>
  <c r="Y193" i="14"/>
  <c r="Y398" i="14"/>
  <c r="Z263" i="14"/>
  <c r="S57" i="14"/>
  <c r="AD558" i="14" s="1"/>
  <c r="AJ558" i="14" s="1"/>
  <c r="Y263" i="14"/>
  <c r="S103" i="14"/>
  <c r="Z401" i="14"/>
  <c r="Z403" i="14"/>
  <c r="Y403" i="14"/>
  <c r="Y395" i="14"/>
  <c r="Z395" i="14"/>
  <c r="Y340" i="14"/>
  <c r="Z340" i="14"/>
  <c r="S26" i="14"/>
  <c r="Y170" i="14"/>
  <c r="S43" i="14"/>
  <c r="Z223" i="14"/>
  <c r="Y223" i="14"/>
  <c r="Y353" i="14"/>
  <c r="Z353" i="14"/>
  <c r="Z207" i="14"/>
  <c r="Y207" i="14"/>
  <c r="S68" i="14"/>
  <c r="Z142" i="14"/>
  <c r="Y314" i="14"/>
  <c r="Y197" i="14"/>
  <c r="S48" i="14"/>
  <c r="Y237" i="14"/>
  <c r="Z430" i="14"/>
  <c r="Z218" i="14"/>
  <c r="Z324" i="14"/>
  <c r="Z381" i="14"/>
  <c r="Y381" i="14"/>
  <c r="S72" i="14"/>
  <c r="Z308" i="14"/>
  <c r="Z371" i="14"/>
  <c r="W49" i="14"/>
  <c r="Y284" i="14"/>
  <c r="S64" i="14"/>
  <c r="Z284" i="14"/>
  <c r="Y352" i="14"/>
  <c r="Z352" i="14"/>
  <c r="Y239" i="14"/>
  <c r="Z279" i="14"/>
  <c r="Y279" i="14"/>
  <c r="Y320" i="14"/>
  <c r="Z214" i="14"/>
  <c r="Z326" i="14"/>
  <c r="S16" i="14"/>
  <c r="Z250" i="14"/>
  <c r="Y150" i="14"/>
  <c r="Y308" i="14"/>
  <c r="Z238" i="14"/>
  <c r="S23" i="14"/>
  <c r="Y418" i="14"/>
  <c r="Y281" i="14"/>
  <c r="Y201" i="14"/>
  <c r="Z436" i="14"/>
  <c r="Y426" i="14"/>
  <c r="W13" i="14"/>
  <c r="Z132" i="14"/>
  <c r="Y258" i="14"/>
  <c r="Z258" i="14"/>
  <c r="Y423" i="14"/>
  <c r="S110" i="14"/>
  <c r="Z278" i="14"/>
  <c r="Y278" i="14"/>
  <c r="Y211" i="14"/>
  <c r="Z211" i="14"/>
  <c r="S11" i="14"/>
  <c r="Z262" i="14"/>
  <c r="Y262" i="14"/>
  <c r="Z325" i="14"/>
  <c r="Z377" i="14"/>
  <c r="Z126" i="14"/>
  <c r="S108" i="14"/>
  <c r="Z416" i="14"/>
  <c r="Y416" i="14"/>
  <c r="S84" i="14"/>
  <c r="Z407" i="14"/>
  <c r="Y131" i="14"/>
  <c r="Y359" i="14"/>
  <c r="Z150" i="14"/>
  <c r="Y442" i="14"/>
  <c r="W48" i="14"/>
  <c r="Y282" i="14"/>
  <c r="Z249" i="14"/>
  <c r="Z283" i="14"/>
  <c r="Z314" i="14"/>
  <c r="Y300" i="14"/>
  <c r="Y255" i="14"/>
  <c r="Y187" i="14"/>
  <c r="Y357" i="14"/>
  <c r="W15" i="14"/>
  <c r="S69" i="14"/>
  <c r="Z338" i="14"/>
  <c r="S10" i="14"/>
  <c r="S47" i="14"/>
  <c r="S98" i="14"/>
  <c r="S51" i="14"/>
  <c r="S61" i="14"/>
  <c r="S99" i="14"/>
  <c r="S105" i="14"/>
  <c r="S116" i="14"/>
  <c r="Y410" i="14"/>
  <c r="Y173" i="14"/>
  <c r="Y143" i="14"/>
  <c r="S31" i="14"/>
  <c r="Z380" i="14"/>
  <c r="S85" i="14"/>
  <c r="J30" i="13" s="1"/>
  <c r="X458" i="14" a="1"/>
  <c r="X458" i="14" s="1"/>
  <c r="S29" i="14"/>
  <c r="Z355" i="14"/>
  <c r="Y149" i="14"/>
  <c r="S20" i="14"/>
  <c r="Y125" i="14"/>
  <c r="Y408" i="14"/>
  <c r="Y268" i="14"/>
  <c r="W90" i="14"/>
  <c r="W65" i="14"/>
  <c r="W94" i="14"/>
  <c r="W32" i="14"/>
  <c r="Z303" i="14"/>
  <c r="Y254" i="14"/>
  <c r="Z222" i="14"/>
  <c r="Y350" i="14"/>
  <c r="S104" i="14"/>
  <c r="Z322" i="14"/>
  <c r="W69" i="14"/>
  <c r="Z130" i="14"/>
  <c r="S35" i="14"/>
  <c r="Z349" i="14"/>
  <c r="S59" i="14"/>
  <c r="Z290" i="14"/>
  <c r="Y309" i="14"/>
  <c r="S74" i="14"/>
  <c r="S65" i="14"/>
  <c r="S82" i="14"/>
  <c r="Y392" i="14"/>
  <c r="Z277" i="14"/>
  <c r="S102" i="14"/>
  <c r="Z420" i="14"/>
  <c r="Y163" i="14"/>
  <c r="Y220" i="14"/>
  <c r="Y382" i="14"/>
  <c r="Y227" i="14"/>
  <c r="W30" i="14"/>
  <c r="T29" i="13" s="1"/>
  <c r="W99" i="14"/>
  <c r="T27" i="13" s="1"/>
  <c r="Y345" i="14"/>
  <c r="Z367" i="14"/>
  <c r="Y379" i="14"/>
  <c r="Y362" i="14"/>
  <c r="Z388" i="14"/>
  <c r="Z280" i="14"/>
  <c r="Y412" i="14"/>
  <c r="Y203" i="14"/>
  <c r="Z427" i="14"/>
  <c r="Z148" i="14"/>
  <c r="Y435" i="14"/>
  <c r="Z179" i="14"/>
  <c r="Z379" i="14"/>
  <c r="S111" i="14"/>
  <c r="Y376" i="14"/>
  <c r="Z319" i="14"/>
  <c r="S109" i="14"/>
  <c r="W62" i="14"/>
  <c r="S53" i="14"/>
  <c r="Y434" i="14"/>
  <c r="Y243" i="14"/>
  <c r="S56" i="14"/>
  <c r="Y417" i="14"/>
  <c r="Y369" i="14"/>
  <c r="Z123" i="14"/>
  <c r="Z387" i="14"/>
  <c r="Y154" i="14"/>
  <c r="Z145" i="14"/>
  <c r="Y327" i="14"/>
  <c r="Y312" i="14"/>
  <c r="W109" i="14"/>
  <c r="W55" i="14"/>
  <c r="Z205" i="14"/>
  <c r="W112" i="14"/>
  <c r="Y396" i="14"/>
  <c r="Y146" i="14"/>
  <c r="W41" i="14"/>
  <c r="Y329" i="14"/>
  <c r="Z210" i="14"/>
  <c r="Y189" i="14"/>
  <c r="Z138" i="14"/>
  <c r="S88" i="14"/>
  <c r="Y249" i="14"/>
  <c r="W38" i="14"/>
  <c r="S107" i="14"/>
  <c r="Y219" i="14"/>
  <c r="Z431" i="14"/>
  <c r="Z229" i="14"/>
  <c r="S38" i="14"/>
  <c r="Z160" i="14"/>
  <c r="Z311" i="14"/>
  <c r="Z259" i="14"/>
  <c r="Z347" i="14"/>
  <c r="W47" i="14"/>
  <c r="Y331" i="14"/>
  <c r="Z270" i="14"/>
  <c r="Y290" i="14"/>
  <c r="Y233" i="14"/>
  <c r="Y386" i="14"/>
  <c r="Z273" i="14"/>
  <c r="Y380" i="14"/>
  <c r="Y441" i="14"/>
  <c r="Y360" i="14"/>
  <c r="S86" i="14"/>
  <c r="Z335" i="14"/>
  <c r="S113" i="14"/>
  <c r="Y151" i="14"/>
  <c r="Z225" i="14"/>
  <c r="Z422" i="14"/>
  <c r="Z402" i="14"/>
  <c r="Z410" i="14"/>
  <c r="Y322" i="14"/>
  <c r="Z301" i="14"/>
  <c r="Z385" i="14"/>
  <c r="Y200" i="14"/>
  <c r="Z206" i="14"/>
  <c r="Z227" i="14"/>
  <c r="S50" i="14"/>
  <c r="Y141" i="14"/>
  <c r="Y222" i="14"/>
  <c r="Y260" i="14"/>
  <c r="W98" i="14"/>
  <c r="W87" i="14"/>
  <c r="W106" i="14"/>
  <c r="W26" i="14"/>
  <c r="AH552" i="14" s="1"/>
  <c r="AJ552" i="14" s="1"/>
  <c r="Y301" i="14"/>
  <c r="Z373" i="14"/>
  <c r="Y299" i="14"/>
  <c r="Z386" i="14"/>
  <c r="Y185" i="14"/>
  <c r="Z350" i="14"/>
  <c r="Y409" i="14"/>
  <c r="Z254" i="14"/>
  <c r="W72" i="14"/>
  <c r="W71" i="14"/>
  <c r="W46" i="14"/>
  <c r="Z154" i="14"/>
  <c r="S22" i="14"/>
  <c r="Z125" i="14"/>
  <c r="Y387" i="14"/>
  <c r="Z299" i="14"/>
  <c r="Y208" i="14"/>
  <c r="Z233" i="14"/>
  <c r="Y157" i="14"/>
  <c r="Z185" i="14"/>
  <c r="S96" i="14"/>
  <c r="Z178" i="14"/>
  <c r="Y191" i="14"/>
  <c r="Z152" i="14"/>
  <c r="Y135" i="14"/>
  <c r="Z337" i="14"/>
  <c r="S114" i="14"/>
  <c r="Z409" i="14"/>
  <c r="Y259" i="14"/>
  <c r="Z265" i="14"/>
  <c r="Z137" i="14"/>
  <c r="Z243" i="14"/>
  <c r="Y145" i="14"/>
  <c r="Z417" i="14"/>
  <c r="S42" i="14"/>
  <c r="S55" i="14"/>
  <c r="Z396" i="14"/>
  <c r="Z174" i="14"/>
  <c r="Z260" i="14"/>
  <c r="S66" i="14"/>
  <c r="W95" i="14"/>
  <c r="Y153" i="14"/>
  <c r="Y288" i="14"/>
  <c r="Z157" i="14"/>
  <c r="S13" i="14"/>
  <c r="W78" i="14"/>
  <c r="Z411" i="14"/>
  <c r="Y168" i="14"/>
  <c r="Y349" i="14"/>
  <c r="Z208" i="14"/>
  <c r="Y367" i="14"/>
  <c r="Y140" i="14"/>
  <c r="Z245" i="14"/>
  <c r="Y328" i="14"/>
  <c r="Z392" i="14"/>
  <c r="Z143" i="14"/>
  <c r="S39" i="14"/>
  <c r="Y152" i="14"/>
  <c r="Z235" i="14"/>
  <c r="Y180" i="14"/>
  <c r="Y275" i="14"/>
  <c r="Y428" i="14"/>
  <c r="S77" i="14"/>
  <c r="Z268" i="14"/>
  <c r="Y439" i="14"/>
  <c r="Z329" i="14"/>
  <c r="Z327" i="14"/>
  <c r="Z196" i="14"/>
  <c r="Y429" i="14"/>
  <c r="Y277" i="14"/>
  <c r="Z240" i="14"/>
  <c r="Y128" i="14"/>
  <c r="W39" i="14"/>
  <c r="Z399" i="14"/>
  <c r="W52" i="14"/>
  <c r="T25" i="13" s="1"/>
  <c r="Z244" i="14"/>
  <c r="W68" i="14"/>
  <c r="Y318" i="14"/>
  <c r="Z165" i="14"/>
  <c r="W96" i="14"/>
  <c r="Y270" i="14"/>
  <c r="Y174" i="14"/>
  <c r="W103" i="14"/>
  <c r="Z168" i="14"/>
  <c r="Y234" i="14"/>
  <c r="Y245" i="14"/>
  <c r="S17" i="14"/>
  <c r="Y401" i="14"/>
  <c r="Y324" i="14"/>
  <c r="Z348" i="14"/>
  <c r="Z382" i="14"/>
  <c r="Z161" i="14"/>
  <c r="Y384" i="14"/>
  <c r="T459" i="14" a="1"/>
  <c r="T459" i="14" s="1"/>
  <c r="W58" i="14"/>
  <c r="W113" i="14"/>
  <c r="AH561" i="14" s="1"/>
  <c r="Y199" i="14"/>
  <c r="W114" i="14"/>
  <c r="W92" i="14"/>
  <c r="W18" i="14"/>
  <c r="W14" i="14"/>
  <c r="W21" i="14"/>
  <c r="Y256" i="14"/>
  <c r="Z256" i="14"/>
  <c r="W82" i="14"/>
  <c r="Z339" i="14"/>
  <c r="Y339" i="14"/>
  <c r="Z261" i="14"/>
  <c r="Y261" i="14"/>
  <c r="W111" i="14"/>
  <c r="Z425" i="14"/>
  <c r="Y425" i="14"/>
  <c r="Y304" i="14"/>
  <c r="Z304" i="14"/>
  <c r="W60" i="14"/>
  <c r="Y272" i="14"/>
  <c r="Z272" i="14"/>
  <c r="W102" i="14"/>
  <c r="Z398" i="14"/>
  <c r="Z321" i="14"/>
  <c r="Y321" i="14"/>
  <c r="W76" i="14"/>
  <c r="T8" i="13" a="1"/>
  <c r="T8" i="13" s="1"/>
  <c r="X453" i="14" a="1"/>
  <c r="X453" i="14" s="1"/>
  <c r="T9" i="13" a="1"/>
  <c r="T9" i="13" s="1"/>
  <c r="T6" i="13" a="1"/>
  <c r="T6" i="13" s="1"/>
  <c r="T10" i="13" a="1"/>
  <c r="T10" i="13" s="1"/>
  <c r="T13" i="13" a="1"/>
  <c r="T13" i="13" s="1"/>
  <c r="T12" i="13" a="1"/>
  <c r="T12" i="13" s="1"/>
  <c r="T7" i="13" a="1"/>
  <c r="T7" i="13" s="1"/>
  <c r="X448" i="14"/>
  <c r="V470" i="14" s="1"/>
  <c r="E7" i="12" s="1"/>
  <c r="X461" i="14" a="1"/>
  <c r="X461" i="14" s="1"/>
  <c r="X451" i="14" a="1"/>
  <c r="X451" i="14" s="1"/>
  <c r="X457" i="14" a="1"/>
  <c r="X457" i="14" s="1"/>
  <c r="X452" i="14" a="1"/>
  <c r="X452" i="14" s="1"/>
  <c r="Z124" i="14"/>
  <c r="Y124" i="14"/>
  <c r="T11" i="13" a="1"/>
  <c r="T11" i="13" s="1"/>
  <c r="T14" i="13" a="1"/>
  <c r="T14" i="13" s="1"/>
  <c r="W107" i="14"/>
  <c r="Y413" i="14"/>
  <c r="Z413" i="14"/>
  <c r="X462" i="14" a="1"/>
  <c r="X462" i="14" s="1"/>
  <c r="W34" i="14"/>
  <c r="Y194" i="14"/>
  <c r="Z194" i="14"/>
  <c r="Y334" i="14"/>
  <c r="Z334" i="14"/>
  <c r="W59" i="14"/>
  <c r="Y269" i="14"/>
  <c r="Z269" i="14"/>
  <c r="Z351" i="14"/>
  <c r="Y351" i="14"/>
  <c r="W44" i="14"/>
  <c r="Z224" i="14"/>
  <c r="Y224" i="14"/>
  <c r="W57" i="14"/>
  <c r="Z264" i="14"/>
  <c r="Y264" i="14"/>
  <c r="W28" i="14"/>
  <c r="Z176" i="14"/>
  <c r="W22" i="14"/>
  <c r="Y158" i="14"/>
  <c r="Z158" i="14"/>
  <c r="W115" i="14"/>
  <c r="Z437" i="14"/>
  <c r="Y437" i="14"/>
  <c r="W51" i="14"/>
  <c r="Y246" i="14"/>
  <c r="Z246" i="14"/>
  <c r="W97" i="14"/>
  <c r="Y383" i="14"/>
  <c r="Z383" i="14"/>
  <c r="W116" i="14"/>
  <c r="AH563" i="14" s="1"/>
  <c r="AJ563" i="14" s="1"/>
  <c r="Z440" i="14"/>
  <c r="Y440" i="14"/>
  <c r="J11" i="13" a="1"/>
  <c r="J11" i="13" s="1"/>
  <c r="Z164" i="14"/>
  <c r="Y164" i="14"/>
  <c r="S24" i="14"/>
  <c r="T457" i="14" a="1"/>
  <c r="T457" i="14" s="1"/>
  <c r="Z291" i="14"/>
  <c r="S49" i="14"/>
  <c r="Z343" i="14"/>
  <c r="Z170" i="14"/>
  <c r="Z129" i="14"/>
  <c r="Y433" i="14"/>
  <c r="W24" i="14"/>
  <c r="W104" i="14"/>
  <c r="W53" i="14"/>
  <c r="W75" i="14"/>
  <c r="J10" i="13" a="1"/>
  <c r="J10" i="13" s="1"/>
  <c r="J13" i="13" a="1"/>
  <c r="J13" i="13" s="1"/>
  <c r="Y132" i="14"/>
  <c r="Z318" i="14"/>
  <c r="T461" i="14" a="1"/>
  <c r="T461" i="14" s="1"/>
  <c r="Z226" i="14"/>
  <c r="Z209" i="14"/>
  <c r="Z434" i="14"/>
  <c r="Z404" i="14"/>
  <c r="Z180" i="14"/>
  <c r="Y389" i="14"/>
  <c r="Z153" i="14"/>
  <c r="Y317" i="14"/>
  <c r="Z432" i="14"/>
  <c r="Z192" i="14"/>
  <c r="Z344" i="14"/>
  <c r="Z274" i="14"/>
  <c r="Z181" i="14"/>
  <c r="Y248" i="14"/>
  <c r="W10" i="14"/>
  <c r="X459" i="14" a="1"/>
  <c r="X459" i="14" s="1"/>
  <c r="X456" i="14" a="1"/>
  <c r="X456" i="14" s="1"/>
  <c r="W36" i="14"/>
  <c r="X36" i="14" s="1"/>
  <c r="W54" i="14"/>
  <c r="Y54" i="14" s="1"/>
  <c r="W77" i="14"/>
  <c r="W19" i="14"/>
  <c r="W64" i="14"/>
  <c r="W73" i="14"/>
  <c r="V472" i="14"/>
  <c r="Y297" i="14"/>
  <c r="W91" i="14"/>
  <c r="T22" i="13" s="1"/>
  <c r="Z199" i="14"/>
  <c r="Y361" i="14"/>
  <c r="Z169" i="14"/>
  <c r="Z288" i="14"/>
  <c r="Z306" i="14"/>
  <c r="W67" i="14"/>
  <c r="W20" i="14"/>
  <c r="W25" i="14"/>
  <c r="W50" i="14"/>
  <c r="Y411" i="14"/>
  <c r="Y165" i="14"/>
  <c r="Z167" i="14"/>
  <c r="Z234" i="14"/>
  <c r="Y285" i="14"/>
  <c r="Y405" i="14"/>
  <c r="Y240" i="14"/>
  <c r="Y215" i="14"/>
  <c r="Z293" i="14"/>
  <c r="Z155" i="14"/>
  <c r="Y244" i="14"/>
  <c r="Z257" i="14"/>
  <c r="Y182" i="14"/>
  <c r="Z251" i="14"/>
  <c r="Z429" i="14"/>
  <c r="Y294" i="14"/>
  <c r="Z134" i="14"/>
  <c r="Z271" i="14"/>
  <c r="W35" i="14"/>
  <c r="X35" i="14" s="1"/>
  <c r="W85" i="14"/>
  <c r="T30" i="13" s="1"/>
  <c r="W40" i="14"/>
  <c r="X40" i="14" s="1"/>
  <c r="W81" i="14"/>
  <c r="W105" i="14"/>
  <c r="Y105" i="14" s="1"/>
  <c r="W42" i="14"/>
  <c r="W16" i="14"/>
  <c r="W31" i="14"/>
  <c r="W17" i="14"/>
  <c r="W80" i="14"/>
  <c r="W45" i="14"/>
  <c r="Z275" i="14"/>
  <c r="W70" i="14"/>
  <c r="Y303" i="14"/>
  <c r="Z266" i="14"/>
  <c r="Y251" i="14"/>
  <c r="W12" i="14"/>
  <c r="W66" i="14"/>
  <c r="Y266" i="14"/>
  <c r="Y161" i="14"/>
  <c r="Z182" i="14"/>
  <c r="Y344" i="14"/>
  <c r="Y276" i="14"/>
  <c r="Z248" i="14"/>
  <c r="Y198" i="14"/>
  <c r="W100" i="14"/>
  <c r="W11" i="14"/>
  <c r="W110" i="14"/>
  <c r="W88" i="14"/>
  <c r="W86" i="14"/>
  <c r="W37" i="14"/>
  <c r="X37" i="14" s="1"/>
  <c r="W89" i="14"/>
  <c r="W33" i="14"/>
  <c r="Z302" i="14"/>
  <c r="W83" i="14"/>
  <c r="Y330" i="14"/>
  <c r="Z366" i="14"/>
  <c r="Y188" i="14"/>
  <c r="Z363" i="14"/>
  <c r="Z287" i="14"/>
  <c r="Y404" i="14"/>
  <c r="Z389" i="14"/>
  <c r="Y341" i="14"/>
  <c r="Z317" i="14"/>
  <c r="W56" i="14"/>
  <c r="W101" i="14"/>
  <c r="W63" i="14"/>
  <c r="W79" i="14"/>
  <c r="Z128" i="14"/>
  <c r="T451" i="14" a="1"/>
  <c r="T451" i="14" s="1"/>
  <c r="T453" i="14" a="1"/>
  <c r="T453" i="14" s="1"/>
  <c r="J14" i="13" a="1"/>
  <c r="J14" i="13" s="1"/>
  <c r="Y292" i="14"/>
  <c r="J7" i="13" a="1"/>
  <c r="J7" i="13" s="1"/>
  <c r="T452" i="14" a="1"/>
  <c r="T452" i="14" s="1"/>
  <c r="T462" i="14" a="1"/>
  <c r="T462" i="14" s="1"/>
  <c r="Z292" i="14"/>
  <c r="J8" i="13" a="1"/>
  <c r="J8" i="13" s="1"/>
  <c r="J12" i="13" a="1"/>
  <c r="J12" i="13" s="1"/>
  <c r="S12" i="14"/>
  <c r="T456" i="14" a="1"/>
  <c r="T456" i="14" s="1"/>
  <c r="T448" i="14"/>
  <c r="S90" i="14"/>
  <c r="J6" i="13" a="1"/>
  <c r="J6" i="13" s="1"/>
  <c r="T458" i="14" a="1"/>
  <c r="T458" i="14" s="1"/>
  <c r="J9" i="13" a="1"/>
  <c r="J9" i="13" s="1"/>
  <c r="Y32" i="14" l="1"/>
  <c r="X21" i="14"/>
  <c r="X53" i="14"/>
  <c r="Y93" i="14"/>
  <c r="X79" i="14"/>
  <c r="X93" i="14"/>
  <c r="Y90" i="14"/>
  <c r="X63" i="14"/>
  <c r="X104" i="14"/>
  <c r="X64" i="14"/>
  <c r="X65" i="14"/>
  <c r="Y43" i="14"/>
  <c r="X43" i="14"/>
  <c r="Y115" i="14"/>
  <c r="X14" i="14"/>
  <c r="X33" i="14"/>
  <c r="X17" i="14"/>
  <c r="X27" i="14"/>
  <c r="Y97" i="14"/>
  <c r="Y11" i="14"/>
  <c r="X67" i="14"/>
  <c r="Y44" i="14"/>
  <c r="X95" i="14"/>
  <c r="J23" i="13"/>
  <c r="Y53" i="14"/>
  <c r="Y76" i="14"/>
  <c r="Y87" i="14"/>
  <c r="X58" i="14"/>
  <c r="Y106" i="14"/>
  <c r="Y110" i="14"/>
  <c r="Y80" i="14"/>
  <c r="Y65" i="14"/>
  <c r="L41" i="13"/>
  <c r="X45" i="14"/>
  <c r="Y61" i="14"/>
  <c r="X106" i="14"/>
  <c r="Y58" i="14"/>
  <c r="F10" i="13"/>
  <c r="Y27" i="14"/>
  <c r="W41" i="13"/>
  <c r="X94" i="14"/>
  <c r="X109" i="14"/>
  <c r="AD550" i="14"/>
  <c r="Y74" i="14"/>
  <c r="Y73" i="14"/>
  <c r="Y114" i="14"/>
  <c r="Y108" i="14"/>
  <c r="Y81" i="14"/>
  <c r="X30" i="14"/>
  <c r="X89" i="14"/>
  <c r="Y30" i="14"/>
  <c r="Y62" i="14"/>
  <c r="AH560" i="14"/>
  <c r="AJ560" i="14" s="1"/>
  <c r="Y18" i="14"/>
  <c r="X52" i="14"/>
  <c r="X51" i="14"/>
  <c r="Y41" i="14"/>
  <c r="X69" i="14"/>
  <c r="Y94" i="14"/>
  <c r="F30" i="13"/>
  <c r="X101" i="14"/>
  <c r="X70" i="14"/>
  <c r="X25" i="14"/>
  <c r="Y100" i="14"/>
  <c r="Y52" i="14"/>
  <c r="X74" i="14"/>
  <c r="X81" i="14"/>
  <c r="Y20" i="14"/>
  <c r="X57" i="14"/>
  <c r="X98" i="14"/>
  <c r="F13" i="13"/>
  <c r="Y69" i="14"/>
  <c r="Y55" i="14"/>
  <c r="Y38" i="14"/>
  <c r="Y24" i="14"/>
  <c r="Y35" i="14"/>
  <c r="Y39" i="14"/>
  <c r="Y56" i="14"/>
  <c r="X111" i="14"/>
  <c r="X82" i="14"/>
  <c r="X47" i="14"/>
  <c r="Y72" i="14"/>
  <c r="Y34" i="14"/>
  <c r="X91" i="14"/>
  <c r="X84" i="14"/>
  <c r="Y84" i="14"/>
  <c r="Y16" i="14"/>
  <c r="X105" i="14"/>
  <c r="X13" i="14"/>
  <c r="Y109" i="14"/>
  <c r="X59" i="14"/>
  <c r="X29" i="14"/>
  <c r="X50" i="14"/>
  <c r="X92" i="14"/>
  <c r="Y111" i="14"/>
  <c r="AH547" i="14"/>
  <c r="X110" i="14"/>
  <c r="P457" i="14"/>
  <c r="X68" i="14"/>
  <c r="AD547" i="14"/>
  <c r="Y22" i="14"/>
  <c r="Y113" i="14"/>
  <c r="X112" i="14"/>
  <c r="X99" i="14"/>
  <c r="X15" i="14"/>
  <c r="X23" i="14"/>
  <c r="X26" i="14"/>
  <c r="X103" i="14"/>
  <c r="X39" i="14"/>
  <c r="X72" i="14"/>
  <c r="X32" i="14"/>
  <c r="Y95" i="14"/>
  <c r="Y25" i="14"/>
  <c r="X56" i="14"/>
  <c r="X83" i="14"/>
  <c r="X16" i="14"/>
  <c r="Y82" i="14"/>
  <c r="Y83" i="14"/>
  <c r="Y107" i="14"/>
  <c r="X454" i="14"/>
  <c r="X38" i="14"/>
  <c r="X102" i="14"/>
  <c r="J26" i="13"/>
  <c r="J28" i="13"/>
  <c r="X41" i="14"/>
  <c r="X34" i="14"/>
  <c r="Y47" i="14"/>
  <c r="Y26" i="14"/>
  <c r="Y66" i="14"/>
  <c r="Y10" i="14"/>
  <c r="Y60" i="14"/>
  <c r="T23" i="13"/>
  <c r="X86" i="14"/>
  <c r="Y116" i="14"/>
  <c r="Y29" i="14"/>
  <c r="Y70" i="14"/>
  <c r="X116" i="14"/>
  <c r="Y71" i="14"/>
  <c r="X20" i="14"/>
  <c r="Y48" i="14"/>
  <c r="Y99" i="14"/>
  <c r="X96" i="14"/>
  <c r="X22" i="14"/>
  <c r="P451" i="14"/>
  <c r="X31" i="14"/>
  <c r="AH557" i="14"/>
  <c r="AJ557" i="14" s="1"/>
  <c r="AD559" i="14"/>
  <c r="X114" i="14"/>
  <c r="X46" i="14"/>
  <c r="X108" i="14"/>
  <c r="Y112" i="14"/>
  <c r="Y103" i="14"/>
  <c r="Y23" i="14"/>
  <c r="T454" i="14"/>
  <c r="X61" i="14"/>
  <c r="X78" i="14"/>
  <c r="J27" i="13"/>
  <c r="F27" i="13" s="1"/>
  <c r="X60" i="14"/>
  <c r="X55" i="14"/>
  <c r="Y98" i="14"/>
  <c r="Y15" i="14"/>
  <c r="Y91" i="14"/>
  <c r="X71" i="14"/>
  <c r="Y46" i="14"/>
  <c r="X48" i="14"/>
  <c r="F7" i="13"/>
  <c r="Y101" i="14"/>
  <c r="Y86" i="14"/>
  <c r="Y51" i="14"/>
  <c r="X24" i="14"/>
  <c r="Y13" i="14"/>
  <c r="Y92" i="14"/>
  <c r="X62" i="14"/>
  <c r="X73" i="14"/>
  <c r="Y102" i="14"/>
  <c r="Y45" i="14"/>
  <c r="X88" i="14"/>
  <c r="AH553" i="14"/>
  <c r="AJ553" i="14" s="1"/>
  <c r="Y49" i="14"/>
  <c r="V498" i="14"/>
  <c r="V497" i="14" s="1"/>
  <c r="V499" i="14" s="1"/>
  <c r="X18" i="14"/>
  <c r="X12" i="14"/>
  <c r="AH559" i="14"/>
  <c r="Y59" i="14"/>
  <c r="Y104" i="14"/>
  <c r="F29" i="13"/>
  <c r="T23" i="5"/>
  <c r="AH562" i="14"/>
  <c r="AJ562" i="14" s="1"/>
  <c r="X100" i="14"/>
  <c r="X66" i="14"/>
  <c r="Y40" i="14"/>
  <c r="X113" i="14"/>
  <c r="Y33" i="14"/>
  <c r="X97" i="14"/>
  <c r="J24" i="13"/>
  <c r="Y68" i="14"/>
  <c r="T15" i="13"/>
  <c r="F9" i="13"/>
  <c r="V483" i="14"/>
  <c r="V485" i="14" s="1"/>
  <c r="F25" i="13"/>
  <c r="T19" i="5"/>
  <c r="AD561" i="14"/>
  <c r="AJ561" i="14" s="1"/>
  <c r="Y96" i="14"/>
  <c r="AH568" i="14"/>
  <c r="AJ568" i="14" s="1"/>
  <c r="AH550" i="14"/>
  <c r="V471" i="14"/>
  <c r="V490" i="14"/>
  <c r="X10" i="14"/>
  <c r="X115" i="14"/>
  <c r="X87" i="14"/>
  <c r="Y89" i="14"/>
  <c r="Y17" i="14"/>
  <c r="P448" i="14"/>
  <c r="V467" i="14" s="1"/>
  <c r="X80" i="14"/>
  <c r="Y14" i="14"/>
  <c r="Y67" i="14"/>
  <c r="X11" i="14"/>
  <c r="V494" i="14"/>
  <c r="V495" i="14" s="1"/>
  <c r="AH549" i="14"/>
  <c r="AJ549" i="14" s="1"/>
  <c r="AH570" i="14"/>
  <c r="AJ570" i="14" s="1"/>
  <c r="Z448" i="14"/>
  <c r="F6" i="13"/>
  <c r="V480" i="14"/>
  <c r="Y79" i="14"/>
  <c r="Y57" i="14"/>
  <c r="X85" i="14"/>
  <c r="P453" i="14"/>
  <c r="Y21" i="14"/>
  <c r="P458" i="14"/>
  <c r="Y12" i="14"/>
  <c r="AI564" i="14"/>
  <c r="AI579" i="14" s="1"/>
  <c r="P459" i="14"/>
  <c r="Y78" i="14"/>
  <c r="Y85" i="14"/>
  <c r="V479" i="14"/>
  <c r="Y64" i="14"/>
  <c r="F12" i="13"/>
  <c r="AH571" i="14"/>
  <c r="AJ571" i="14" s="1"/>
  <c r="X107" i="14"/>
  <c r="AH551" i="14"/>
  <c r="T24" i="13"/>
  <c r="Y448" i="14"/>
  <c r="AH567" i="14"/>
  <c r="AJ567" i="14" s="1"/>
  <c r="F11" i="13"/>
  <c r="F14" i="13"/>
  <c r="AH554" i="14"/>
  <c r="AJ554" i="14" s="1"/>
  <c r="T28" i="13"/>
  <c r="T31" i="13"/>
  <c r="F31" i="13" s="1"/>
  <c r="AH573" i="14"/>
  <c r="AJ573" i="14" s="1"/>
  <c r="AH555" i="14"/>
  <c r="AJ555" i="14" s="1"/>
  <c r="J33" i="13"/>
  <c r="Y63" i="14"/>
  <c r="X77" i="14"/>
  <c r="Y75" i="14"/>
  <c r="X44" i="14"/>
  <c r="Y88" i="14"/>
  <c r="Y31" i="14"/>
  <c r="Y36" i="14"/>
  <c r="Y50" i="14"/>
  <c r="X28" i="14"/>
  <c r="P461" i="14"/>
  <c r="T33" i="13"/>
  <c r="Y37" i="14"/>
  <c r="X49" i="14"/>
  <c r="X76" i="14"/>
  <c r="X90" i="14"/>
  <c r="X42" i="14"/>
  <c r="X19" i="14"/>
  <c r="P452" i="14"/>
  <c r="Y77" i="14"/>
  <c r="F22" i="13"/>
  <c r="Y42" i="14"/>
  <c r="Y19" i="14"/>
  <c r="X75" i="14"/>
  <c r="X54" i="14"/>
  <c r="Y28" i="14"/>
  <c r="P462" i="14"/>
  <c r="T26" i="13"/>
  <c r="P456" i="14"/>
  <c r="J15" i="13"/>
  <c r="F8" i="13"/>
  <c r="V513" i="14" l="1"/>
  <c r="V514" i="14" s="1"/>
  <c r="V515" i="14" s="1"/>
  <c r="E15" i="12" s="1"/>
  <c r="V528" i="14"/>
  <c r="V529" i="14" s="1"/>
  <c r="V530" i="14" s="1"/>
  <c r="T17" i="5"/>
  <c r="F23" i="13"/>
  <c r="AJ550" i="14"/>
  <c r="P454" i="14"/>
  <c r="V487" i="14" s="1"/>
  <c r="T21" i="5"/>
  <c r="F28" i="13"/>
  <c r="AJ547" i="14"/>
  <c r="AJ559" i="14"/>
  <c r="E5" i="12"/>
  <c r="J32" i="13"/>
  <c r="T20" i="5"/>
  <c r="P449" i="14"/>
  <c r="E6" i="12" s="1"/>
  <c r="G75" i="3" s="1"/>
  <c r="V537" i="14"/>
  <c r="V534" i="14" s="1"/>
  <c r="E10" i="12" s="1"/>
  <c r="F26" i="13"/>
  <c r="AI575" i="14"/>
  <c r="V510" i="14"/>
  <c r="V511" i="14" s="1"/>
  <c r="V512" i="14" s="1"/>
  <c r="Z512" i="14"/>
  <c r="V509" i="14" s="1"/>
  <c r="V481" i="14"/>
  <c r="V482" i="14" s="1"/>
  <c r="T18" i="5"/>
  <c r="V493" i="14"/>
  <c r="V496" i="14" s="1"/>
  <c r="V520" i="14"/>
  <c r="V519" i="14" s="1"/>
  <c r="E16" i="12" s="1"/>
  <c r="V525" i="14"/>
  <c r="V526" i="14" s="1"/>
  <c r="V527" i="14" s="1"/>
  <c r="AD575" i="14"/>
  <c r="AD548" i="14" s="1"/>
  <c r="AJ548" i="14" s="1"/>
  <c r="V516" i="14"/>
  <c r="V517" i="14" s="1"/>
  <c r="V518" i="14" s="1"/>
  <c r="V523" i="14"/>
  <c r="V522" i="14" s="1"/>
  <c r="T22" i="5"/>
  <c r="F15" i="13"/>
  <c r="T32" i="13"/>
  <c r="F33" i="13"/>
  <c r="AJ551" i="14"/>
  <c r="AH575" i="14"/>
  <c r="F24" i="13"/>
  <c r="AH579" i="14"/>
  <c r="AH580" i="14" s="1"/>
  <c r="V486" i="14" l="1"/>
  <c r="V488" i="14" s="1"/>
  <c r="AD579" i="14"/>
  <c r="AD580" i="14" s="1"/>
  <c r="F32" i="13"/>
  <c r="V538" i="14"/>
  <c r="V535" i="14" s="1"/>
  <c r="E11" i="12" s="1"/>
  <c r="V468" i="14"/>
  <c r="V489" i="14" s="1"/>
  <c r="V474" i="14"/>
  <c r="E18" i="12"/>
  <c r="E17" i="12"/>
  <c r="AJ579" i="14"/>
  <c r="AJ575" i="14"/>
  <c r="E27" i="12" s="1"/>
  <c r="V476" i="14" l="1"/>
  <c r="E8" i="12" s="1"/>
  <c r="T10" i="5" s="1"/>
  <c r="V469" i="14"/>
  <c r="V475" i="14" s="1"/>
  <c r="V477" i="14" s="1"/>
  <c r="E9" i="12" s="1"/>
  <c r="T14" i="5" s="1"/>
  <c r="V478" i="14"/>
  <c r="V473"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D13" authorId="0" shapeId="0" xr:uid="{F26A5F80-D509-45E0-9530-4670E94A5F6E}">
      <text>
        <r>
          <rPr>
            <sz val="8"/>
            <color rgb="FF000000"/>
            <rFont val="Arial"/>
            <family val="2"/>
          </rPr>
          <t>Input full cost e.g. if project value is 5 million the figure would be 5,000,000</t>
        </r>
        <r>
          <rPr>
            <b/>
            <sz val="8"/>
            <color rgb="FF000000"/>
            <rFont val="Tahoma"/>
            <family val="2"/>
          </rPr>
          <t xml:space="preserve">
</t>
        </r>
      </text>
    </comment>
    <comment ref="C14" authorId="0" shapeId="0" xr:uid="{17C21B72-4691-440B-98FB-AC49645F8B7A}">
      <text>
        <r>
          <rPr>
            <sz val="8"/>
            <color rgb="FF000000"/>
            <rFont val="Arial"/>
            <family val="2"/>
          </rPr>
          <t>Required when project involves the construction of a building with floor space for occupation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3" authorId="0" shapeId="0" xr:uid="{BFC726B2-C2E9-42FE-8FEE-C09CCDC0FBFE}">
      <text>
        <r>
          <rPr>
            <sz val="8"/>
            <color rgb="FF000000"/>
            <rFont val="Arial"/>
            <family val="2"/>
          </rPr>
          <t>Choose waste action from list. Waste Prevention / Reduction from Client Concept / Outline Design / Detailed Design Phase (Preconstruction) and Waste Management &amp; Recovery from Construction Phase</t>
        </r>
      </text>
    </comment>
    <comment ref="D3" authorId="0" shapeId="0" xr:uid="{3E43298F-0401-4EDE-8C4E-E15DCB17E6D8}">
      <text>
        <r>
          <rPr>
            <sz val="8"/>
            <color rgb="FF000000"/>
            <rFont val="Arial"/>
            <family val="2"/>
          </rPr>
          <t>Choose from drop down menu the material / waste type that will be affected by the action</t>
        </r>
      </text>
    </comment>
    <comment ref="E3" authorId="0" shapeId="0" xr:uid="{675183A1-712C-4627-B7B9-3E27FDF0472F}">
      <text>
        <r>
          <rPr>
            <sz val="8"/>
            <color rgb="FF000000"/>
            <rFont val="Arial"/>
            <family val="2"/>
          </rPr>
          <t>Detail action taken to reduce the amount of waste to be produced during the project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I6" authorId="0" shapeId="0" xr:uid="{F14BAA81-A9C6-4D38-BB58-682FB57BB548}">
      <text>
        <r>
          <rPr>
            <sz val="10"/>
            <color indexed="81"/>
            <rFont val="Arial"/>
            <family val="2"/>
          </rPr>
          <t>To be used for 
Recycled Off Site at Transfer Station, MRF or EFW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wilkest</author>
    <author>Matthew Marsh (Galliford Try)</author>
  </authors>
  <commentList>
    <comment ref="E11" authorId="0" shapeId="0" xr:uid="{0EE6E176-F696-4890-9F84-E66A39A70855}">
      <text>
        <r>
          <rPr>
            <sz val="10"/>
            <color indexed="81"/>
            <rFont val="Arial"/>
            <family val="2"/>
          </rPr>
          <t>State who is responsible for the management of the waste stream. If waste stream is part of subcontract package state subcontractor responsible</t>
        </r>
      </text>
    </comment>
    <comment ref="F11" authorId="0" shapeId="0" xr:uid="{574FDEA7-AAE5-4BBA-8C45-B0A60F622B01}">
      <text>
        <r>
          <rPr>
            <sz val="10"/>
            <color rgb="FF000000"/>
            <rFont val="Arial"/>
            <family val="2"/>
          </rPr>
          <t>Provide name of waste carrier removing waste from site</t>
        </r>
      </text>
    </comment>
    <comment ref="H11" authorId="0" shapeId="0" xr:uid="{2147E8B1-3118-419E-B432-ED6B47C15C9D}">
      <text>
        <r>
          <rPr>
            <sz val="10"/>
            <color rgb="FF000000"/>
            <rFont val="Arial"/>
            <family val="2"/>
          </rPr>
          <t>If yellow due to expire in 1 month, if red expired</t>
        </r>
      </text>
    </comment>
    <comment ref="J11" authorId="0" shapeId="0" xr:uid="{2D4D2EDD-DA3A-48DC-B309-BB920CD534B5}">
      <text>
        <r>
          <rPr>
            <sz val="10"/>
            <color indexed="81"/>
            <rFont val="Arial"/>
            <family val="2"/>
          </rPr>
          <t>Provide name of waste broker used if applicable. Insert N/A if not applicable</t>
        </r>
      </text>
    </comment>
    <comment ref="L11" authorId="0" shapeId="0" xr:uid="{83F1A6B0-609F-4A1A-921F-4607F563B4CA}">
      <text>
        <r>
          <rPr>
            <sz val="10"/>
            <color indexed="81"/>
            <rFont val="Arial"/>
            <family val="2"/>
          </rPr>
          <t>If yellow due to expire in 1 month, if red expired</t>
        </r>
      </text>
    </comment>
    <comment ref="O11" authorId="0" shapeId="0" xr:uid="{8697AD21-3B3A-456F-AF9B-2629D875149E}">
      <text>
        <r>
          <rPr>
            <sz val="10"/>
            <color indexed="81"/>
            <rFont val="Arial"/>
            <family val="2"/>
          </rPr>
          <t>Choose from the drop down menu the type of waste management facility</t>
        </r>
      </text>
    </comment>
    <comment ref="Q11" authorId="0" shapeId="0" xr:uid="{49686DD3-55BA-4E27-A88F-6286869EF634}">
      <text>
        <r>
          <rPr>
            <sz val="10"/>
            <color indexed="81"/>
            <rFont val="Arial"/>
            <family val="2"/>
          </rPr>
          <t>It is a legal requirement to obtain documentation that demonstrates the waste management site is permitted to accept the types and quantities of waste being removed from site</t>
        </r>
      </text>
    </comment>
    <comment ref="O37" authorId="0" shapeId="0" xr:uid="{9C04E033-9D29-450D-BA32-8EB635E0A6D6}">
      <text>
        <r>
          <rPr>
            <b/>
            <sz val="10"/>
            <color indexed="81"/>
            <rFont val="Arial"/>
            <family val="2"/>
          </rPr>
          <t>Required if &gt;500 kg of hazardous waste to be removed from site within 12 month period</t>
        </r>
      </text>
    </comment>
    <comment ref="C39" authorId="0" shapeId="0" xr:uid="{B80CD457-5895-4BD4-A796-6A2D4F970C82}">
      <text>
        <r>
          <rPr>
            <sz val="10"/>
            <color indexed="81"/>
            <rFont val="Arial"/>
            <family val="2"/>
          </rPr>
          <t>Choose form the drop down menu the type of permit / licence or exemption required for on site works</t>
        </r>
      </text>
    </comment>
    <comment ref="N39" authorId="1" shapeId="0" xr:uid="{A906B1E7-0CB6-4180-A1A0-6450FA8A59C1}">
      <text>
        <r>
          <rPr>
            <b/>
            <sz val="9"/>
            <color indexed="81"/>
            <rFont val="Tahoma"/>
            <family val="2"/>
          </rPr>
          <t xml:space="preserve">You must only pick a waste that can be used under the waste exemption selected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Matthew Marsh (Galliford Try)</author>
  </authors>
  <commentList>
    <comment ref="F5" authorId="0" shapeId="0" xr:uid="{04A0ABBE-F25C-4BF5-B612-BF963FBE7EFD}">
      <text>
        <r>
          <rPr>
            <b/>
            <sz val="9"/>
            <color indexed="81"/>
            <rFont val="Tahoma"/>
            <family val="2"/>
          </rPr>
          <t xml:space="preserve">Not used as a lookup field, but included for change control. </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5" authorId="0" shapeId="0" xr:uid="{FE9E1D81-78FA-4D4F-829E-552491EF8A65}">
      <text>
        <r>
          <rPr>
            <sz val="8"/>
            <color indexed="81"/>
            <rFont val="Arial"/>
            <family val="2"/>
          </rPr>
          <t>Includes all materials generated on site that will be reused / recycled / disposed of on or off site. They may be waste</t>
        </r>
      </text>
    </comment>
    <comment ref="C6" authorId="0" shapeId="0" xr:uid="{3E688352-B2BF-44BA-97A4-FCB4091ACE55}">
      <text>
        <r>
          <rPr>
            <sz val="8"/>
            <color indexed="81"/>
            <rFont val="Arial"/>
            <family val="2"/>
          </rPr>
          <t>Includes all materials removed from site and classed as waste. Excludes any material reused or recycled on site</t>
        </r>
      </text>
    </comment>
    <comment ref="C22" authorId="0" shapeId="0" xr:uid="{F7E537F6-0E59-47C1-8823-24217E2EA7DB}">
      <text>
        <r>
          <rPr>
            <sz val="10"/>
            <color indexed="81"/>
            <rFont val="Arial"/>
            <family val="2"/>
          </rPr>
          <t>Actual waste data must be calculated manually as required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wilkest</author>
    <author/>
  </authors>
  <commentList>
    <comment ref="A7" authorId="0" shapeId="0" xr:uid="{430CD81E-F560-4B2F-A300-C2E88CA7BBC6}">
      <text>
        <r>
          <rPr>
            <sz val="8"/>
            <color indexed="81"/>
            <rFont val="Arial"/>
            <family val="2"/>
          </rPr>
          <t>Choose from drop down list the best description for your material / waste. If the material / waste will be management by multiple options then repeat for each destination / use option</t>
        </r>
      </text>
    </comment>
    <comment ref="C7" authorId="0" shapeId="0" xr:uid="{5B877397-5A6D-4B30-8C66-CB4062358FB4}">
      <text>
        <r>
          <rPr>
            <sz val="8"/>
            <color indexed="81"/>
            <rFont val="Arial"/>
            <family val="2"/>
          </rPr>
          <t>Responsibility for the waste must be assigned. If GT Group state business unit. If subcontractor responsible for own waste state subcontractor</t>
        </r>
      </text>
    </comment>
    <comment ref="G7" authorId="0" shapeId="0" xr:uid="{3F1AD903-BBD3-4144-ABCB-82B7857AAA4B}">
      <text>
        <r>
          <rPr>
            <sz val="8"/>
            <color indexed="81"/>
            <rFont val="Arial"/>
            <family val="2"/>
          </rPr>
          <t>Choose one waste management option for each row. Repeat the material / waste for multiple destinations</t>
        </r>
      </text>
    </comment>
    <comment ref="R545" authorId="1" shapeId="0" xr:uid="{1B8BB6FB-304A-4279-B5AF-4C965643CF0D}">
      <text>
        <r>
          <rPr>
            <b/>
            <sz val="8"/>
            <rFont val="Tahoma"/>
            <family val="2"/>
          </rPr>
          <t>Materials that are re-used instead of disposed of by recycling or landfill.</t>
        </r>
      </text>
    </comment>
    <comment ref="S545" authorId="1" shapeId="0" xr:uid="{3DB5B744-0CFD-4ED8-8318-05D7F32D3E49}">
      <text>
        <r>
          <rPr>
            <b/>
            <sz val="8"/>
            <rFont val="Tahoma"/>
            <family val="2"/>
          </rPr>
          <t>Open-loop recycling is the process of recycling material into other products.</t>
        </r>
      </text>
    </comment>
    <comment ref="T545" authorId="1" shapeId="0" xr:uid="{D5FEA864-BD46-45DB-85C9-94E6440AC0AD}">
      <text>
        <r>
          <rPr>
            <b/>
            <sz val="8"/>
            <rFont val="Tahoma"/>
            <family val="2"/>
          </rPr>
          <t>Closed-loop recycling is the process of recycling material back into the same product.</t>
        </r>
      </text>
    </comment>
    <comment ref="U545" authorId="1" shapeId="0" xr:uid="{F0F84738-F5C6-447D-A611-65016A242842}">
      <text>
        <r>
          <rPr>
            <b/>
            <sz val="8"/>
            <rFont val="Tahoma"/>
            <family val="2"/>
          </rPr>
          <t>Energy is recovered from the waste through incineration and subsequent generation of electricity.</t>
        </r>
      </text>
    </comment>
    <comment ref="V545" authorId="1" shapeId="0" xr:uid="{1FF69F1E-A875-4773-BE14-472CA505C60C}">
      <text>
        <r>
          <rPr>
            <b/>
            <sz val="8"/>
            <rFont val="Tahoma"/>
            <family val="2"/>
          </rPr>
          <t>CO₂e emitted as a result of composting a waste stream.</t>
        </r>
      </text>
    </comment>
    <comment ref="AD545" authorId="1" shapeId="0" xr:uid="{81DC5895-B521-4523-AA6D-408190AA65F8}">
      <text>
        <r>
          <rPr>
            <b/>
            <sz val="8"/>
            <rFont val="Tahoma"/>
            <family val="2"/>
          </rPr>
          <t>Materials that are re-used instead of disposed of by recycling or landfill.</t>
        </r>
      </text>
    </comment>
    <comment ref="AE545" authorId="1" shapeId="0" xr:uid="{B7D609B5-6189-4240-B0F7-69C576C291C9}">
      <text>
        <r>
          <rPr>
            <b/>
            <sz val="8"/>
            <rFont val="Tahoma"/>
            <family val="2"/>
          </rPr>
          <t>Open-loop recycling is the process of recycling material into other products.</t>
        </r>
      </text>
    </comment>
    <comment ref="AF545" authorId="1" shapeId="0" xr:uid="{F75F6291-9286-4739-BB09-BE1EB8CFC157}">
      <text>
        <r>
          <rPr>
            <b/>
            <sz val="8"/>
            <rFont val="Tahoma"/>
            <family val="2"/>
          </rPr>
          <t>Energy is recovered from the waste through incineration and subsequent generation of electricity.</t>
        </r>
      </text>
    </comment>
    <comment ref="AG545" authorId="1" shapeId="0" xr:uid="{FAE96956-2EE8-44E3-8F50-D80E22CD0F88}">
      <text>
        <r>
          <rPr>
            <b/>
            <sz val="8"/>
            <rFont val="Tahoma"/>
            <family val="2"/>
          </rPr>
          <t>CO₂e emitted as a result of composting a waste stream.</t>
        </r>
      </text>
    </comment>
    <comment ref="R546" authorId="1" shapeId="0" xr:uid="{EACC366F-1CE3-490E-BCE6-0BD30E106264}">
      <text>
        <r>
          <rPr>
            <b/>
            <sz val="8"/>
            <rFont val="Tahoma"/>
            <family val="2"/>
          </rPr>
          <t>kg CO₂e per unit</t>
        </r>
      </text>
    </comment>
    <comment ref="S546" authorId="1" shapeId="0" xr:uid="{98CD7C44-F6E4-493B-BABC-B6862697529C}">
      <text>
        <r>
          <rPr>
            <b/>
            <sz val="8"/>
            <rFont val="Tahoma"/>
            <family val="2"/>
          </rPr>
          <t>kg CO₂e per unit</t>
        </r>
      </text>
    </comment>
    <comment ref="T546" authorId="1" shapeId="0" xr:uid="{FA26B2F2-4DF7-4B41-8F9F-332B511FBA4F}">
      <text>
        <r>
          <rPr>
            <b/>
            <sz val="8"/>
            <rFont val="Tahoma"/>
            <family val="2"/>
          </rPr>
          <t>kg CO₂e per unit</t>
        </r>
      </text>
    </comment>
    <comment ref="U546" authorId="1" shapeId="0" xr:uid="{3781905E-E118-43E0-ACF3-FE6B33D6E994}">
      <text>
        <r>
          <rPr>
            <b/>
            <sz val="8"/>
            <rFont val="Tahoma"/>
            <family val="2"/>
          </rPr>
          <t>kg CO₂e per unit</t>
        </r>
      </text>
    </comment>
    <comment ref="V546" authorId="1" shapeId="0" xr:uid="{8402D15B-0905-4E7B-B271-DAC1F2F0CAC0}">
      <text>
        <r>
          <rPr>
            <b/>
            <sz val="8"/>
            <rFont val="Tahoma"/>
            <family val="2"/>
          </rPr>
          <t>kg CO₂e per unit</t>
        </r>
      </text>
    </comment>
    <comment ref="W546" authorId="1" shapeId="0" xr:uid="{E35BCB41-F978-464B-993D-D83DBE4F43D7}">
      <text>
        <r>
          <rPr>
            <b/>
            <sz val="8"/>
            <rFont val="Tahoma"/>
            <family val="2"/>
          </rPr>
          <t>kg CO₂e per unit</t>
        </r>
      </text>
    </comment>
    <comment ref="X546" authorId="1" shapeId="0" xr:uid="{897AF631-BB59-4C8B-A957-7ADD0478E2AF}">
      <text>
        <r>
          <rPr>
            <b/>
            <sz val="8"/>
            <rFont val="Tahoma"/>
            <family val="2"/>
          </rPr>
          <t>kg CO₂e per unit</t>
        </r>
      </text>
    </comment>
    <comment ref="AD546" authorId="1" shapeId="0" xr:uid="{41A17EE7-FB26-413D-8A3C-A42C5914F431}">
      <text>
        <r>
          <rPr>
            <b/>
            <sz val="8"/>
            <rFont val="Tahoma"/>
            <family val="2"/>
          </rPr>
          <t>kg CO₂e per unit</t>
        </r>
      </text>
    </comment>
    <comment ref="AE546" authorId="1" shapeId="0" xr:uid="{E96442C9-8671-46D0-9171-27B35E38F38A}">
      <text>
        <r>
          <rPr>
            <b/>
            <sz val="8"/>
            <rFont val="Tahoma"/>
            <family val="2"/>
          </rPr>
          <t>kg CO₂e per unit</t>
        </r>
      </text>
    </comment>
    <comment ref="AF546" authorId="1" shapeId="0" xr:uid="{AF14337A-17C9-464F-87A2-799801CFDE30}">
      <text>
        <r>
          <rPr>
            <b/>
            <sz val="8"/>
            <rFont val="Tahoma"/>
            <family val="2"/>
          </rPr>
          <t>kg CO₂e per unit</t>
        </r>
      </text>
    </comment>
    <comment ref="AG546" authorId="1" shapeId="0" xr:uid="{280E8760-6AC8-4479-A4FC-283C518480D1}">
      <text>
        <r>
          <rPr>
            <b/>
            <sz val="8"/>
            <rFont val="Tahoma"/>
            <family val="2"/>
          </rPr>
          <t>kg CO₂e per unit</t>
        </r>
      </text>
    </comment>
    <comment ref="AH546" authorId="1" shapeId="0" xr:uid="{688350D8-0D50-4029-823A-2C817E4012A6}">
      <text>
        <r>
          <rPr>
            <b/>
            <sz val="8"/>
            <rFont val="Tahoma"/>
            <family val="2"/>
          </rPr>
          <t>kg CO₂e per unit</t>
        </r>
      </text>
    </comment>
    <comment ref="AI546" authorId="1" shapeId="0" xr:uid="{60526357-17FD-4077-823F-A26B908C96DC}">
      <text>
        <r>
          <rPr>
            <b/>
            <sz val="8"/>
            <rFont val="Tahoma"/>
            <family val="2"/>
          </rPr>
          <t>kg CO₂e per unit</t>
        </r>
      </text>
    </comment>
    <comment ref="P562" authorId="1" shapeId="0" xr:uid="{88B97FAD-F033-477F-9A1C-FD2D021770F5}">
      <text>
        <r>
          <rPr>
            <b/>
            <sz val="8"/>
            <rFont val="Tahoma"/>
            <family val="2"/>
          </rPr>
          <t>Domestic waste.</t>
        </r>
      </text>
    </comment>
    <comment ref="AB562" authorId="1" shapeId="0" xr:uid="{2821692C-5B43-459D-8045-0A3F2404778E}">
      <text>
        <r>
          <rPr>
            <b/>
            <sz val="8"/>
            <rFont val="Tahoma"/>
            <family val="2"/>
          </rPr>
          <t>Domestic waste.</t>
        </r>
      </text>
    </comment>
    <comment ref="P566" authorId="1" shapeId="0" xr:uid="{348390AF-D212-4BBC-A860-4E052E5857EE}">
      <text>
        <r>
          <rPr>
            <b/>
            <sz val="8"/>
            <rFont val="Tahoma"/>
            <family val="2"/>
          </rPr>
          <t>Waste generated by businesses or industrial operations.</t>
        </r>
      </text>
    </comment>
    <comment ref="AB566" authorId="1" shapeId="0" xr:uid="{FD121E1B-5093-47A4-9E8F-ADF391CD76A4}">
      <text>
        <r>
          <rPr>
            <b/>
            <sz val="8"/>
            <rFont val="Tahoma"/>
            <family val="2"/>
          </rPr>
          <t>Waste generated by businesses or industrial operations.</t>
        </r>
      </text>
    </comment>
    <comment ref="P568" authorId="1" shapeId="0" xr:uid="{7918EED8-2616-4E1C-B00A-F27A6BA61C59}">
      <text>
        <r>
          <rPr>
            <b/>
            <sz val="8"/>
            <rFont val="Tahoma"/>
            <family val="2"/>
          </rPr>
          <t>Excludes car batteries.</t>
        </r>
      </text>
    </comment>
    <comment ref="AB568" authorId="1" shapeId="0" xr:uid="{EE41EB96-8D18-4D41-A467-04D78AF06DAB}">
      <text>
        <r>
          <rPr>
            <b/>
            <sz val="8"/>
            <rFont val="Tahoma"/>
            <family val="2"/>
          </rPr>
          <t>Excludes car batteries.</t>
        </r>
      </text>
    </comment>
    <comment ref="P571" authorId="1" shapeId="0" xr:uid="{D768FEA7-EDC1-43F4-92CB-4C91248289A0}">
      <text>
        <r>
          <rPr>
            <b/>
            <sz val="8"/>
            <rFont val="Tahoma"/>
            <family val="2"/>
          </rPr>
          <t>Average: 78% corrugate and 22% carton board</t>
        </r>
      </text>
    </comment>
    <comment ref="AB571" authorId="1" shapeId="0" xr:uid="{DAB433A6-6158-4676-B71E-A78B0CFC4141}">
      <text>
        <r>
          <rPr>
            <b/>
            <sz val="8"/>
            <rFont val="Tahoma"/>
            <family val="2"/>
          </rPr>
          <t>Average: 78% corrugate and 22% carton board</t>
        </r>
      </text>
    </comment>
    <comment ref="P572" authorId="1" shapeId="0" xr:uid="{5DFE15C2-99C5-46F5-ABB4-3DC54894BA31}">
      <text>
        <r>
          <rPr>
            <b/>
            <sz val="8"/>
            <rFont val="Tahoma"/>
            <family val="2"/>
          </rPr>
          <t>Assumes 25% paper, 75% board</t>
        </r>
      </text>
    </comment>
    <comment ref="AB572" authorId="1" shapeId="0" xr:uid="{F8C9AD2B-540A-4764-A02A-3DBF5FC43BEE}">
      <text>
        <r>
          <rPr>
            <b/>
            <sz val="8"/>
            <rFont val="Tahoma"/>
            <family val="2"/>
          </rPr>
          <t>Assumes 25% paper, 75% board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B4C6C1B7-7C4E-470E-8021-5B0FE5EB03BB}">
      <text>
        <r>
          <rPr>
            <sz val="8"/>
            <color indexed="81"/>
            <rFont val="Arial"/>
            <family val="2"/>
          </rPr>
          <t>Responsibility for the waste must be assigned. If GT Group state business unit. If subcontractor responsible for own waste state subcontractor</t>
        </r>
      </text>
    </comment>
    <comment ref="L10" authorId="0" shapeId="0" xr:uid="{3B772F00-A846-46E8-BF00-6CF5993F1776}">
      <text>
        <r>
          <rPr>
            <b/>
            <sz val="10"/>
            <color indexed="81"/>
            <rFont val="Arial"/>
            <family val="2"/>
          </rPr>
          <t>Input recycle rate from transfer station. If unknown leave blank</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21F5E50-77AB-472F-A25E-435FA184A4B2}">
      <text>
        <r>
          <rPr>
            <sz val="8"/>
            <color indexed="81"/>
            <rFont val="Arial"/>
            <family val="2"/>
          </rPr>
          <t>Responsibility for the waste must be assigned. If GT Group state business unit. If subcontractor responsible for own waste state subcontractor</t>
        </r>
      </text>
    </comment>
    <comment ref="L10" authorId="0" shapeId="0" xr:uid="{BFCCB8A0-FAA3-48C5-B2F7-2DB3BA36D18E}">
      <text>
        <r>
          <rPr>
            <b/>
            <sz val="10"/>
            <color indexed="81"/>
            <rFont val="Arial"/>
            <family val="2"/>
          </rPr>
          <t>Input recycle rate from transfer station. If unknown leave blank</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83B158BB-E1D0-4EF2-9A6C-99162BE36DF3}">
      <text>
        <r>
          <rPr>
            <sz val="8"/>
            <color indexed="81"/>
            <rFont val="Arial"/>
            <family val="2"/>
          </rPr>
          <t>Responsibility for the waste must be assigned. If GT Group state business unit. If subcontractor responsible for own waste state subcontractor</t>
        </r>
      </text>
    </comment>
    <comment ref="L10" authorId="0" shapeId="0" xr:uid="{CAC92F10-85C2-4B32-804D-CF9E5EB86C6B}">
      <text>
        <r>
          <rPr>
            <b/>
            <sz val="10"/>
            <color indexed="81"/>
            <rFont val="Arial"/>
            <family val="2"/>
          </rPr>
          <t>Input recycle rate from transfer station. If unknown leave blank</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9276E005-C490-46ED-9B73-F7E4D3B3A2C4}">
      <text>
        <r>
          <rPr>
            <sz val="8"/>
            <color indexed="81"/>
            <rFont val="Arial"/>
            <family val="2"/>
          </rPr>
          <t>Responsibility for the waste must be assigned. If GT Group state business unit. If subcontractor responsible for own waste state subcontractor</t>
        </r>
      </text>
    </comment>
    <comment ref="L10" authorId="0" shapeId="0" xr:uid="{E593156B-437A-4166-B459-2FE47DD1578A}">
      <text>
        <r>
          <rPr>
            <b/>
            <sz val="10"/>
            <color indexed="81"/>
            <rFont val="Arial"/>
            <family val="2"/>
          </rPr>
          <t>Input recycle rate from transfer station. If unknown leave blank</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0384CDD0-6F06-4496-A266-294228380550}">
      <text>
        <r>
          <rPr>
            <sz val="8"/>
            <color indexed="81"/>
            <rFont val="Arial"/>
            <family val="2"/>
          </rPr>
          <t>Responsibility for the waste must be assigned. If GT Group state business unit. If subcontractor responsible for own waste state subcontractor</t>
        </r>
      </text>
    </comment>
    <comment ref="L10" authorId="0" shapeId="0" xr:uid="{21575558-A5C2-4DFE-A322-8BDB2D5EC376}">
      <text>
        <r>
          <rPr>
            <b/>
            <sz val="10"/>
            <color indexed="81"/>
            <rFont val="Arial"/>
            <family val="2"/>
          </rPr>
          <t>Input recycle rate from transfer station. If unknown leave blank</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05D6F31-9835-4C4C-97CD-C78F45FE5851}">
      <text>
        <r>
          <rPr>
            <sz val="8"/>
            <color indexed="81"/>
            <rFont val="Arial"/>
            <family val="2"/>
          </rPr>
          <t>Responsibility for the waste must be assigned. If GT Group state business unit. If subcontractor responsible for own waste state subcontractor</t>
        </r>
      </text>
    </comment>
    <comment ref="L10" authorId="0" shapeId="0" xr:uid="{04EECBA2-CB64-41EA-9F31-482A85813C8E}">
      <text>
        <r>
          <rPr>
            <b/>
            <sz val="10"/>
            <color indexed="81"/>
            <rFont val="Arial"/>
            <family val="2"/>
          </rPr>
          <t>Input recycle rate from transfer station. If unknown leave blank</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32FB44EB-93ED-47B6-8768-FF735EA35A5E}">
      <text>
        <r>
          <rPr>
            <sz val="8"/>
            <color indexed="81"/>
            <rFont val="Arial"/>
            <family val="2"/>
          </rPr>
          <t>Responsibility for the waste must be assigned. If GT Group state business unit. If subcontractor responsible for own waste state subcontractor</t>
        </r>
      </text>
    </comment>
    <comment ref="L10" authorId="0" shapeId="0" xr:uid="{3DF9C342-4923-4561-91C1-D3CE019DE6D1}">
      <text>
        <r>
          <rPr>
            <b/>
            <sz val="10"/>
            <color indexed="81"/>
            <rFont val="Arial"/>
            <family val="2"/>
          </rPr>
          <t>Input recycle rate from transfer station. If unknown leave blank</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DA39CA2-0E70-4515-A589-A121198BD35B}">
      <text>
        <r>
          <rPr>
            <sz val="8"/>
            <color indexed="81"/>
            <rFont val="Arial"/>
            <family val="2"/>
          </rPr>
          <t>Responsibility for the waste must be assigned. If GT Group state business unit. If subcontractor responsible for own waste state subcontractor</t>
        </r>
      </text>
    </comment>
    <comment ref="L10" authorId="0" shapeId="0" xr:uid="{3449F773-E279-4C53-A350-E348C3230095}">
      <text>
        <r>
          <rPr>
            <b/>
            <sz val="10"/>
            <color indexed="81"/>
            <rFont val="Arial"/>
            <family val="2"/>
          </rPr>
          <t>Input recycle rate from transfer station. If unknown leave blank</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263FE53-9AE3-4E90-ABF3-4FF97B1A4D22}">
      <text>
        <r>
          <rPr>
            <sz val="8"/>
            <color indexed="81"/>
            <rFont val="Arial"/>
            <family val="2"/>
          </rPr>
          <t>Responsibility for the waste must be assigned. If GT Group state business unit. If subcontractor responsible for own waste state subcontractor</t>
        </r>
      </text>
    </comment>
    <comment ref="L10" authorId="0" shapeId="0" xr:uid="{4A325A70-A00A-4B95-BF93-4E730844040F}">
      <text>
        <r>
          <rPr>
            <b/>
            <sz val="10"/>
            <color indexed="81"/>
            <rFont val="Arial"/>
            <family val="2"/>
          </rPr>
          <t>Input recycle rate from transfer station. If unknown leave blank</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E1FC2FE-77D3-45FD-A940-296C77970B30}">
      <text>
        <r>
          <rPr>
            <sz val="8"/>
            <color indexed="81"/>
            <rFont val="Arial"/>
            <family val="2"/>
          </rPr>
          <t>Responsibility for the waste must be assigned. If GT Group state business unit. If subcontractor responsible for own waste state subcontractor</t>
        </r>
      </text>
    </comment>
    <comment ref="L10" authorId="0" shapeId="0" xr:uid="{5742B52A-2FFB-48D8-95C1-7D973AFCDCF8}">
      <text>
        <r>
          <rPr>
            <b/>
            <sz val="10"/>
            <color indexed="81"/>
            <rFont val="Arial"/>
            <family val="2"/>
          </rPr>
          <t>Input recycle rate from transfer station. If unknown leave blank</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FDB10F12-AB63-4A1B-9461-349FD415457B}">
      <text>
        <r>
          <rPr>
            <sz val="8"/>
            <color indexed="81"/>
            <rFont val="Arial"/>
            <family val="2"/>
          </rPr>
          <t>Responsibility for the waste must be assigned. If GT Group state business unit. If subcontractor responsible for own waste state subcontractor</t>
        </r>
      </text>
    </comment>
    <comment ref="L10" authorId="0" shapeId="0" xr:uid="{F0AF603A-50BD-4395-BD5A-FD0D9FE9FE3B}">
      <text>
        <r>
          <rPr>
            <b/>
            <sz val="10"/>
            <color indexed="81"/>
            <rFont val="Arial"/>
            <family val="2"/>
          </rPr>
          <t>Input recycle rate from transfer station. If unknown leave blank</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69F13FFD-C686-4F38-9C03-D45C1DFB577E}">
      <text>
        <r>
          <rPr>
            <sz val="8"/>
            <color indexed="81"/>
            <rFont val="Arial"/>
            <family val="2"/>
          </rPr>
          <t>Responsibility for the waste must be assigned. If GT Group state business unit. If subcontractor responsible for own waste state subcontractor</t>
        </r>
      </text>
    </comment>
    <comment ref="L10" authorId="0" shapeId="0" xr:uid="{3D4B9A17-EE83-4E5E-AF10-EA2100BE7588}">
      <text>
        <r>
          <rPr>
            <b/>
            <sz val="10"/>
            <color indexed="81"/>
            <rFont val="Arial"/>
            <family val="2"/>
          </rPr>
          <t>Input recycle rate from transfer station. If unknown leave blank</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7E45DE3-4090-412E-B339-8E0A566C19DA}">
      <text>
        <r>
          <rPr>
            <sz val="8"/>
            <color indexed="81"/>
            <rFont val="Arial"/>
            <family val="2"/>
          </rPr>
          <t>Responsibility for the waste must be assigned. If GT Group state business unit. If subcontractor responsible for own waste state subcontractor</t>
        </r>
      </text>
    </comment>
    <comment ref="L10" authorId="0" shapeId="0" xr:uid="{EE8AEB82-1BCF-4C3C-B722-B062AB1CF900}">
      <text>
        <r>
          <rPr>
            <b/>
            <sz val="10"/>
            <color indexed="81"/>
            <rFont val="Arial"/>
            <family val="2"/>
          </rPr>
          <t>Input recycle rate from transfer station. If unknown leave blank</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5B4950E-9BA8-4178-88D7-F67AD5E56B7C}">
      <text>
        <r>
          <rPr>
            <sz val="8"/>
            <color indexed="81"/>
            <rFont val="Arial"/>
            <family val="2"/>
          </rPr>
          <t>Responsibility for the waste must be assigned. If GT Group state business unit. If subcontractor responsible for own waste state subcontractor</t>
        </r>
      </text>
    </comment>
    <comment ref="L10" authorId="0" shapeId="0" xr:uid="{A05433FF-668C-46C1-9806-6B2BCCFDE4C6}">
      <text>
        <r>
          <rPr>
            <b/>
            <sz val="10"/>
            <color indexed="81"/>
            <rFont val="Arial"/>
            <family val="2"/>
          </rPr>
          <t>Input recycle rate from transfer station. If unknown leave blank</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3BAFFB4-F81D-42CE-A845-67AFC7B850C2}">
      <text>
        <r>
          <rPr>
            <sz val="8"/>
            <color indexed="81"/>
            <rFont val="Arial"/>
            <family val="2"/>
          </rPr>
          <t>Responsibility for the waste must be assigned. If GT Group state business unit. If subcontractor responsible for own waste state subcontractor</t>
        </r>
      </text>
    </comment>
    <comment ref="L10" authorId="0" shapeId="0" xr:uid="{0693F86E-9A21-4BEA-BA06-DB567E08AC1C}">
      <text>
        <r>
          <rPr>
            <b/>
            <sz val="10"/>
            <color indexed="81"/>
            <rFont val="Arial"/>
            <family val="2"/>
          </rPr>
          <t>Input recycle rate from transfer station. If unknown leave blank</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9B7F1259-D102-430A-8B7F-750DAF6100DB}">
      <text>
        <r>
          <rPr>
            <sz val="8"/>
            <color indexed="81"/>
            <rFont val="Arial"/>
            <family val="2"/>
          </rPr>
          <t>Responsibility for the waste must be assigned. If GT Group state business unit. If subcontractor responsible for own waste state subcontractor</t>
        </r>
      </text>
    </comment>
    <comment ref="L10" authorId="0" shapeId="0" xr:uid="{BD21F51A-3287-4142-B260-69747E9B7B70}">
      <text>
        <r>
          <rPr>
            <b/>
            <sz val="10"/>
            <color indexed="81"/>
            <rFont val="Arial"/>
            <family val="2"/>
          </rPr>
          <t>Input recycle rate from transfer station. If unknown leave blank</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044C068B-D082-4A41-83A0-D1276FA4F95A}">
      <text>
        <r>
          <rPr>
            <sz val="8"/>
            <color indexed="81"/>
            <rFont val="Arial"/>
            <family val="2"/>
          </rPr>
          <t>Responsibility for the waste must be assigned. If GT Group state business unit. If subcontractor responsible for own waste state subcontractor</t>
        </r>
      </text>
    </comment>
    <comment ref="L10" authorId="0" shapeId="0" xr:uid="{58D68975-DF01-4EC7-ACF7-AF7BC2DC6431}">
      <text>
        <r>
          <rPr>
            <b/>
            <sz val="10"/>
            <color indexed="81"/>
            <rFont val="Arial"/>
            <family val="2"/>
          </rPr>
          <t>Input recycle rate from transfer station. If unknown leave blank</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CCB4F2BF-BF02-478C-B66B-50A8AD8F0050}">
      <text>
        <r>
          <rPr>
            <sz val="8"/>
            <color indexed="81"/>
            <rFont val="Arial"/>
            <family val="2"/>
          </rPr>
          <t>Responsibility for the waste must be assigned. If GT Group state business unit. If subcontractor responsible for own waste state subcontractor</t>
        </r>
      </text>
    </comment>
    <comment ref="L10" authorId="0" shapeId="0" xr:uid="{BBA8DBFC-119C-4F48-9A30-B29AD136B089}">
      <text>
        <r>
          <rPr>
            <b/>
            <sz val="10"/>
            <color indexed="81"/>
            <rFont val="Arial"/>
            <family val="2"/>
          </rPr>
          <t>Input recycle rate from transfer station. If unknown leave blank</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0B6168CA-0165-4868-A438-F769FB120421}">
      <text>
        <r>
          <rPr>
            <sz val="8"/>
            <color indexed="81"/>
            <rFont val="Arial"/>
            <family val="2"/>
          </rPr>
          <t>Responsibility for the waste must be assigned. If GT Group state business unit. If subcontractor responsible for own waste state subcontractor</t>
        </r>
      </text>
    </comment>
    <comment ref="L10" authorId="0" shapeId="0" xr:uid="{A685C757-8061-4F35-BFD2-87F7A72676F8}">
      <text>
        <r>
          <rPr>
            <b/>
            <sz val="10"/>
            <color indexed="81"/>
            <rFont val="Arial"/>
            <family val="2"/>
          </rPr>
          <t>Input recycle rate from transfer station. If unknown leave blank</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C4D3767E-5E99-4351-8828-2D13E4A1F5C8}">
      <text>
        <r>
          <rPr>
            <sz val="8"/>
            <color indexed="81"/>
            <rFont val="Arial"/>
            <family val="2"/>
          </rPr>
          <t>Responsibility for the waste must be assigned. If GT Group state business unit. If subcontractor responsible for own waste state subcontractor</t>
        </r>
      </text>
    </comment>
    <comment ref="L10" authorId="0" shapeId="0" xr:uid="{D3633A06-3353-4142-AA49-7E88CA69BC2C}">
      <text>
        <r>
          <rPr>
            <b/>
            <sz val="10"/>
            <color indexed="81"/>
            <rFont val="Arial"/>
            <family val="2"/>
          </rPr>
          <t>Input recycle rate from transfer station. If unknown leave blank</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BAA36D6-E008-4C4A-85DB-C630F83583F3}">
      <text>
        <r>
          <rPr>
            <sz val="8"/>
            <color indexed="81"/>
            <rFont val="Arial"/>
            <family val="2"/>
          </rPr>
          <t>Responsibility for the waste must be assigned. If GT Group state business unit. If subcontractor responsible for own waste state subcontractor</t>
        </r>
      </text>
    </comment>
    <comment ref="L10" authorId="0" shapeId="0" xr:uid="{85F65037-170F-4A76-B53B-47ADE6AF6B80}">
      <text>
        <r>
          <rPr>
            <b/>
            <sz val="10"/>
            <color indexed="81"/>
            <rFont val="Arial"/>
            <family val="2"/>
          </rPr>
          <t>Input recycle rate from transfer station. If unknown leave blank</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2EA5221-1631-41DD-AED2-0219DFBF066D}">
      <text>
        <r>
          <rPr>
            <sz val="8"/>
            <color indexed="81"/>
            <rFont val="Arial"/>
            <family val="2"/>
          </rPr>
          <t>Responsibility for the waste must be assigned. If GT Group state business unit. If subcontractor responsible for own waste state subcontractor</t>
        </r>
      </text>
    </comment>
    <comment ref="L10" authorId="0" shapeId="0" xr:uid="{900217C7-9548-4800-9480-F46F12F76CD5}">
      <text>
        <r>
          <rPr>
            <b/>
            <sz val="10"/>
            <color indexed="81"/>
            <rFont val="Arial"/>
            <family val="2"/>
          </rPr>
          <t>Input recycle rate from transfer station. If unknown leave blank</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DF43F2F-F62F-43C4-BF89-581B2BE7B0D2}">
      <text>
        <r>
          <rPr>
            <sz val="8"/>
            <color indexed="81"/>
            <rFont val="Arial"/>
            <family val="2"/>
          </rPr>
          <t>Responsibility for the waste must be assigned. If GT Group state business unit. If subcontractor responsible for own waste state subcontractor</t>
        </r>
      </text>
    </comment>
    <comment ref="L10" authorId="0" shapeId="0" xr:uid="{B0CC4089-7A6D-45EE-B910-7F90CABA7DBC}">
      <text>
        <r>
          <rPr>
            <b/>
            <sz val="10"/>
            <color indexed="81"/>
            <rFont val="Arial"/>
            <family val="2"/>
          </rPr>
          <t>Input recycle rate from transfer station. If unknown leave blank</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EEB70B61-8B0B-42B2-A691-B81200BC639E}">
      <text>
        <r>
          <rPr>
            <sz val="8"/>
            <color indexed="81"/>
            <rFont val="Arial"/>
            <family val="2"/>
          </rPr>
          <t>Responsibility for the waste must be assigned. If GT Group state business unit. If subcontractor responsible for own waste state subcontractor</t>
        </r>
      </text>
    </comment>
    <comment ref="L10" authorId="0" shapeId="0" xr:uid="{6EC8293E-B11D-4148-BAF5-CCE9E594C312}">
      <text>
        <r>
          <rPr>
            <b/>
            <sz val="10"/>
            <color indexed="81"/>
            <rFont val="Arial"/>
            <family val="2"/>
          </rPr>
          <t>Input recycle rate from transfer station. If unknown leave blank</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E0AD568E-6347-4F6A-903C-2C335CC59CDA}">
      <text>
        <r>
          <rPr>
            <sz val="8"/>
            <color indexed="81"/>
            <rFont val="Arial"/>
            <family val="2"/>
          </rPr>
          <t>Responsibility for the waste must be assigned. If GT Group state business unit. If subcontractor responsible for own waste state subcontractor</t>
        </r>
      </text>
    </comment>
    <comment ref="L10" authorId="0" shapeId="0" xr:uid="{702725AC-9BA6-4166-A046-7E09C3C1CEC3}">
      <text>
        <r>
          <rPr>
            <b/>
            <sz val="10"/>
            <color indexed="81"/>
            <rFont val="Arial"/>
            <family val="2"/>
          </rPr>
          <t>Input recycle rate from transfer station. If unknown leave blank</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41907942-7460-4AF8-8C5C-646C49394D6F}">
      <text>
        <r>
          <rPr>
            <sz val="8"/>
            <color indexed="81"/>
            <rFont val="Arial"/>
            <family val="2"/>
          </rPr>
          <t>Responsibility for the waste must be assigned. If GT Group state business unit. If subcontractor responsible for own waste state subcontractor</t>
        </r>
      </text>
    </comment>
    <comment ref="L10" authorId="0" shapeId="0" xr:uid="{153EDE5B-4324-4E31-80C1-1BCB222279DF}">
      <text>
        <r>
          <rPr>
            <b/>
            <sz val="10"/>
            <color indexed="81"/>
            <rFont val="Arial"/>
            <family val="2"/>
          </rPr>
          <t>Input recycle rate from transfer station. If unknown leave blank</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6BAB817B-267C-4CA2-A39C-2ED057278AC2}">
      <text>
        <r>
          <rPr>
            <sz val="8"/>
            <color indexed="81"/>
            <rFont val="Arial"/>
            <family val="2"/>
          </rPr>
          <t>Responsibility for the waste must be assigned. If GT Group state business unit. If subcontractor responsible for own waste state subcontractor</t>
        </r>
      </text>
    </comment>
    <comment ref="L10" authorId="0" shapeId="0" xr:uid="{AE0269E1-DDA3-41B6-A2E8-BFB2732BA904}">
      <text>
        <r>
          <rPr>
            <b/>
            <sz val="10"/>
            <color indexed="81"/>
            <rFont val="Arial"/>
            <family val="2"/>
          </rPr>
          <t>Input recycle rate from transfer station. If unknown leave blank</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4EE47CF-4196-4687-8912-A65CF5A12A88}">
      <text>
        <r>
          <rPr>
            <sz val="8"/>
            <color indexed="81"/>
            <rFont val="Arial"/>
            <family val="2"/>
          </rPr>
          <t>Responsibility for the waste must be assigned. If GT Group state business unit. If subcontractor responsible for own waste state subcontractor</t>
        </r>
      </text>
    </comment>
    <comment ref="L10" authorId="0" shapeId="0" xr:uid="{9CB4AC84-FF04-49AA-83CC-13507EDB22DC}">
      <text>
        <r>
          <rPr>
            <b/>
            <sz val="10"/>
            <color indexed="81"/>
            <rFont val="Arial"/>
            <family val="2"/>
          </rPr>
          <t>Input recycle rate from transfer station. If unknown leave blank</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66790317-A6FC-433F-ACBF-D396FEEEE4D7}">
      <text>
        <r>
          <rPr>
            <sz val="8"/>
            <color indexed="81"/>
            <rFont val="Arial"/>
            <family val="2"/>
          </rPr>
          <t>Responsibility for the waste must be assigned. If GT Group state business unit. If subcontractor responsible for own waste state subcontractor</t>
        </r>
      </text>
    </comment>
    <comment ref="L10" authorId="0" shapeId="0" xr:uid="{716DF68F-BBC3-40C7-A3E9-550498C601C3}">
      <text>
        <r>
          <rPr>
            <b/>
            <sz val="10"/>
            <color indexed="81"/>
            <rFont val="Arial"/>
            <family val="2"/>
          </rPr>
          <t>Input recycle rate from transfer station. If unknown leave blank</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DB31A62B-F2B9-4629-9B13-E6F8CFC408FB}">
      <text>
        <r>
          <rPr>
            <sz val="8"/>
            <color indexed="81"/>
            <rFont val="Arial"/>
            <family val="2"/>
          </rPr>
          <t>Responsibility for the waste must be assigned. If GT Group state business unit. If subcontractor responsible for own waste state subcontractor</t>
        </r>
      </text>
    </comment>
    <comment ref="L10" authorId="0" shapeId="0" xr:uid="{8EB97D06-7BE6-480B-8AE9-472854FC304E}">
      <text>
        <r>
          <rPr>
            <b/>
            <sz val="10"/>
            <color indexed="81"/>
            <rFont val="Arial"/>
            <family val="2"/>
          </rPr>
          <t>Input recycle rate from transfer station. If unknown leave blank</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FD0824BD-2777-4895-9DF1-FA271E330A96}">
      <text>
        <r>
          <rPr>
            <sz val="8"/>
            <color indexed="81"/>
            <rFont val="Arial"/>
            <family val="2"/>
          </rPr>
          <t>Responsibility for the waste must be assigned. If GT Group state business unit. If subcontractor responsible for own waste state subcontractor</t>
        </r>
      </text>
    </comment>
    <comment ref="L10" authorId="0" shapeId="0" xr:uid="{72BC5615-5672-45AC-84BE-9057985A5F6B}">
      <text>
        <r>
          <rPr>
            <b/>
            <sz val="10"/>
            <color indexed="81"/>
            <rFont val="Arial"/>
            <family val="2"/>
          </rPr>
          <t>Input recycle rate from transfer station. If unknown leave blank</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7727074-7C80-491E-98E8-1F6E2807BFA4}">
      <text>
        <r>
          <rPr>
            <sz val="8"/>
            <color indexed="81"/>
            <rFont val="Arial"/>
            <family val="2"/>
          </rPr>
          <t>Responsibility for the waste must be assigned. If GT Group state business unit. If subcontractor responsible for own waste state subcontractor</t>
        </r>
      </text>
    </comment>
    <comment ref="L10" authorId="0" shapeId="0" xr:uid="{B03C6C45-4800-4672-8431-2B579F722200}">
      <text>
        <r>
          <rPr>
            <b/>
            <sz val="10"/>
            <color indexed="81"/>
            <rFont val="Arial"/>
            <family val="2"/>
          </rPr>
          <t>Input recycle rate from transfer station. If unknown leave blank</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C071F981-88CF-4785-BED2-B9DAE75F682A}">
      <text>
        <r>
          <rPr>
            <sz val="8"/>
            <color indexed="81"/>
            <rFont val="Arial"/>
            <family val="2"/>
          </rPr>
          <t>Responsibility for the waste must be assigned. If GT Group state business unit. If subcontractor responsible for own waste state subcontractor</t>
        </r>
      </text>
    </comment>
    <comment ref="L10" authorId="0" shapeId="0" xr:uid="{207349A1-F740-42C3-AF0E-93DA8E9BA0AB}">
      <text>
        <r>
          <rPr>
            <b/>
            <sz val="10"/>
            <color indexed="81"/>
            <rFont val="Arial"/>
            <family val="2"/>
          </rPr>
          <t>Input recycle rate from transfer station. If unknown leave blank</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76A927B3-5CC7-439B-BCDA-6B11139CF78B}">
      <text>
        <r>
          <rPr>
            <sz val="8"/>
            <color indexed="81"/>
            <rFont val="Arial"/>
            <family val="2"/>
          </rPr>
          <t>Responsibility for the waste must be assigned. If GT Group state business unit. If subcontractor responsible for own waste state subcontractor</t>
        </r>
      </text>
    </comment>
    <comment ref="L10" authorId="0" shapeId="0" xr:uid="{9BB844F9-4EF3-4BE4-AFD6-190C8467998D}">
      <text>
        <r>
          <rPr>
            <b/>
            <sz val="10"/>
            <color indexed="81"/>
            <rFont val="Arial"/>
            <family val="2"/>
          </rPr>
          <t>Input recycle rate from transfer station. If unknown leave blank</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2E88B266-9B55-4390-88D4-40ED9D1763BA}">
      <text>
        <r>
          <rPr>
            <sz val="8"/>
            <color indexed="81"/>
            <rFont val="Arial"/>
            <family val="2"/>
          </rPr>
          <t>Responsibility for the waste must be assigned. If GT Group state business unit. If subcontractor responsible for own waste state subcontractor</t>
        </r>
      </text>
    </comment>
    <comment ref="L10" authorId="0" shapeId="0" xr:uid="{B63CD326-AE02-4B74-A85A-906E22265890}">
      <text>
        <r>
          <rPr>
            <b/>
            <sz val="10"/>
            <color indexed="81"/>
            <rFont val="Arial"/>
            <family val="2"/>
          </rPr>
          <t>Input recycle rate from transfer station. If unknown leave blank</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9814A505-0C04-46F7-BA7C-529CD9044150}">
      <text>
        <r>
          <rPr>
            <sz val="8"/>
            <color indexed="81"/>
            <rFont val="Arial"/>
            <family val="2"/>
          </rPr>
          <t>Responsibility for the waste must be assigned. If GT Group state business unit. If subcontractor responsible for own waste state subcontractor</t>
        </r>
      </text>
    </comment>
    <comment ref="L10" authorId="0" shapeId="0" xr:uid="{A56A2D7E-1BCD-41F5-BE9C-97AD1FB566C3}">
      <text>
        <r>
          <rPr>
            <b/>
            <sz val="10"/>
            <color indexed="81"/>
            <rFont val="Arial"/>
            <family val="2"/>
          </rPr>
          <t>Input recycle rate from transfer station. If unknown leave blank</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EC2C3CE-1070-4254-A7DF-50D9572FD0C8}">
      <text>
        <r>
          <rPr>
            <sz val="8"/>
            <color indexed="81"/>
            <rFont val="Arial"/>
            <family val="2"/>
          </rPr>
          <t>Responsibility for the waste must be assigned. If GT Group state business unit. If subcontractor responsible for own waste state subcontractor</t>
        </r>
      </text>
    </comment>
    <comment ref="L10" authorId="0" shapeId="0" xr:uid="{309D2157-6179-4F00-8F5E-1928983066F7}">
      <text>
        <r>
          <rPr>
            <b/>
            <sz val="10"/>
            <color indexed="81"/>
            <rFont val="Arial"/>
            <family val="2"/>
          </rPr>
          <t>Input recycle rate from transfer station. If unknown leave blank</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4A962A6-1BDB-480C-8999-547F892C6CD8}">
      <text>
        <r>
          <rPr>
            <sz val="8"/>
            <color indexed="81"/>
            <rFont val="Arial"/>
            <family val="2"/>
          </rPr>
          <t>Responsibility for the waste must be assigned. If GT Group state business unit. If subcontractor responsible for own waste state subcontractor</t>
        </r>
      </text>
    </comment>
    <comment ref="L10" authorId="0" shapeId="0" xr:uid="{E90A343A-0A7B-419F-A125-FEFA2A508413}">
      <text>
        <r>
          <rPr>
            <b/>
            <sz val="10"/>
            <color indexed="81"/>
            <rFont val="Arial"/>
            <family val="2"/>
          </rPr>
          <t>Input recycle rate from transfer station. If unknown leave blank</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F4C2CFC7-DCC4-4C28-BB4F-402E4D154ED4}">
      <text>
        <r>
          <rPr>
            <sz val="8"/>
            <color indexed="81"/>
            <rFont val="Arial"/>
            <family val="2"/>
          </rPr>
          <t>Responsibility for the waste must be assigned. If GT Group state business unit. If subcontractor responsible for own waste state subcontractor</t>
        </r>
      </text>
    </comment>
    <comment ref="L10" authorId="0" shapeId="0" xr:uid="{F815D0B2-0DB8-43B1-B8C8-D63F6CD2FE83}">
      <text>
        <r>
          <rPr>
            <b/>
            <sz val="10"/>
            <color indexed="81"/>
            <rFont val="Arial"/>
            <family val="2"/>
          </rPr>
          <t>Input recycle rate from transfer station. If unknown leave blank</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2D91F66-5F67-46C6-BACC-EE1ECC137CD6}">
      <text>
        <r>
          <rPr>
            <sz val="8"/>
            <color indexed="81"/>
            <rFont val="Arial"/>
            <family val="2"/>
          </rPr>
          <t>Responsibility for the waste must be assigned. If GT Group state business unit. If subcontractor responsible for own waste state subcontractor</t>
        </r>
      </text>
    </comment>
    <comment ref="L10" authorId="0" shapeId="0" xr:uid="{CF67158E-2E61-4506-B178-92F0D762E80A}">
      <text>
        <r>
          <rPr>
            <b/>
            <sz val="10"/>
            <color indexed="81"/>
            <rFont val="Arial"/>
            <family val="2"/>
          </rPr>
          <t>Input recycle rate from transfer station. If unknown leave blank</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887FD805-668F-4475-B880-D88DB017E43F}">
      <text>
        <r>
          <rPr>
            <sz val="8"/>
            <color indexed="81"/>
            <rFont val="Arial"/>
            <family val="2"/>
          </rPr>
          <t>Responsibility for the waste must be assigned. If GT Group state business unit. If subcontractor responsible for own waste state subcontractor</t>
        </r>
      </text>
    </comment>
    <comment ref="L10" authorId="0" shapeId="0" xr:uid="{5A590B5E-A70D-4DF2-B54A-4D9622887DF0}">
      <text>
        <r>
          <rPr>
            <b/>
            <sz val="10"/>
            <color indexed="81"/>
            <rFont val="Arial"/>
            <family val="2"/>
          </rPr>
          <t>Input recycle rate from transfer station. If unknown leave blank</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652E5F88-6220-4A05-9074-E475BA6948D5}">
      <text>
        <r>
          <rPr>
            <sz val="8"/>
            <color indexed="81"/>
            <rFont val="Arial"/>
            <family val="2"/>
          </rPr>
          <t>Responsibility for the waste must be assigned. If GT Group state business unit. If subcontractor responsible for own waste state subcontractor</t>
        </r>
      </text>
    </comment>
    <comment ref="L10" authorId="0" shapeId="0" xr:uid="{57AF056C-6928-4577-8098-63DA6BD7A758}">
      <text>
        <r>
          <rPr>
            <b/>
            <sz val="10"/>
            <color indexed="81"/>
            <rFont val="Arial"/>
            <family val="2"/>
          </rPr>
          <t>Input recycle rate from transfer station. If unknown leave blank</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88BCE13C-E758-4614-B42C-DFC031A8F4DB}">
      <text>
        <r>
          <rPr>
            <sz val="8"/>
            <color indexed="81"/>
            <rFont val="Arial"/>
            <family val="2"/>
          </rPr>
          <t>Responsibility for the waste must be assigned. If GT Group state business unit. If subcontractor responsible for own waste state subcontractor</t>
        </r>
      </text>
    </comment>
    <comment ref="L10" authorId="0" shapeId="0" xr:uid="{06BCFE12-DC20-42FF-9CF1-75C926BFAB6C}">
      <text>
        <r>
          <rPr>
            <b/>
            <sz val="10"/>
            <color indexed="81"/>
            <rFont val="Arial"/>
            <family val="2"/>
          </rPr>
          <t>Input recycle rate from transfer station. If unknown leave blank</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774DDF1-8BCE-4881-BE9E-16037369FBE0}">
      <text>
        <r>
          <rPr>
            <sz val="8"/>
            <color indexed="81"/>
            <rFont val="Arial"/>
            <family val="2"/>
          </rPr>
          <t>Responsibility for the waste must be assigned. If GT Group state business unit. If subcontractor responsible for own waste state subcontractor</t>
        </r>
      </text>
    </comment>
    <comment ref="L10" authorId="0" shapeId="0" xr:uid="{ED22C65C-F2B0-4582-8C3A-03868D195AF9}">
      <text>
        <r>
          <rPr>
            <b/>
            <sz val="10"/>
            <color indexed="81"/>
            <rFont val="Arial"/>
            <family val="2"/>
          </rPr>
          <t>Input recycle rate from transfer station. If unknown leave blank</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7C7C0318-E073-4964-825A-EA8DD0349A32}">
      <text>
        <r>
          <rPr>
            <sz val="8"/>
            <color indexed="81"/>
            <rFont val="Arial"/>
            <family val="2"/>
          </rPr>
          <t>Responsibility for the waste must be assigned. If GT Group state business unit. If subcontractor responsible for own waste state subcontractor</t>
        </r>
      </text>
    </comment>
    <comment ref="L10" authorId="0" shapeId="0" xr:uid="{DC6C3029-CE97-48B3-9756-9745933129E2}">
      <text>
        <r>
          <rPr>
            <b/>
            <sz val="10"/>
            <color indexed="81"/>
            <rFont val="Arial"/>
            <family val="2"/>
          </rPr>
          <t>Input recycle rate from transfer station. If unknown leave blank</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2EDC537C-DD5A-4C72-A690-572C9E9AD90F}">
      <text>
        <r>
          <rPr>
            <sz val="8"/>
            <color indexed="81"/>
            <rFont val="Arial"/>
            <family val="2"/>
          </rPr>
          <t>Responsibility for the waste must be assigned. If GT Group state business unit. If subcontractor responsible for own waste state subcontractor</t>
        </r>
      </text>
    </comment>
    <comment ref="L10" authorId="0" shapeId="0" xr:uid="{A76A8E81-B612-4161-937D-65B671630B96}">
      <text>
        <r>
          <rPr>
            <b/>
            <sz val="10"/>
            <color indexed="81"/>
            <rFont val="Arial"/>
            <family val="2"/>
          </rPr>
          <t>Input recycle rate from transfer station. If unknown leave blank</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770F57A7-A0E7-49EF-B649-855241EA3468}">
      <text>
        <r>
          <rPr>
            <sz val="8"/>
            <color indexed="81"/>
            <rFont val="Arial"/>
            <family val="2"/>
          </rPr>
          <t>Responsibility for the waste must be assigned. If GT Group state business unit. If subcontractor responsible for own waste state subcontractor</t>
        </r>
      </text>
    </comment>
    <comment ref="L10" authorId="0" shapeId="0" xr:uid="{848C6C15-613A-414E-BB91-E43EA9B27639}">
      <text>
        <r>
          <rPr>
            <b/>
            <sz val="10"/>
            <color indexed="81"/>
            <rFont val="Arial"/>
            <family val="2"/>
          </rPr>
          <t>Input recycle rate from transfer station. If unknown leave blank</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08A19DAE-5165-4BF6-932B-1D5D6B4C6F22}">
      <text>
        <r>
          <rPr>
            <sz val="8"/>
            <color indexed="81"/>
            <rFont val="Arial"/>
            <family val="2"/>
          </rPr>
          <t>Responsibility for the waste must be assigned. If GT Group state business unit. If subcontractor responsible for own waste state subcontractor</t>
        </r>
      </text>
    </comment>
    <comment ref="L10" authorId="0" shapeId="0" xr:uid="{81266B03-89E1-4A3D-B715-AB3477B55841}">
      <text>
        <r>
          <rPr>
            <b/>
            <sz val="10"/>
            <color indexed="81"/>
            <rFont val="Arial"/>
            <family val="2"/>
          </rPr>
          <t>Input recycle rate from transfer station. If unknown leave blank</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41C2EFDE-C27F-41F0-9284-7AAD1436BB40}">
      <text>
        <r>
          <rPr>
            <sz val="8"/>
            <color indexed="81"/>
            <rFont val="Arial"/>
            <family val="2"/>
          </rPr>
          <t>Responsibility for the waste must be assigned. If GT Group state business unit. If subcontractor responsible for own waste state subcontractor</t>
        </r>
      </text>
    </comment>
    <comment ref="L10" authorId="0" shapeId="0" xr:uid="{54D49B9B-EDC3-418A-AA6C-319D9F1678BC}">
      <text>
        <r>
          <rPr>
            <b/>
            <sz val="10"/>
            <color indexed="81"/>
            <rFont val="Arial"/>
            <family val="2"/>
          </rPr>
          <t>Input recycle rate from transfer station. If unknown leave blank</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23DD6F09-CF26-4ADE-B2ED-6F1EEA407CAA}">
      <text>
        <r>
          <rPr>
            <sz val="8"/>
            <color indexed="81"/>
            <rFont val="Arial"/>
            <family val="2"/>
          </rPr>
          <t>Responsibility for the waste must be assigned. If GT Group state business unit. If subcontractor responsible for own waste state subcontractor</t>
        </r>
      </text>
    </comment>
    <comment ref="L10" authorId="0" shapeId="0" xr:uid="{C583B919-AACF-4844-AE99-5C72AC6E5DD7}">
      <text>
        <r>
          <rPr>
            <b/>
            <sz val="10"/>
            <color indexed="81"/>
            <rFont val="Arial"/>
            <family val="2"/>
          </rPr>
          <t>Input recycle rate from transfer station. If unknown leave blank</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AAAE6A5E-2992-4655-9693-66760472989D}">
      <text>
        <r>
          <rPr>
            <sz val="8"/>
            <color indexed="81"/>
            <rFont val="Arial"/>
            <family val="2"/>
          </rPr>
          <t>Responsibility for the waste must be assigned. If GT Group state business unit. If subcontractor responsible for own waste state subcontractor</t>
        </r>
      </text>
    </comment>
    <comment ref="L10" authorId="0" shapeId="0" xr:uid="{59020705-0151-4D85-978F-83FBD248FE7B}">
      <text>
        <r>
          <rPr>
            <b/>
            <sz val="10"/>
            <color indexed="81"/>
            <rFont val="Arial"/>
            <family val="2"/>
          </rPr>
          <t>Input recycle rate from transfer station. If unknown leave blank</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C0206BB3-2EEB-4015-85A0-74ADD6B7FA68}">
      <text>
        <r>
          <rPr>
            <sz val="8"/>
            <color indexed="81"/>
            <rFont val="Arial"/>
            <family val="2"/>
          </rPr>
          <t>Responsibility for the waste must be assigned. If GT Group state business unit. If subcontractor responsible for own waste state subcontractor</t>
        </r>
      </text>
    </comment>
    <comment ref="L10" authorId="0" shapeId="0" xr:uid="{2994E5D4-2DC2-4E33-96CF-0901A686F612}">
      <text>
        <r>
          <rPr>
            <b/>
            <sz val="10"/>
            <color indexed="81"/>
            <rFont val="Arial"/>
            <family val="2"/>
          </rPr>
          <t>Input recycle rate from transfer station. If unknown leave blank</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CFC120C1-9F8C-4A4B-A6B1-CA9F389F7B9D}">
      <text>
        <r>
          <rPr>
            <sz val="8"/>
            <color indexed="81"/>
            <rFont val="Arial"/>
            <family val="2"/>
          </rPr>
          <t>Responsibility for the waste must be assigned. If GT Group state business unit. If subcontractor responsible for own waste state subcontractor</t>
        </r>
      </text>
    </comment>
    <comment ref="L10" authorId="0" shapeId="0" xr:uid="{DE0B0E78-4728-4EDF-9BE9-29E269376414}">
      <text>
        <r>
          <rPr>
            <b/>
            <sz val="10"/>
            <color indexed="81"/>
            <rFont val="Arial"/>
            <family val="2"/>
          </rPr>
          <t>Input recycle rate from transfer station. If unknown leave blank</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9853FFF2-A860-45C1-9C10-C8FF688C7C54}">
      <text>
        <r>
          <rPr>
            <sz val="8"/>
            <color indexed="81"/>
            <rFont val="Arial"/>
            <family val="2"/>
          </rPr>
          <t>Responsibility for the waste must be assigned. If GT Group state business unit. If subcontractor responsible for own waste state subcontractor</t>
        </r>
      </text>
    </comment>
    <comment ref="L10" authorId="0" shapeId="0" xr:uid="{6C5413F0-406D-4B41-B16D-77E28667E32D}">
      <text>
        <r>
          <rPr>
            <b/>
            <sz val="10"/>
            <color indexed="81"/>
            <rFont val="Arial"/>
            <family val="2"/>
          </rPr>
          <t>Input recycle rate from transfer station. If unknown leave blank</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9297583-9788-4FB5-86EF-6AD3491816BE}">
      <text>
        <r>
          <rPr>
            <sz val="8"/>
            <color indexed="81"/>
            <rFont val="Arial"/>
            <family val="2"/>
          </rPr>
          <t>Responsibility for the waste must be assigned. If GT Group state business unit. If subcontractor responsible for own waste state subcontractor</t>
        </r>
      </text>
    </comment>
    <comment ref="L10" authorId="0" shapeId="0" xr:uid="{CFA54FEE-91AF-4493-934C-1ACAD7D4DF89}">
      <text>
        <r>
          <rPr>
            <b/>
            <sz val="10"/>
            <color indexed="81"/>
            <rFont val="Arial"/>
            <family val="2"/>
          </rPr>
          <t>Input recycle rate from transfer station. If unknown leave blank</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4F991379-1517-4C10-AEDF-C1751B34B0E4}">
      <text>
        <r>
          <rPr>
            <sz val="8"/>
            <color indexed="81"/>
            <rFont val="Arial"/>
            <family val="2"/>
          </rPr>
          <t>Responsibility for the waste must be assigned. If GT Group state business unit. If subcontractor responsible for own waste state subcontractor</t>
        </r>
      </text>
    </comment>
    <comment ref="L10" authorId="0" shapeId="0" xr:uid="{2FA549CE-ECB6-45B8-B55B-D062DD6BC99E}">
      <text>
        <r>
          <rPr>
            <b/>
            <sz val="10"/>
            <color indexed="81"/>
            <rFont val="Arial"/>
            <family val="2"/>
          </rPr>
          <t>Input recycle rate from transfer station. If unknown leave blank</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5EC22FB0-4AD4-4412-B0AE-E60AD877D224}">
      <text>
        <r>
          <rPr>
            <sz val="8"/>
            <color indexed="81"/>
            <rFont val="Arial"/>
            <family val="2"/>
          </rPr>
          <t>Responsibility for the waste must be assigned. If GT Group state business unit. If subcontractor responsible for own waste state subcontractor</t>
        </r>
      </text>
    </comment>
    <comment ref="L10" authorId="0" shapeId="0" xr:uid="{2D8ED0F7-BA96-4CB3-8E04-AAC6CDE5A2D2}">
      <text>
        <r>
          <rPr>
            <b/>
            <sz val="10"/>
            <color indexed="81"/>
            <rFont val="Arial"/>
            <family val="2"/>
          </rPr>
          <t>Input recycle rate from transfer station. If unknown leave blank</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7F775341-AFA8-4F9F-831B-245901315F2B}">
      <text>
        <r>
          <rPr>
            <sz val="8"/>
            <color indexed="81"/>
            <rFont val="Arial"/>
            <family val="2"/>
          </rPr>
          <t>Responsibility for the waste must be assigned. If GT Group state business unit. If subcontractor responsible for own waste state subcontractor</t>
        </r>
      </text>
    </comment>
    <comment ref="L10" authorId="0" shapeId="0" xr:uid="{3BA9B020-7410-498C-91A1-50EFAB9A19AB}">
      <text>
        <r>
          <rPr>
            <b/>
            <sz val="10"/>
            <color indexed="81"/>
            <rFont val="Arial"/>
            <family val="2"/>
          </rPr>
          <t>Input recycle rate from transfer station. If unknown leave blank</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DC48B7C8-4DFF-42FE-9CAE-E5643C33FA4E}">
      <text>
        <r>
          <rPr>
            <sz val="8"/>
            <color indexed="81"/>
            <rFont val="Arial"/>
            <family val="2"/>
          </rPr>
          <t>Responsibility for the waste must be assigned. If GT Group state business unit. If subcontractor responsible for own waste state subcontractor</t>
        </r>
      </text>
    </comment>
    <comment ref="L10" authorId="0" shapeId="0" xr:uid="{FB0870C9-6322-4656-B58B-82B378DDB10C}">
      <text>
        <r>
          <rPr>
            <b/>
            <sz val="10"/>
            <color indexed="81"/>
            <rFont val="Arial"/>
            <family val="2"/>
          </rPr>
          <t>Input recycle rate from transfer station. If unknown leave blank</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wilkest</author>
  </authors>
  <commentList>
    <comment ref="C7" authorId="0" shapeId="0" xr:uid="{1EF2978D-0D75-4604-A19B-5EF932E98EBC}">
      <text>
        <r>
          <rPr>
            <sz val="8"/>
            <color indexed="81"/>
            <rFont val="Arial"/>
            <family val="2"/>
          </rPr>
          <t>Responsibility for the waste must be assigned. If GT Group state business unit. If subcontractor responsible for own waste state subcontractor</t>
        </r>
      </text>
    </comment>
    <comment ref="L10" authorId="0" shapeId="0" xr:uid="{039A2F41-63F8-40C9-BEDE-0096A3C4146F}">
      <text>
        <r>
          <rPr>
            <b/>
            <sz val="10"/>
            <color indexed="81"/>
            <rFont val="Arial"/>
            <family val="2"/>
          </rPr>
          <t>Input recycle rate from transfer station. If unknown leave blank</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<sst xmlns="http://schemas.openxmlformats.org/spreadsheetml/2006/main" count="6508" uniqueCount="853">
  <si>
    <t>Revision History</t>
  </si>
  <si>
    <t>Prepared by</t>
  </si>
  <si>
    <t>Print Name</t>
  </si>
  <si>
    <t>Signed</t>
  </si>
  <si>
    <t>Date</t>
  </si>
  <si>
    <t>Reviewed by</t>
  </si>
  <si>
    <t>Accepted by</t>
  </si>
  <si>
    <t>Revision</t>
  </si>
  <si>
    <t>Details</t>
  </si>
  <si>
    <t>Originator</t>
  </si>
  <si>
    <t>Approved by</t>
  </si>
  <si>
    <t>The SWMP should be completed in accordance with the guidance in GN-HSE-W01-101</t>
  </si>
  <si>
    <t>Site Waste Management Plan (SWMP) – Project Details</t>
  </si>
  <si>
    <t>Full SWMP is held by the Waste Champion named below.</t>
  </si>
  <si>
    <t>The Client and Principal Contractor named below will take all reasonable steps to ensure that all waste from site will be dealt with in accordance with the Waste Duty of Care in section 34 of the Environmental Protection Act 1990, the Environmental Protection (Duty of Care) Regulations 1991. In addition materials will be handled efficiently and waste managed appropriately</t>
  </si>
  <si>
    <t>Client</t>
  </si>
  <si>
    <t>Clients Agent / Management</t>
  </si>
  <si>
    <t>Principal Contactor</t>
  </si>
  <si>
    <t>Galliford Try</t>
  </si>
  <si>
    <t>Project Title</t>
  </si>
  <si>
    <t>Project Number</t>
  </si>
  <si>
    <t>Project Location</t>
  </si>
  <si>
    <t>Project Value</t>
  </si>
  <si>
    <r>
      <t>Floor Space m</t>
    </r>
    <r>
      <rPr>
        <vertAlign val="superscript"/>
        <sz val="10"/>
        <rFont val="Calibri"/>
        <family val="2"/>
        <scheme val="minor"/>
      </rPr>
      <t>2</t>
    </r>
  </si>
  <si>
    <t>N/A</t>
  </si>
  <si>
    <t>Start Date</t>
  </si>
  <si>
    <t>Duration</t>
  </si>
  <si>
    <t>Design</t>
  </si>
  <si>
    <t>Design Coordinator</t>
  </si>
  <si>
    <t>TBC</t>
  </si>
  <si>
    <t>Subcontractors</t>
  </si>
  <si>
    <t>TBC (Soft Landscaping)</t>
  </si>
  <si>
    <t>TBC  (Hard Landscaping)</t>
  </si>
  <si>
    <t>Contract Manager</t>
  </si>
  <si>
    <t>Tim Bowers</t>
  </si>
  <si>
    <t>Project Manager</t>
  </si>
  <si>
    <t>Person in Charge of Site Works</t>
  </si>
  <si>
    <t>Framework (if applicable)</t>
  </si>
  <si>
    <t>Business Unit</t>
  </si>
  <si>
    <t>Construction - Local Authority</t>
  </si>
  <si>
    <t>Waste Management Champion</t>
  </si>
  <si>
    <t>Divisional KPI's &amp; Targets</t>
  </si>
  <si>
    <t>Target</t>
  </si>
  <si>
    <t>Waste diverted from landfill% (incl soils &amp; stones)</t>
  </si>
  <si>
    <t>Waste diverted from landfill% (excl soils &amp; stones)</t>
  </si>
  <si>
    <t>Total waste generated (incl soils &amp; stones) tonnes per 100k project value</t>
  </si>
  <si>
    <t>Total waste generated (excl soils &amp; stones) tonnes per 100k project value</t>
  </si>
  <si>
    <t>Optional KPI's &amp; Targets (including CSH, BREEAM)</t>
  </si>
  <si>
    <t>Credits / targets for CSH,  BREEAM can be found in relevant scheme manual</t>
  </si>
  <si>
    <t>Additional KPI's / Targets (if different to above)</t>
  </si>
  <si>
    <t>SWMP Waste Performance &amp; Cost Savings</t>
  </si>
  <si>
    <t>Waste Forecast</t>
  </si>
  <si>
    <t>Waste Actual</t>
  </si>
  <si>
    <t>Cost Forecast</t>
  </si>
  <si>
    <t>Cost Actual</t>
  </si>
  <si>
    <t>Landfill Tax Costs Avoided</t>
  </si>
  <si>
    <t>Landfill Tax Costs</t>
  </si>
  <si>
    <r>
      <t>Comments</t>
    </r>
    <r>
      <rPr>
        <sz val="10"/>
        <rFont val="Calibri"/>
        <family val="2"/>
        <scheme val="minor"/>
      </rPr>
      <t xml:space="preserve"> (insert any additional project information e.g. pre demo audit information, lessons learnt etc)</t>
    </r>
  </si>
  <si>
    <t>Identify any lessons learnt from the implementation and the completion of the plan to be used on future projects with regard to waste produced and associated costs</t>
  </si>
  <si>
    <t>Explanation of any deviation and / or revision of the plan during the project - the plan must be reviewed at least every six months</t>
  </si>
  <si>
    <t>Confirmation that the plan has been monitored on a regular basis to ensure that work is progressing according to the plan and that the plan was updated in accordance with the SWMP Regulations</t>
  </si>
  <si>
    <t>Name</t>
  </si>
  <si>
    <t>Organisation</t>
  </si>
  <si>
    <t>Position</t>
  </si>
  <si>
    <t>The GT Group SWMP Template is a bespoke system based on WRAP SWMP Template v2.0. GT Group thanks WRAP for their feedback and assistance during the development of this system. The use of this system by other third parties is subject to the terms and conditions of use set by GT Group HS&amp;E</t>
  </si>
  <si>
    <t>Type of Waste Action</t>
  </si>
  <si>
    <t xml:space="preserve">Material / Waste </t>
  </si>
  <si>
    <t>Action Taken</t>
  </si>
  <si>
    <t>Action owner</t>
  </si>
  <si>
    <t>Waste Management &amp; Recovery - Construction</t>
  </si>
  <si>
    <t>Non Hazardous - Soils &amp; Stones</t>
  </si>
  <si>
    <t>Existing Paving blocks to be offered to client for reuse and recycled off site where possible</t>
  </si>
  <si>
    <t>Metals</t>
  </si>
  <si>
    <t>Wood</t>
  </si>
  <si>
    <t>Packaging</t>
  </si>
  <si>
    <t>Packaging to be recycled where possible</t>
  </si>
  <si>
    <t>Other hazardous waste</t>
  </si>
  <si>
    <r>
      <t>Conversion Calculator - m</t>
    </r>
    <r>
      <rPr>
        <vertAlign val="superscript"/>
        <sz val="14"/>
        <rFont val="Calibri"/>
        <family val="2"/>
        <scheme val="minor"/>
      </rPr>
      <t>3</t>
    </r>
    <r>
      <rPr>
        <sz val="14"/>
        <rFont val="Calibri"/>
        <family val="2"/>
        <scheme val="minor"/>
      </rPr>
      <t xml:space="preserve"> to Tonnes</t>
    </r>
  </si>
  <si>
    <t>Waste Type (pick from list in box below)</t>
  </si>
  <si>
    <r>
      <t>m</t>
    </r>
    <r>
      <rPr>
        <b/>
        <vertAlign val="superscript"/>
        <sz val="10"/>
        <rFont val="Calibri"/>
        <family val="2"/>
        <scheme val="minor"/>
      </rPr>
      <t>3</t>
    </r>
  </si>
  <si>
    <t>Tonnes</t>
  </si>
  <si>
    <r>
      <t>To convert from m</t>
    </r>
    <r>
      <rPr>
        <b/>
        <vertAlign val="superscript"/>
        <sz val="10"/>
        <rFont val="Calibri"/>
        <family val="2"/>
        <scheme val="minor"/>
      </rPr>
      <t>3</t>
    </r>
    <r>
      <rPr>
        <b/>
        <sz val="10"/>
        <rFont val="Calibri"/>
        <family val="2"/>
        <scheme val="minor"/>
      </rPr>
      <t xml:space="preserve"> to tonnes, follow the steps below</t>
    </r>
  </si>
  <si>
    <t>1. Choose a waste type to convert from the drop down menu</t>
  </si>
  <si>
    <r>
      <t>2. Input a volume in m</t>
    </r>
    <r>
      <rPr>
        <vertAlign val="superscript"/>
        <sz val="10"/>
        <rFont val="Calibri"/>
        <family val="2"/>
        <scheme val="minor"/>
      </rPr>
      <t>3</t>
    </r>
  </si>
  <si>
    <t>3. The amount in tonnes will automatically appear in the box marked 'tonnes'</t>
  </si>
  <si>
    <r>
      <t>Conversion Calculator - Tonnes to m</t>
    </r>
    <r>
      <rPr>
        <vertAlign val="superscript"/>
        <sz val="14"/>
        <rFont val="Calibri"/>
        <family val="2"/>
        <scheme val="minor"/>
      </rPr>
      <t>3</t>
    </r>
  </si>
  <si>
    <r>
      <t>To convert from tonnes to m</t>
    </r>
    <r>
      <rPr>
        <b/>
        <vertAlign val="superscript"/>
        <sz val="10"/>
        <rFont val="Calibri"/>
        <family val="2"/>
        <scheme val="minor"/>
      </rPr>
      <t>3</t>
    </r>
    <r>
      <rPr>
        <b/>
        <sz val="10"/>
        <rFont val="Calibri"/>
        <family val="2"/>
        <scheme val="minor"/>
      </rPr>
      <t>, follow the steps below</t>
    </r>
  </si>
  <si>
    <t>2. Input a volume in tonnes</t>
  </si>
  <si>
    <r>
      <t>3. The amount in m</t>
    </r>
    <r>
      <rPr>
        <vertAlign val="superscript"/>
        <sz val="10"/>
        <rFont val="Calibri"/>
        <family val="2"/>
        <scheme val="minor"/>
      </rPr>
      <t>3</t>
    </r>
    <r>
      <rPr>
        <sz val="10"/>
        <rFont val="Calibri"/>
        <family val="2"/>
        <scheme val="minor"/>
      </rPr>
      <t xml:space="preserve"> will automatically appear in the box marked 'm</t>
    </r>
    <r>
      <rPr>
        <vertAlign val="superscript"/>
        <sz val="10"/>
        <rFont val="Calibri"/>
        <family val="2"/>
        <scheme val="minor"/>
      </rPr>
      <t>3</t>
    </r>
    <r>
      <rPr>
        <sz val="10"/>
        <rFont val="Calibri"/>
        <family val="2"/>
        <scheme val="minor"/>
      </rPr>
      <t>'</t>
    </r>
  </si>
  <si>
    <r>
      <t>Conversion Calculator - Container size to m</t>
    </r>
    <r>
      <rPr>
        <vertAlign val="superscript"/>
        <sz val="14"/>
        <rFont val="Calibri"/>
        <family val="2"/>
        <scheme val="minor"/>
      </rPr>
      <t>3</t>
    </r>
  </si>
  <si>
    <t>Container Type (pick from list in box below)</t>
  </si>
  <si>
    <t>Number</t>
  </si>
  <si>
    <t>To convert containers to m3</t>
  </si>
  <si>
    <t>1. Choose a container from the drop down menu</t>
  </si>
  <si>
    <t>2. Enter the number of containers in the 'Number' box</t>
  </si>
  <si>
    <r>
      <t>3. The volume in m</t>
    </r>
    <r>
      <rPr>
        <vertAlign val="superscript"/>
        <sz val="10"/>
        <rFont val="Calibri"/>
        <family val="2"/>
        <scheme val="minor"/>
      </rPr>
      <t>3</t>
    </r>
    <r>
      <rPr>
        <sz val="10"/>
        <rFont val="Calibri"/>
        <family val="2"/>
        <scheme val="minor"/>
      </rPr>
      <t xml:space="preserve"> will automatically appear in the box marked 'm</t>
    </r>
    <r>
      <rPr>
        <vertAlign val="superscript"/>
        <sz val="10"/>
        <rFont val="Calibri"/>
        <family val="2"/>
        <scheme val="minor"/>
      </rPr>
      <t>3</t>
    </r>
    <r>
      <rPr>
        <sz val="10"/>
        <rFont val="Calibri"/>
        <family val="2"/>
        <scheme val="minor"/>
      </rPr>
      <t>'</t>
    </r>
  </si>
  <si>
    <t>Cu Yd.</t>
  </si>
  <si>
    <r>
      <t>Conversion Calculator - Cu Yd. to m</t>
    </r>
    <r>
      <rPr>
        <vertAlign val="superscript"/>
        <sz val="14"/>
        <rFont val="Calibri"/>
        <family val="2"/>
        <scheme val="minor"/>
      </rPr>
      <t>3</t>
    </r>
  </si>
  <si>
    <t>To convert cu yard to m3</t>
  </si>
  <si>
    <t>If the container / wagon / lorry does not appear in the list in the container converter use the converter above</t>
  </si>
  <si>
    <t>1. Obtain the size of the container / wagon / lorry</t>
  </si>
  <si>
    <t>2. Place the volume in cu yards in the box provided</t>
  </si>
  <si>
    <t>Waste Forecast is Non Mandatory - Section to be completed in accordance with contractual and / or Business Unit requirements.</t>
  </si>
  <si>
    <t>RUOS = Re Use Off Site</t>
  </si>
  <si>
    <t>Waste / Material</t>
  </si>
  <si>
    <t>EWC</t>
  </si>
  <si>
    <t>Waste Category</t>
  </si>
  <si>
    <t>Re used on site</t>
  </si>
  <si>
    <t>Re used off site</t>
  </si>
  <si>
    <t>Recycled on site</t>
  </si>
  <si>
    <t xml:space="preserve">Recycled offsite </t>
  </si>
  <si>
    <t>Direct to Landfill</t>
  </si>
  <si>
    <t>Total Disposed to landfill</t>
  </si>
  <si>
    <t>Total - Tonnes (by type)</t>
  </si>
  <si>
    <t>Total Waste - Tonnes (by type)</t>
  </si>
  <si>
    <t>Activity</t>
  </si>
  <si>
    <t>Waste / Material Category</t>
  </si>
  <si>
    <t>Waste / Material Management Options</t>
  </si>
  <si>
    <t>Quantity (Tonnes)</t>
  </si>
  <si>
    <t>Recycled Off Site Recycle Rates</t>
  </si>
  <si>
    <t>Dry Mixed Recyclables (DMR - paper, cardboard, metal, plastic glass)</t>
  </si>
  <si>
    <t>Recycled Off Site - Transfer Station, MRF, EfW</t>
  </si>
  <si>
    <t>Adhesives and sealants (non hazardous)</t>
  </si>
  <si>
    <t>NH</t>
  </si>
  <si>
    <t>Concrete, bricks, tiles and ceramics - Mixed (uncontaminated)</t>
  </si>
  <si>
    <t>Adhesives and sealants containing dangerous substances</t>
  </si>
  <si>
    <t>H</t>
  </si>
  <si>
    <t>Soil and Stones</t>
  </si>
  <si>
    <t>Adhesives and sealants containing organic solvents</t>
  </si>
  <si>
    <t>Bituminous mixtures not containing coal tar</t>
  </si>
  <si>
    <t>Aerosol cans - empty</t>
  </si>
  <si>
    <t>Construction materials containing asbestos</t>
  </si>
  <si>
    <t>Landfill</t>
  </si>
  <si>
    <t>Aerosol cans containing paint or gas</t>
  </si>
  <si>
    <t>Batteries - alkaline</t>
  </si>
  <si>
    <t>Batteries - mercury</t>
  </si>
  <si>
    <t xml:space="preserve">Batteries - Ni-Cd </t>
  </si>
  <si>
    <t>Batteries(Car) - lead acid</t>
  </si>
  <si>
    <t>Bitumen emulsion</t>
  </si>
  <si>
    <t>Bituminous mixtures containing coal tar</t>
  </si>
  <si>
    <t>Bricks</t>
  </si>
  <si>
    <t>I</t>
  </si>
  <si>
    <t>Cables</t>
  </si>
  <si>
    <t>Cables containing oil, coal tar and other dangerous substances</t>
  </si>
  <si>
    <t>Coal tar and tarred products</t>
  </si>
  <si>
    <t>Concrete</t>
  </si>
  <si>
    <t>Concrete, bricks tiles and ceramics - Mixed (contaminated)</t>
  </si>
  <si>
    <t>Construction and demolition wastes - Mixed (contaminated)</t>
  </si>
  <si>
    <t>Construction and demolition wastes - Mixed (uncontaminated)</t>
  </si>
  <si>
    <t>Construction and demolition wastes containing mercury</t>
  </si>
  <si>
    <t>Construction and demolition wastes containing PCB</t>
  </si>
  <si>
    <t>Dredging spoil (uncontaminated)</t>
  </si>
  <si>
    <t>Dredging spoil containing dangerous substances</t>
  </si>
  <si>
    <t>Electrical equipment (non hazardous)</t>
  </si>
  <si>
    <t>Electrical equipment containing CFC's, HFC's &amp; HCFC's</t>
  </si>
  <si>
    <t>Electrical equipment containing dangerous substances</t>
  </si>
  <si>
    <t>Electrical equipment containing PCBs</t>
  </si>
  <si>
    <t>Feminine hygiene products</t>
  </si>
  <si>
    <t>Fluorescent tubes and other mercury-containing waste</t>
  </si>
  <si>
    <t>Fridges, freezers containing chlorofluorocarbons</t>
  </si>
  <si>
    <t>Fuel - mixed</t>
  </si>
  <si>
    <t>Fuel - Petrol</t>
  </si>
  <si>
    <t>Fuel, oil and diesel</t>
  </si>
  <si>
    <t>Glass</t>
  </si>
  <si>
    <t>Glass / plastic / wood containing or contaminated with dangerous substances</t>
  </si>
  <si>
    <t>Grit blast waste</t>
  </si>
  <si>
    <t>Grit Blast waste - contaminated</t>
  </si>
  <si>
    <t>Grit chambers and oil/water separators wastes - mixed</t>
  </si>
  <si>
    <t>Gully pot waste</t>
  </si>
  <si>
    <t>Gypsum-based construction materials</t>
  </si>
  <si>
    <t>Gypsum-based construction materials contaminated with dangerous substances</t>
  </si>
  <si>
    <t>Insulating materials (uncontaminated)</t>
  </si>
  <si>
    <t>Insulating materials consisting of or containing dangerous materials</t>
  </si>
  <si>
    <t>Insulating materials containing asbestos</t>
  </si>
  <si>
    <t>Interceptor Sludge - uncontaminated</t>
  </si>
  <si>
    <t>Metal - Aluminium</t>
  </si>
  <si>
    <t>Metal - Copper, bronze, brass</t>
  </si>
  <si>
    <t>Metal - Iron and steel</t>
  </si>
  <si>
    <t>Metal - Lead</t>
  </si>
  <si>
    <t>Metal - mixed</t>
  </si>
  <si>
    <t>Metal - mixed (hazardous)</t>
  </si>
  <si>
    <t>Metal - Tin</t>
  </si>
  <si>
    <t>Metal - Zinc</t>
  </si>
  <si>
    <t>Oil - Engine, Hydraulic, lubricating</t>
  </si>
  <si>
    <t>Oil - hydraulic (biodegradable)</t>
  </si>
  <si>
    <t>Oil - hydraulic (synthetic)</t>
  </si>
  <si>
    <t>Oil - lubricating (biodegradable)</t>
  </si>
  <si>
    <t>Oil - lubricating (synthetic)</t>
  </si>
  <si>
    <t>Oil filters</t>
  </si>
  <si>
    <t>Oil from oil / water separators</t>
  </si>
  <si>
    <t>Oily water from oil / water separators</t>
  </si>
  <si>
    <t>Packaging - Glass</t>
  </si>
  <si>
    <t>Packaging - Metal</t>
  </si>
  <si>
    <t>Packaging - Mixed</t>
  </si>
  <si>
    <t>Packaging - Plastic</t>
  </si>
  <si>
    <t>Packaging - Wood</t>
  </si>
  <si>
    <t>Paint and varnish (non hazardous)</t>
  </si>
  <si>
    <t xml:space="preserve">Paint and varnish containing organic solvents or other dangerous substances </t>
  </si>
  <si>
    <t>Paint or varnish remover (non hazardous)</t>
  </si>
  <si>
    <t>Paint or varnish remover containing organic solvents or other dangerous substances</t>
  </si>
  <si>
    <t>Paper - Office</t>
  </si>
  <si>
    <t>Paper / Cardboard packaging</t>
  </si>
  <si>
    <t>Plastic</t>
  </si>
  <si>
    <t>Printing toner (no hazardous contents)</t>
  </si>
  <si>
    <t>Printing toner containing dangerous substances</t>
  </si>
  <si>
    <t>Sewage effluent</t>
  </si>
  <si>
    <t>Sewage effluent - portaloos (Chemical) / storage tank</t>
  </si>
  <si>
    <t>Site Office / Welfare  waste</t>
  </si>
  <si>
    <t>Soil and stones - Hazardous</t>
  </si>
  <si>
    <t>Soil and Stones - Non hazardous</t>
  </si>
  <si>
    <t>Spill kit (used) pads, socks etc.</t>
  </si>
  <si>
    <t>Tiles and ceramics (uncontaminated)</t>
  </si>
  <si>
    <t>Track ballast (uncontaminated)</t>
  </si>
  <si>
    <t>Track ballast containing dangerous substances</t>
  </si>
  <si>
    <t>Tyres</t>
  </si>
  <si>
    <t>Vegetation</t>
  </si>
  <si>
    <t>Sewage Treatment - Screenings</t>
  </si>
  <si>
    <t>Sewage Treatment – Grit / Sand</t>
  </si>
  <si>
    <t>Sewage Treatment - Sludge</t>
  </si>
  <si>
    <t>Spent activated carbon</t>
  </si>
  <si>
    <t>Water treatment – solid wastes from filtration / screenings</t>
  </si>
  <si>
    <t>Garden &amp; Park waste - non biodegradable</t>
  </si>
  <si>
    <t>Soil and stones - Topsoil / Peat</t>
  </si>
  <si>
    <t>Sewage cleaning waste</t>
  </si>
  <si>
    <t>Acids - Hydrochloric</t>
  </si>
  <si>
    <t>Acids - Other</t>
  </si>
  <si>
    <t>Acids - Sulphuric</t>
  </si>
  <si>
    <t>Alkalis - Calcium Hydroxide</t>
  </si>
  <si>
    <t>Alkalis - Other</t>
  </si>
  <si>
    <t>Textiles</t>
  </si>
  <si>
    <t>EDGH 6-29</t>
  </si>
  <si>
    <t>EDGL 6-29</t>
  </si>
  <si>
    <t>EDW 6-29</t>
  </si>
  <si>
    <t>Total - Tonnes (by waste type)</t>
  </si>
  <si>
    <t>Total Waste - Tonnes (by waste type)</t>
  </si>
  <si>
    <t>Demolition</t>
  </si>
  <si>
    <t>Excavation</t>
  </si>
  <si>
    <t>Construction</t>
  </si>
  <si>
    <t>Sewage effluent - portaloos (Chemical)</t>
  </si>
  <si>
    <t>Soil and Stones - Inert</t>
  </si>
  <si>
    <t>Sewage Cleaning waste</t>
  </si>
  <si>
    <t>Total Material - Tonnes</t>
  </si>
  <si>
    <t>Total Waste - tonnes</t>
  </si>
  <si>
    <t>Total Cost - pounds</t>
  </si>
  <si>
    <t>Total - Haz Waste</t>
  </si>
  <si>
    <t>Total - Non Haz Waste</t>
  </si>
  <si>
    <t>Total - Inert Waste</t>
  </si>
  <si>
    <t>Total - Non Haz &amp; Inert Waste</t>
  </si>
  <si>
    <t>Inert - Construction</t>
  </si>
  <si>
    <t>Non Haz - Construction</t>
  </si>
  <si>
    <t>Inert - Demo</t>
  </si>
  <si>
    <t>Non Haz - Demo</t>
  </si>
  <si>
    <t>KPI Data</t>
  </si>
  <si>
    <t>Total Material</t>
  </si>
  <si>
    <t>Total Waste (excluding reuse / recycled on site)</t>
  </si>
  <si>
    <t>Total Waste (excluding reuse / recycled on site / soils &amp; stones)</t>
  </si>
  <si>
    <t>Total waste to landfill</t>
  </si>
  <si>
    <t>Total waste to landfill (excluding soils &amp; stones)</t>
  </si>
  <si>
    <t>Soils &amp; Stones (Waste ) sent to landfill</t>
  </si>
  <si>
    <t>Soils &amp; Stones (Waste) diverted from landfill</t>
  </si>
  <si>
    <t>Total waste diverted from landfill (incl. soils &amp; stones)</t>
  </si>
  <si>
    <t>Total waste diverted from landfill (excl. soils &amp; stones)</t>
  </si>
  <si>
    <t>Waste diverted from landfill% (including soils &amp; stones)</t>
  </si>
  <si>
    <t>Waste diverted from landfill% (excluding soils &amp; stones)</t>
  </si>
  <si>
    <t>Waste produced (in tonnes) per £100k project value</t>
  </si>
  <si>
    <t>Waste (tonnes) from demolition / deconstruction works sent to landfill</t>
  </si>
  <si>
    <t>Waste (tonnes) from demolition / deconstruction works</t>
  </si>
  <si>
    <t>Waste (tonnes) from demolition / deconstruction works diverted from landfill</t>
  </si>
  <si>
    <t>Waste from demolition / deconstruction works diverted from landfill %</t>
  </si>
  <si>
    <t>Excavated material (tonnes) total</t>
  </si>
  <si>
    <t>Excavated material (tonnes) reused / recycled on site</t>
  </si>
  <si>
    <t>Excavated material reused / recycled on site (%)</t>
  </si>
  <si>
    <t>Inert &amp; Non Haz (excl. landfill) Total</t>
  </si>
  <si>
    <t>Inert &amp; Non Haz (incl. landfill) Total</t>
  </si>
  <si>
    <t>Inert and non-hazardous wastes diverted from landfill (%)</t>
  </si>
  <si>
    <t>Waste produced (in tonnes) per 100m2 floor area</t>
  </si>
  <si>
    <t>Waste to landfill (in tonnes) per 100m2 floor area</t>
  </si>
  <si>
    <t>Waste generated (in tonnes) per unit completed</t>
  </si>
  <si>
    <t>This is a legacy KPI from the housebuilding division. It is now defunct</t>
  </si>
  <si>
    <t>Wastes produced (in tonnes) per £100,000 Direct Build Costs</t>
  </si>
  <si>
    <t>Inert &amp; Non Haz - Construction (excl. landfill) Total</t>
  </si>
  <si>
    <t>Inert &amp; Non Haz - Construction (incl. landfill) Total</t>
  </si>
  <si>
    <t>Non-hazardous waste generated - Construction (in tonnes) per 100m2 floor area</t>
  </si>
  <si>
    <t>Non-hazardous construction waste diverted from landfill %</t>
  </si>
  <si>
    <t>Inert &amp; Non Haz - Demolition (excl. landfill) Total</t>
  </si>
  <si>
    <t>Inert &amp; Non Haz - Demolition (incl. landfill) Total</t>
  </si>
  <si>
    <t>Non-hazardous demolition waste diverted from landfill %</t>
  </si>
  <si>
    <t>Waste removal costs</t>
  </si>
  <si>
    <t>Waste removal costs per unit completed</t>
  </si>
  <si>
    <t>Total  Material Cost</t>
  </si>
  <si>
    <t>Total  Waste Cost</t>
  </si>
  <si>
    <t>Project Name</t>
  </si>
  <si>
    <t>Contract Number</t>
  </si>
  <si>
    <t>Project Start Date</t>
  </si>
  <si>
    <t>Waste Champion</t>
  </si>
  <si>
    <t>Waste Carriers / Brokers / Waste Management Facilities / Part E Returns</t>
  </si>
  <si>
    <t>Waste Carrier</t>
  </si>
  <si>
    <t>Waste Broker (If applicable)</t>
  </si>
  <si>
    <t>Waste Management Facility</t>
  </si>
  <si>
    <t>Waste Stream</t>
  </si>
  <si>
    <r>
      <t>Waste Producer</t>
    </r>
    <r>
      <rPr>
        <sz val="11"/>
        <rFont val="Calibri"/>
        <family val="2"/>
        <scheme val="minor"/>
      </rPr>
      <t xml:space="preserve"> Business Unit or Subcontractor</t>
    </r>
  </si>
  <si>
    <t>Registration No.</t>
  </si>
  <si>
    <t>Expiry Date (dd/mm/yyyy)</t>
  </si>
  <si>
    <t>Date checked with Regulator (dd/mm/yyyy)</t>
  </si>
  <si>
    <t>Type of Site</t>
  </si>
  <si>
    <t>Permit / WML / EASR / 
Exempt No.</t>
  </si>
  <si>
    <t>Copy of Permit / Licence / Exemption obtained?</t>
  </si>
  <si>
    <t>Hazardous Waste</t>
  </si>
  <si>
    <t>Waste Carrier Registration</t>
  </si>
  <si>
    <t>Waste Broker Registration</t>
  </si>
  <si>
    <t>HWCN / SWCN Part E Obtained from Suppler</t>
  </si>
  <si>
    <t>close</t>
  </si>
  <si>
    <t>Error 1</t>
  </si>
  <si>
    <t>Error2</t>
  </si>
  <si>
    <t>Expired</t>
  </si>
  <si>
    <t>Has data</t>
  </si>
  <si>
    <t>NO</t>
  </si>
  <si>
    <t>Road sweepings</t>
  </si>
  <si>
    <t>Sewage Treatment - Sludge destined for offsite treatment</t>
  </si>
  <si>
    <t>Environmental Permits / Licences / Exemptions / Registrations required for site work.</t>
  </si>
  <si>
    <t>Hazardous Waste Premises Notification No. (Wales only)</t>
  </si>
  <si>
    <t>Type of Permitted / Licenced 
/ Exempt / Activity</t>
  </si>
  <si>
    <t>Exemption  Type</t>
  </si>
  <si>
    <t>Exemption Reference</t>
  </si>
  <si>
    <t>Exemption Description</t>
  </si>
  <si>
    <t>Activity on Site Requiring a Permit / Licence / Exemption</t>
  </si>
  <si>
    <t>Waste Type</t>
  </si>
  <si>
    <t>EWC Code</t>
  </si>
  <si>
    <t>Max Quantity of Waste to be used (tonnes)</t>
  </si>
  <si>
    <t>Expiry Date (dd/mm/yyyy) (if applicable)</t>
  </si>
  <si>
    <t>Exemption Tracking is only needs to be completed where you are using waste exemptions and need to record the quantity been reused.. Each waste stream within the exemption needs to be recorded seperately</t>
  </si>
  <si>
    <t>Record Dates and Total Volumes moved on that day in the boxes below (volume in tonnes)</t>
  </si>
  <si>
    <t xml:space="preserve">Waste Exemption </t>
  </si>
  <si>
    <t>Exemption Number</t>
  </si>
  <si>
    <t>Allowable Waste under Exemption (tonnes)</t>
  </si>
  <si>
    <t xml:space="preserve">Red </t>
  </si>
  <si>
    <t>Amber</t>
  </si>
  <si>
    <t>Anticipated</t>
  </si>
  <si>
    <t>Waste Tracking only needs to be completed if there is a contractual requirement to record individual waste movements offsite, it is voluntary for all other projects</t>
  </si>
  <si>
    <t>GT Waste Transfer Note Reference</t>
  </si>
  <si>
    <t>Supplier Transfer Note Reference</t>
  </si>
  <si>
    <t>Weight Taken offsite (tonnes)</t>
  </si>
  <si>
    <t>Date of Transfer</t>
  </si>
  <si>
    <t>Time of Transfer</t>
  </si>
  <si>
    <t>Accepted at 
Disposal Site</t>
  </si>
  <si>
    <t>ViewPoint</t>
  </si>
  <si>
    <t>Client Portal</t>
  </si>
  <si>
    <t>This lookup is used for drop down for EWC codes on the legislative tabs, project culminative, quarterly and monthly tabs. 
Note: Conversion Factor is used in the conversion calculator tab for different material types (uses vlookup and references CF)</t>
  </si>
  <si>
    <t>Various drop down lookups used on several tabs</t>
  </si>
  <si>
    <t>This lookups are used in the conversion calculator as both lookups and arrays for calculations</t>
  </si>
  <si>
    <t xml:space="preserve">This is the KPI lookup on the Project Details page, the information is also used to update the lookups on the Project KPI's Tab. The split between Building, Infrastructure and Specialist Services is not currently used in the tabs. </t>
  </si>
  <si>
    <t xml:space="preserve">This lookup is used in the Legislative Checks Tab to provide the lookup for the exemption type and also the waste exemption description. The description is a lookup from the type. </t>
  </si>
  <si>
    <t xml:space="preserve">This data is used on th Project KPI's reporting tab to generate the two bar charts and the pie chart below. </t>
  </si>
  <si>
    <t>Waste Description</t>
  </si>
  <si>
    <t>Type</t>
  </si>
  <si>
    <t>Conversion Factor</t>
  </si>
  <si>
    <t>Updates</t>
  </si>
  <si>
    <t>Division</t>
  </si>
  <si>
    <t>Container_Size</t>
  </si>
  <si>
    <t>Container_Volume</t>
  </si>
  <si>
    <t>KPI's</t>
  </si>
  <si>
    <t>Exemption Type</t>
  </si>
  <si>
    <t>Description</t>
  </si>
  <si>
    <t>Chart Data</t>
  </si>
  <si>
    <t>Infrastructure</t>
  </si>
  <si>
    <t>Drum 205 ltr</t>
  </si>
  <si>
    <t>KPI list</t>
  </si>
  <si>
    <t>U1</t>
  </si>
  <si>
    <t>Using waste in construction</t>
  </si>
  <si>
    <t>Bar Charts</t>
  </si>
  <si>
    <t>Building</t>
  </si>
  <si>
    <t>Drum 25 ltr</t>
  </si>
  <si>
    <r>
      <t>BRE - Construction waste (tonnes) generated per 100m</t>
    </r>
    <r>
      <rPr>
        <vertAlign val="superscript"/>
        <sz val="10"/>
        <rFont val="Arial"/>
        <family val="2"/>
      </rPr>
      <t>2</t>
    </r>
    <r>
      <rPr>
        <sz val="10"/>
        <rFont val="Arial"/>
        <family val="2"/>
      </rPr>
      <t xml:space="preserve"> gross floor area</t>
    </r>
  </si>
  <si>
    <t>U6</t>
  </si>
  <si>
    <t>Using sludge to ressed a waste water treatment plant</t>
  </si>
  <si>
    <t>Waste diverted from landfill (including soils and stones)%</t>
  </si>
  <si>
    <t>Front-end loader 10 yd3</t>
  </si>
  <si>
    <t>BRE - Construction (non hazardous) waste diverted from landfill %</t>
  </si>
  <si>
    <t>U7</t>
  </si>
  <si>
    <t>using effluence to clean a highway gravel bed</t>
  </si>
  <si>
    <t>Waste Activity</t>
  </si>
  <si>
    <t>Front-end loader 12 yds</t>
  </si>
  <si>
    <t>BRE - Demolition (non hazardous) waste diverted from landfill %</t>
  </si>
  <si>
    <t>U8</t>
  </si>
  <si>
    <t>Using waste for a specific purpose</t>
  </si>
  <si>
    <t>Actual</t>
  </si>
  <si>
    <t>Front-end loader 2 yd3</t>
  </si>
  <si>
    <t>BRE - Excavation (non hazardous) waste diverted from landfill %</t>
  </si>
  <si>
    <t>U10</t>
  </si>
  <si>
    <t>spreading waste to benefit agricultural land</t>
  </si>
  <si>
    <t>Front-end loader 4yd3</t>
  </si>
  <si>
    <t>BRE INF - Waste from demolition / deconstruction works reused on site (%)</t>
  </si>
  <si>
    <t>U12</t>
  </si>
  <si>
    <t>using mulch</t>
  </si>
  <si>
    <t>Waste diverted from landfill (excluding soils and stones)%</t>
  </si>
  <si>
    <t>Front-end loader 6 yd3</t>
  </si>
  <si>
    <t>BRE INF - Excavated material beneficially reused on site (%)</t>
  </si>
  <si>
    <t>S1</t>
  </si>
  <si>
    <t>Storing waste in secure containers</t>
  </si>
  <si>
    <t>Front-end loader 8yds</t>
  </si>
  <si>
    <t>BRE INF - Inert wastes diverted from landfill (%)</t>
  </si>
  <si>
    <t>S2</t>
  </si>
  <si>
    <t>Storing waste at a secure site</t>
  </si>
  <si>
    <t>Waste Forecast Tab Drop Down (Waste Material Options)</t>
  </si>
  <si>
    <t>IBC Container (drum) 1000 ltr</t>
  </si>
  <si>
    <t>BRE INF - Non-hazardous wastes diverted from landfill (%)</t>
  </si>
  <si>
    <t>S3</t>
  </si>
  <si>
    <t>Storing sludge</t>
  </si>
  <si>
    <t>Re Use On Site</t>
  </si>
  <si>
    <t>Midi skip 4 yd3</t>
  </si>
  <si>
    <t>T1</t>
  </si>
  <si>
    <t>Treating certain waste to reuse or recycle</t>
  </si>
  <si>
    <t>Pie Chart</t>
  </si>
  <si>
    <t>Gypsum-based construction materials - Plasterboard</t>
  </si>
  <si>
    <t>Re Use Off Site</t>
  </si>
  <si>
    <t>Midi skip 5 yd3</t>
  </si>
  <si>
    <t>T4</t>
  </si>
  <si>
    <t>Storing and preparing waste for further treatment</t>
  </si>
  <si>
    <t>Soil &amp; stones</t>
  </si>
  <si>
    <t>Recycled On Site</t>
  </si>
  <si>
    <t>Midi skip 6yd3</t>
  </si>
  <si>
    <t>T5</t>
  </si>
  <si>
    <t>Screening and Blending Waste</t>
  </si>
  <si>
    <t>Concrete, Bricks Tiles</t>
  </si>
  <si>
    <t>Mini skip 2 yd3</t>
  </si>
  <si>
    <t>T6</t>
  </si>
  <si>
    <t>Treating waste wood and plant matter</t>
  </si>
  <si>
    <t>Plasterboard</t>
  </si>
  <si>
    <t>Packaging - Contaminated</t>
  </si>
  <si>
    <t>Open RORO 20 yd3</t>
  </si>
  <si>
    <t xml:space="preserve">Diversion from Landfill (%) </t>
  </si>
  <si>
    <t>T9</t>
  </si>
  <si>
    <t>Recovering Scrap Metal</t>
  </si>
  <si>
    <t>Open RORO 25 yd3</t>
  </si>
  <si>
    <t>Wastes produced (in tonnes) per £100k project value</t>
  </si>
  <si>
    <t>T11</t>
  </si>
  <si>
    <t>Repairing or refurbishing waste electrical and electronic equipment</t>
  </si>
  <si>
    <t>Waste Actions Tab Drop Down (Waste Actions)</t>
  </si>
  <si>
    <t>Open RORO 30 yd3</t>
  </si>
  <si>
    <t>T12</t>
  </si>
  <si>
    <t>Manually Treating Waste</t>
  </si>
  <si>
    <t>Dry Mixed Recyclables - DMR</t>
  </si>
  <si>
    <t>Waste Prevention / Reduction - Preconstruction</t>
  </si>
  <si>
    <t>Open RORO 35 yd3</t>
  </si>
  <si>
    <t>T15</t>
  </si>
  <si>
    <t>Treating waste aeresol cans</t>
  </si>
  <si>
    <t>Mixed C&amp;D</t>
  </si>
  <si>
    <t>Site Office / Welfare waste</t>
  </si>
  <si>
    <t>Open RORO 40 yd3</t>
  </si>
  <si>
    <t>T20</t>
  </si>
  <si>
    <t>Treating waste at a water treatment works</t>
  </si>
  <si>
    <t>Open RORO 45 yd3</t>
  </si>
  <si>
    <t>T21</t>
  </si>
  <si>
    <t>Recovering waste at waste water treatment works</t>
  </si>
  <si>
    <t>Soil and stones - Clean subsoil</t>
  </si>
  <si>
    <t>Waste Actions Tab Drop Down (Materials Used)</t>
  </si>
  <si>
    <t>Rear-end loader 10 yd3</t>
  </si>
  <si>
    <t>D1</t>
  </si>
  <si>
    <t>Depositing waste from dredging inland waters</t>
  </si>
  <si>
    <t>Inert - Soil &amp; stones</t>
  </si>
  <si>
    <t>Rear-end loader 12 yds</t>
  </si>
  <si>
    <t>NWFD2</t>
  </si>
  <si>
    <t>Temporary storage where waste is produced</t>
  </si>
  <si>
    <t xml:space="preserve">This data sheet contains all the main lookups and arrays used for the SWMP Version 10. This version has removed two hidden tabs which were also been used for calculations:
1. Chart Data - used for the charts on Project KPI's is now contained within this datasheet. 
2. Calcs - contained historical and out of date cost and landfill tax data for a proposal to have the SWMP include cost data. Proposed in 2016, this was never taken forward, but the tab was never removed. The document itself does have the functionality for cost data within hidden cells.
There are some reporting calcs which are located directly in the tabs themselves for ease. The main ones are in Project Culminative and drive the reporting and project KPI tabs. There is also carbon data within this tab, but in agreement with LCC Team this is not been used. 
Some of the KPI's within the waste forecast sheet, show #REF! errors these relate to old housebuilding KPI's per unit - no longer required. </t>
  </si>
  <si>
    <t>Rear-end loader 14 yd3</t>
  </si>
  <si>
    <t>NWFD3</t>
  </si>
  <si>
    <t>Temporary storage of waste produced somewhere else</t>
  </si>
  <si>
    <t>Hazardous - Soil &amp; stones</t>
  </si>
  <si>
    <t>Rear-end loader 16 yd3</t>
  </si>
  <si>
    <t>NWFD4</t>
  </si>
  <si>
    <t>Temporary storage at a collection point</t>
  </si>
  <si>
    <t>Gypsum</t>
  </si>
  <si>
    <t>Rear-end loader 18 yd3</t>
  </si>
  <si>
    <t>Specialist Services</t>
  </si>
  <si>
    <t>Rear-end loader 20 yd3</t>
  </si>
  <si>
    <t>Paragraph 7</t>
  </si>
  <si>
    <t>The treatment of land for agricultural benefit or ecological improvement</t>
  </si>
  <si>
    <t>Rear-end loader 6 yds</t>
  </si>
  <si>
    <t>Paragraph 8</t>
  </si>
  <si>
    <t>The storage and spreading of sludge</t>
  </si>
  <si>
    <t>Rear-end loader 8 yd3</t>
  </si>
  <si>
    <t>Paragraph 9</t>
  </si>
  <si>
    <t>The reclamation or improvement of land</t>
  </si>
  <si>
    <t>Inert - mixture of concrete, bricks, tiles etc.</t>
  </si>
  <si>
    <t>Skip 10 yd3</t>
  </si>
  <si>
    <t>Paragraph 10</t>
  </si>
  <si>
    <t>Reception and treatment of specified waste at a Water Treatment Works</t>
  </si>
  <si>
    <t>Adhesives and sealants (Non-Hazardous)</t>
  </si>
  <si>
    <t>Plastics</t>
  </si>
  <si>
    <t>Skip 12 yd3</t>
  </si>
  <si>
    <t>Paragraph 11</t>
  </si>
  <si>
    <t>Baling, sorting, shredding etc. of specified wastes</t>
  </si>
  <si>
    <t>Skip 14 yd3</t>
  </si>
  <si>
    <t>Paragraph 12</t>
  </si>
  <si>
    <t>Composting</t>
  </si>
  <si>
    <t>Mixed C&amp;D waste</t>
  </si>
  <si>
    <t>Skip 16 yd3</t>
  </si>
  <si>
    <t>Paragraph 13</t>
  </si>
  <si>
    <t>Manufacture of specified goods from specified wastes</t>
  </si>
  <si>
    <t>Other Non Hazardous waste</t>
  </si>
  <si>
    <t>Skip 20 yd3</t>
  </si>
  <si>
    <t>KPI</t>
  </si>
  <si>
    <t>Paragraph 15</t>
  </si>
  <si>
    <t>Beneficial use of waste without further treatment</t>
  </si>
  <si>
    <t>Skip 8 yd3</t>
  </si>
  <si>
    <t>Paragraph 16</t>
  </si>
  <si>
    <t>The screening of specified wastes</t>
  </si>
  <si>
    <t>Wheeled bin (4 wheels) 1100 ltr</t>
  </si>
  <si>
    <t>Paragraph 17</t>
  </si>
  <si>
    <t>Storage of specified wastes in a secure place</t>
  </si>
  <si>
    <t>Permit Type</t>
  </si>
  <si>
    <t>Wheeled bin (4 wheels) 660 ltr</t>
  </si>
  <si>
    <t>Paragraph 18</t>
  </si>
  <si>
    <t>Secure storage of specified wastes on any premises</t>
  </si>
  <si>
    <t>Environmental Permit</t>
  </si>
  <si>
    <t>Wheeled bin (euro) 120 ltr</t>
  </si>
  <si>
    <t>Paragraph 19</t>
  </si>
  <si>
    <t>Waste for construction and other "relevant work”</t>
  </si>
  <si>
    <t>Environmental Permit Exemption</t>
  </si>
  <si>
    <t>Wheeled bin (euro) 240 ltr</t>
  </si>
  <si>
    <t>Paragraph 21</t>
  </si>
  <si>
    <t>Chipping etc waste plant matter</t>
  </si>
  <si>
    <t>EASR General Binding Rule</t>
  </si>
  <si>
    <t>Wheeled bin (euro) 360 ltr</t>
  </si>
  <si>
    <t>Paragraph 25</t>
  </si>
  <si>
    <t>The deposit of dredging wastes</t>
  </si>
  <si>
    <t>EASR Notification</t>
  </si>
  <si>
    <t>Paragraph 40</t>
  </si>
  <si>
    <t>Secure storage of non-liquid waste other than at the place of production</t>
  </si>
  <si>
    <t>EASR Registration</t>
  </si>
  <si>
    <t>Paragraph 41</t>
  </si>
  <si>
    <t>Temporary storage of waste at the place of production</t>
  </si>
  <si>
    <t>EASR Permit</t>
  </si>
  <si>
    <t>Concrete, bricks tiles and ceramics - Mixed containing dangerous substances</t>
  </si>
  <si>
    <t>Renamed in 2024 for accuracy</t>
  </si>
  <si>
    <t>Construction and demolition wastes - Mixed containing dangerous substances</t>
  </si>
  <si>
    <t>WM Facility</t>
  </si>
  <si>
    <t>Transfer Station</t>
  </si>
  <si>
    <t>Material Recycling Facility</t>
  </si>
  <si>
    <t>Construction materials containing gypsum-based dangerous substances</t>
  </si>
  <si>
    <t>Soil Treatment Centre</t>
  </si>
  <si>
    <t>Dredging spoil (Non-Hazardous)</t>
  </si>
  <si>
    <t>Permit / WML Exempt Site</t>
  </si>
  <si>
    <t>Drilling muds and other drilling wastes containing hazardous substances</t>
  </si>
  <si>
    <t>MH</t>
  </si>
  <si>
    <t>Incineration - EfW</t>
  </si>
  <si>
    <t>Electrical equipment (Non-Hazardous)</t>
  </si>
  <si>
    <t>Other</t>
  </si>
  <si>
    <t>Permit Lookup (Legislative Checks and Hazardous Waste)</t>
  </si>
  <si>
    <t>YES</t>
  </si>
  <si>
    <t>Fresh Water Drilling Muds and Wastes</t>
  </si>
  <si>
    <t>Glass containing or contaminated with dangerous substances</t>
  </si>
  <si>
    <t>Grit Blast waste</t>
  </si>
  <si>
    <t>Grit Blast waste containing dangerous substances</t>
  </si>
  <si>
    <t>Hole Drilling Fluids - Hardened Bentonite containing dangerous substances</t>
  </si>
  <si>
    <t>Added Change Request</t>
  </si>
  <si>
    <t>Hole Drilling Fluids - Hardened Bentonite (Non-Hazardous)</t>
  </si>
  <si>
    <t>Interceptor Sludge (non-hazardous)</t>
  </si>
  <si>
    <t>Metal - mixed containing dangerous substances</t>
  </si>
  <si>
    <t>Oil - containing drilling muds and waste</t>
  </si>
  <si>
    <t>AH</t>
  </si>
  <si>
    <t>Oil - Engine</t>
  </si>
  <si>
    <t>Oil - Hydraulic</t>
  </si>
  <si>
    <t>Oil - lubricating</t>
  </si>
  <si>
    <t>Packaging - Cardboard</t>
  </si>
  <si>
    <t>Packaging - Paper</t>
  </si>
  <si>
    <t>Plastic containing or contaminated with dangerous substances</t>
  </si>
  <si>
    <t>Rock, Sand or Gravel</t>
  </si>
  <si>
    <t>Sewage Treatment - Biological Treatment Sludges of industrial waste water (Non-Hazardous)</t>
  </si>
  <si>
    <t>Sewage Treatment - Biological Treatment Sludges of industrial waste water containing dangerous substances</t>
  </si>
  <si>
    <t>Sewage Treatment - Grease and oil mixture from oil/water separation containing edible oil and fats</t>
  </si>
  <si>
    <t>Sewage Treatment - Grease and oil mixture from oil/water separation containing non-edible oils and fats</t>
  </si>
  <si>
    <t>Sewage Treatment - Membrane system waste containing heavy metals</t>
  </si>
  <si>
    <t>Sewage Treatment - Saturated or spent ion exchange resins</t>
  </si>
  <si>
    <t>Sewage Treatment - Sludge from treatment of waste water</t>
  </si>
  <si>
    <t>Sewage Treatment - Sludges containing dangerous substances</t>
  </si>
  <si>
    <t>Sewage Treatment - Solutions and sludges from regeneration of ion exchangers</t>
  </si>
  <si>
    <t>Site Welfare - Feminine hygiene products</t>
  </si>
  <si>
    <t>Site Welfare - Kitchen / canteen food waste</t>
  </si>
  <si>
    <t>Site Welfare - Printing toner (no hazardous contents)</t>
  </si>
  <si>
    <t>Site Welfare - Printing toner containing dangerous substances</t>
  </si>
  <si>
    <t>Site Welfare - Sewage (Chemical Portaloos)</t>
  </si>
  <si>
    <t>Site Welfare - Sewage (Cleaning Waste)</t>
  </si>
  <si>
    <t>Site Welfare - Sewage (On Site Tank)</t>
  </si>
  <si>
    <t>Site Welfare - Sewage (Septic Tank Sludge)</t>
  </si>
  <si>
    <t>Tiles and ceramics (Non-Hazardous)</t>
  </si>
  <si>
    <t>Track ballast (Non-Hazardous)</t>
  </si>
  <si>
    <t>Unused Products - Inorganic Wastes containing dangerous substances</t>
  </si>
  <si>
    <t>Water Treatment - Saturated or spent ion exchange resins</t>
  </si>
  <si>
    <t>Water Treatment - Sludges from decarbonation</t>
  </si>
  <si>
    <t>Water Treatment - Sludges from water clarification</t>
  </si>
  <si>
    <t>Water treatment – Solid wastes from filtration / screenings</t>
  </si>
  <si>
    <t>Water Treatment - Solutions and sludges from regeneration of ion exchangers</t>
  </si>
  <si>
    <t>Water Treatment - Spent activated carbon</t>
  </si>
  <si>
    <t>Wood containing dangerous substances</t>
  </si>
  <si>
    <t>CF</t>
  </si>
  <si>
    <t>Total Material Produced (tonnes)</t>
  </si>
  <si>
    <t>Total Waste Produced (tonnes)</t>
  </si>
  <si>
    <t>Total Waste to landfill (tonnes)</t>
  </si>
  <si>
    <t>Waste diverted from landfill (incl. soils and stones)%</t>
  </si>
  <si>
    <t>Waste diverted from landfill (excl. soils and stones)%</t>
  </si>
  <si>
    <t>Total waste generated (incl. soils &amp; stones) tonnes per 100k project value</t>
  </si>
  <si>
    <t>Total waste generated (excl. soils &amp; stones) tonnes per 100k project value</t>
  </si>
  <si>
    <t>Optional KP'Is &amp; Targets (including CSH, BREEAM &amp; BREEAM Infrastructure)</t>
  </si>
  <si>
    <t>TOTAL CARBON DIOXIDE (equivalent) EMISSIONS</t>
  </si>
  <si>
    <t>t CO2 eq.</t>
  </si>
  <si>
    <t>Waste Sent off Site for reuse, recycling or disposal (tonnes)</t>
  </si>
  <si>
    <t>Totals</t>
  </si>
  <si>
    <t>Transfer Station / MRF / EFW</t>
  </si>
  <si>
    <t xml:space="preserve">Reused at Permit / WML / Exempt Site </t>
  </si>
  <si>
    <t>Cost of Waste Disposal</t>
  </si>
  <si>
    <t>All Wastes</t>
  </si>
  <si>
    <t>Forecast</t>
  </si>
  <si>
    <t>F</t>
  </si>
  <si>
    <t>A</t>
  </si>
  <si>
    <t>Inert</t>
  </si>
  <si>
    <t>Non-Hazardous</t>
  </si>
  <si>
    <t>Hazardous</t>
  </si>
  <si>
    <t xml:space="preserve">Non-Hazardous </t>
  </si>
  <si>
    <t>Total Wastes</t>
  </si>
  <si>
    <t>Key Waste Streams</t>
  </si>
  <si>
    <t>Soil &amp; stones - Hazardous</t>
  </si>
  <si>
    <t>Soil &amp; stones - Non Hazardous</t>
  </si>
  <si>
    <t xml:space="preserve">Gypsum </t>
  </si>
  <si>
    <t>Mixed Construction &amp; Demolition Waste</t>
  </si>
  <si>
    <t>Paper &amp; Cardboard</t>
  </si>
  <si>
    <t>Other non hazardous wastes</t>
  </si>
  <si>
    <t>Other hazardous wastes</t>
  </si>
  <si>
    <t>Waste Stream Analysis (waste produced)</t>
  </si>
  <si>
    <t>Waste Type (pick from list)</t>
  </si>
  <si>
    <t>Reused on Site</t>
  </si>
  <si>
    <t>Reused off Site</t>
  </si>
  <si>
    <t>Recycled Onsite</t>
  </si>
  <si>
    <t xml:space="preserve">Recycled Offsite </t>
  </si>
  <si>
    <t>Recycled Offsite</t>
  </si>
  <si>
    <t>Disposed to Landfill</t>
  </si>
  <si>
    <t>SITE WASTE DATA SHEET</t>
  </si>
  <si>
    <r>
      <t xml:space="preserve">For guidance on completion of this sheet please refer to </t>
    </r>
    <r>
      <rPr>
        <sz val="10"/>
        <color indexed="12"/>
        <rFont val="Calibri"/>
        <family val="2"/>
        <scheme val="minor"/>
      </rPr>
      <t>GN-HSE-W01-101</t>
    </r>
  </si>
  <si>
    <t>Contract Number:</t>
  </si>
  <si>
    <t>Project value:</t>
  </si>
  <si>
    <t>Project Start Date:</t>
  </si>
  <si>
    <t>MATERIAL</t>
  </si>
  <si>
    <t>Waste Responsibility</t>
  </si>
  <si>
    <t xml:space="preserve">Waste Category </t>
  </si>
  <si>
    <r>
      <t>Total (</t>
    </r>
    <r>
      <rPr>
        <b/>
        <sz val="10"/>
        <color indexed="10"/>
        <rFont val="Calibri"/>
        <family val="2"/>
        <scheme val="minor"/>
      </rPr>
      <t>Tonnes</t>
    </r>
    <r>
      <rPr>
        <b/>
        <sz val="10"/>
        <rFont val="Calibri"/>
        <family val="2"/>
        <scheme val="minor"/>
      </rPr>
      <t>)</t>
    </r>
  </si>
  <si>
    <r>
      <t xml:space="preserve"> CUMULATIVE TOTALS (</t>
    </r>
    <r>
      <rPr>
        <b/>
        <sz val="11"/>
        <color indexed="10"/>
        <rFont val="Calibri"/>
        <family val="2"/>
        <scheme val="minor"/>
      </rPr>
      <t>Tonnes</t>
    </r>
    <r>
      <rPr>
        <b/>
        <sz val="11"/>
        <rFont val="Calibri"/>
        <family val="2"/>
        <scheme val="minor"/>
      </rPr>
      <t>)</t>
    </r>
  </si>
  <si>
    <t>Total Waste - Tonnes (by type</t>
  </si>
  <si>
    <t>Reused on-site</t>
  </si>
  <si>
    <t>Reused off-site</t>
  </si>
  <si>
    <t>Recycled on-site</t>
  </si>
  <si>
    <t>Recycled off-site</t>
  </si>
  <si>
    <t>Total Landfill</t>
  </si>
  <si>
    <t>TOTALS</t>
  </si>
  <si>
    <t>Sewage effluent - portaloos (Chemical) / storage tank#</t>
  </si>
  <si>
    <t>Food - kitchen / canteen waste</t>
  </si>
  <si>
    <t>EBH</t>
  </si>
  <si>
    <t>EBHD</t>
  </si>
  <si>
    <t>EBI</t>
  </si>
  <si>
    <t>EBIND</t>
  </si>
  <si>
    <t>EBJ</t>
  </si>
  <si>
    <t>EBJD</t>
  </si>
  <si>
    <t>EBK</t>
  </si>
  <si>
    <t>EBKD</t>
  </si>
  <si>
    <t>Inert - Exc</t>
  </si>
  <si>
    <t>Non Haz - Exc</t>
  </si>
  <si>
    <t>Inert &amp; Non Haz (excl landfill) Total</t>
  </si>
  <si>
    <t>Inert &amp; Non Haz (incl landfill) Total</t>
  </si>
  <si>
    <t>Inert &amp; Non Haz - Construction (excl landfill) Total</t>
  </si>
  <si>
    <t>Inert &amp; Non Haz - Construction (incl landfill) Total</t>
  </si>
  <si>
    <t>Inert &amp; Non Haz - Demolition (excl landfill) Total</t>
  </si>
  <si>
    <t>Inert &amp; Non Haz - Demolition (incl landfill) Total</t>
  </si>
  <si>
    <t>BRE / CSH - Construction waste (tonnes) generated per 100m2 gross floor area</t>
  </si>
  <si>
    <t>Construction waste (non haz) incl landfill</t>
  </si>
  <si>
    <t>Construction waste (non haz) excl landfill</t>
  </si>
  <si>
    <t>Construction waste</t>
  </si>
  <si>
    <t>Demolition waste (non haz) incl landfill</t>
  </si>
  <si>
    <t>Demolition waste (non haz) excl landfill</t>
  </si>
  <si>
    <t>CEEQ - Waste from demolition / deconstruction works reused on site (%)</t>
  </si>
  <si>
    <t>Excavation waste (non haz) incl landfill</t>
  </si>
  <si>
    <t>CEEQ - Excavated material beneficially reused on site (%)</t>
  </si>
  <si>
    <t>Excavation waste (non haz) excl landfill</t>
  </si>
  <si>
    <t>CEEQ - Inert wastes diverted from landfill (%)</t>
  </si>
  <si>
    <t>CEEQ - Non-hazardous wastes diverted from landfill (%)</t>
  </si>
  <si>
    <t>all demo wastes</t>
  </si>
  <si>
    <t>on site reused / recycled demo wastes</t>
  </si>
  <si>
    <t>Total excavated material</t>
  </si>
  <si>
    <t>reused / recyled onsite excvated</t>
  </si>
  <si>
    <t>Inert waste incl landfill</t>
  </si>
  <si>
    <t>Inert waste excl landfill</t>
  </si>
  <si>
    <t>Non haz waste incl landfill</t>
  </si>
  <si>
    <t>Non haz waste excl landfill</t>
  </si>
  <si>
    <t>Total waste genererated (incl soils &amp; stones) tonnes per 100k project value</t>
  </si>
  <si>
    <t>Total waste genererated (excl soils &amp; stones) tonnes per 100k project value</t>
  </si>
  <si>
    <t>Total Waste (excl reuse)</t>
  </si>
  <si>
    <t>Total Waste (excl reuse / soils &amp; stones)</t>
  </si>
  <si>
    <t>Re-use</t>
  </si>
  <si>
    <t>Open-loop</t>
  </si>
  <si>
    <t>Closed-loop</t>
  </si>
  <si>
    <t>Combustion</t>
  </si>
  <si>
    <t>Anaerobic digestion</t>
  </si>
  <si>
    <t>Recycle</t>
  </si>
  <si>
    <t>Waste carbon impact (kgCO2eq)</t>
  </si>
  <si>
    <t>Waste type</t>
  </si>
  <si>
    <t>Unit</t>
  </si>
  <si>
    <r>
      <t>kg CO</t>
    </r>
    <r>
      <rPr>
        <vertAlign val="subscript"/>
        <sz val="11"/>
        <color indexed="56"/>
        <rFont val="Calibri"/>
        <family val="2"/>
      </rPr>
      <t>2</t>
    </r>
    <r>
      <rPr>
        <sz val="11"/>
        <color indexed="56"/>
        <rFont val="Calibri"/>
        <family val="2"/>
      </rPr>
      <t>e</t>
    </r>
  </si>
  <si>
    <t>kg CO2e</t>
  </si>
  <si>
    <t>Aggregates</t>
  </si>
  <si>
    <t>tonnes</t>
  </si>
  <si>
    <t/>
  </si>
  <si>
    <t>Average construction</t>
  </si>
  <si>
    <t>Asbestos</t>
  </si>
  <si>
    <t>Asphalt</t>
  </si>
  <si>
    <t>Insulation</t>
  </si>
  <si>
    <t>Soils</t>
  </si>
  <si>
    <t>Mineral oil</t>
  </si>
  <si>
    <t>Clothing</t>
  </si>
  <si>
    <t>Municipal waste</t>
  </si>
  <si>
    <t>Organic: food and drink waste</t>
  </si>
  <si>
    <t>Organic: garden waste</t>
  </si>
  <si>
    <t>Organic: mixed food and garden waste</t>
  </si>
  <si>
    <t>Commercial and industrial waste</t>
  </si>
  <si>
    <t>WEEE - mixed</t>
  </si>
  <si>
    <t>Batteries</t>
  </si>
  <si>
    <t>Metal: scrap metal</t>
  </si>
  <si>
    <t>Plastics: average plastics</t>
  </si>
  <si>
    <t>Paper and board: board</t>
  </si>
  <si>
    <t>Paper and board: mixed</t>
  </si>
  <si>
    <t>Paper and board: paper</t>
  </si>
  <si>
    <t>Totals (with CF)</t>
  </si>
  <si>
    <t>Totals (without CF)</t>
  </si>
  <si>
    <r>
      <t xml:space="preserve">For guidance on completion of this sheet please refer to </t>
    </r>
    <r>
      <rPr>
        <sz val="10"/>
        <color theme="4" tint="-0.249977111117893"/>
        <rFont val="Calibri"/>
        <family val="2"/>
        <scheme val="minor"/>
      </rPr>
      <t>GN-HSE-W01-101</t>
    </r>
  </si>
  <si>
    <r>
      <t xml:space="preserve"> Q1 TOTALS (</t>
    </r>
    <r>
      <rPr>
        <b/>
        <sz val="10"/>
        <color indexed="10"/>
        <rFont val="Calibri"/>
        <family val="2"/>
        <scheme val="minor"/>
      </rPr>
      <t>Tonnes</t>
    </r>
    <r>
      <rPr>
        <b/>
        <sz val="10"/>
        <rFont val="Calibri"/>
        <family val="2"/>
        <scheme val="minor"/>
      </rPr>
      <t>) 2026</t>
    </r>
  </si>
  <si>
    <t>Transfer station / MRF / EfW</t>
  </si>
  <si>
    <t>Permit / WML / exempt site</t>
  </si>
  <si>
    <r>
      <t xml:space="preserve"> Q2 TOTALS (</t>
    </r>
    <r>
      <rPr>
        <b/>
        <sz val="10"/>
        <color indexed="10"/>
        <rFont val="Calibri"/>
        <family val="2"/>
        <scheme val="minor"/>
      </rPr>
      <t>Tonnes</t>
    </r>
    <r>
      <rPr>
        <b/>
        <sz val="10"/>
        <rFont val="Calibri"/>
        <family val="2"/>
        <scheme val="minor"/>
      </rPr>
      <t>) 2026</t>
    </r>
  </si>
  <si>
    <r>
      <t xml:space="preserve"> Q3 TOTALS (</t>
    </r>
    <r>
      <rPr>
        <b/>
        <sz val="10"/>
        <color indexed="10"/>
        <rFont val="Calibri"/>
        <family val="2"/>
        <scheme val="minor"/>
      </rPr>
      <t>Tonnes</t>
    </r>
    <r>
      <rPr>
        <b/>
        <sz val="10"/>
        <rFont val="Calibri"/>
        <family val="2"/>
        <scheme val="minor"/>
      </rPr>
      <t>) 2026</t>
    </r>
  </si>
  <si>
    <t>For guidance on completion of this sheet please refer to GN-HSE-W01-101</t>
  </si>
  <si>
    <r>
      <t xml:space="preserve"> Q4 TOTALS (</t>
    </r>
    <r>
      <rPr>
        <b/>
        <sz val="10"/>
        <color indexed="10"/>
        <rFont val="Calibri"/>
        <family val="2"/>
        <scheme val="minor"/>
      </rPr>
      <t>Tonnes</t>
    </r>
    <r>
      <rPr>
        <b/>
        <sz val="10"/>
        <rFont val="Calibri"/>
        <family val="2"/>
        <scheme val="minor"/>
      </rPr>
      <t>) 2026</t>
    </r>
  </si>
  <si>
    <r>
      <t>Totals (</t>
    </r>
    <r>
      <rPr>
        <b/>
        <sz val="10"/>
        <color indexed="10"/>
        <rFont val="Calibri"/>
        <family val="2"/>
        <scheme val="minor"/>
      </rPr>
      <t>tonnes</t>
    </r>
    <r>
      <rPr>
        <b/>
        <sz val="10"/>
        <rFont val="Calibri"/>
        <family val="2"/>
        <scheme val="minor"/>
      </rPr>
      <t>)</t>
    </r>
  </si>
  <si>
    <r>
      <t xml:space="preserve"> MONTHLY TOTALS (</t>
    </r>
    <r>
      <rPr>
        <b/>
        <sz val="10"/>
        <color indexed="10"/>
        <rFont val="Calibri"/>
        <family val="2"/>
        <scheme val="minor"/>
      </rPr>
      <t>tonnes</t>
    </r>
    <r>
      <rPr>
        <b/>
        <sz val="10"/>
        <rFont val="Calibri"/>
        <family val="2"/>
        <scheme val="minor"/>
      </rPr>
      <t>) January 2026</t>
    </r>
  </si>
  <si>
    <t>Reused On-Site</t>
  </si>
  <si>
    <t>Reused Off-Site</t>
  </si>
  <si>
    <t>Recycled On-Site</t>
  </si>
  <si>
    <t>Recycled Off Site</t>
  </si>
  <si>
    <t>Permit / WML or exempt site</t>
  </si>
  <si>
    <t>Transfer Station / MRF / EfW / exempt site</t>
  </si>
  <si>
    <t>Total (incl. landfill)</t>
  </si>
  <si>
    <t>Weight tonnes</t>
  </si>
  <si>
    <t>Recycle Rate</t>
  </si>
  <si>
    <t>Recycled</t>
  </si>
  <si>
    <t>Transfer Recycle</t>
  </si>
  <si>
    <t>Landfill Reuse</t>
  </si>
  <si>
    <t>Landf Tax Calcs</t>
  </si>
  <si>
    <t>Rec / Res</t>
  </si>
  <si>
    <t>Total</t>
  </si>
  <si>
    <r>
      <t xml:space="preserve"> MONTHLY TOTALS (</t>
    </r>
    <r>
      <rPr>
        <b/>
        <sz val="10"/>
        <color indexed="10"/>
        <rFont val="Calibri"/>
        <family val="2"/>
        <scheme val="minor"/>
      </rPr>
      <t>tonnes</t>
    </r>
    <r>
      <rPr>
        <b/>
        <sz val="10"/>
        <rFont val="Calibri"/>
        <family val="2"/>
        <scheme val="minor"/>
      </rPr>
      <t>) February 2026</t>
    </r>
  </si>
  <si>
    <r>
      <t xml:space="preserve"> MONTHLY TOTALS (</t>
    </r>
    <r>
      <rPr>
        <b/>
        <sz val="10"/>
        <color indexed="10"/>
        <rFont val="Calibri"/>
        <family val="2"/>
        <scheme val="minor"/>
      </rPr>
      <t>tonnes</t>
    </r>
    <r>
      <rPr>
        <b/>
        <sz val="10"/>
        <rFont val="Calibri"/>
        <family val="2"/>
        <scheme val="minor"/>
      </rPr>
      <t>) Mar 2026</t>
    </r>
  </si>
  <si>
    <r>
      <t xml:space="preserve"> MONTHLY TOTALS (</t>
    </r>
    <r>
      <rPr>
        <b/>
        <sz val="10"/>
        <color indexed="10"/>
        <rFont val="Calibri"/>
        <family val="2"/>
        <scheme val="minor"/>
      </rPr>
      <t>tonnes</t>
    </r>
    <r>
      <rPr>
        <b/>
        <sz val="10"/>
        <rFont val="Calibri"/>
        <family val="2"/>
        <scheme val="minor"/>
      </rPr>
      <t>) Apr 2026</t>
    </r>
  </si>
  <si>
    <r>
      <t xml:space="preserve"> MONTHLY TOTALS (</t>
    </r>
    <r>
      <rPr>
        <b/>
        <sz val="10"/>
        <color indexed="10"/>
        <rFont val="Calibri"/>
        <family val="2"/>
        <scheme val="minor"/>
      </rPr>
      <t>tonnes</t>
    </r>
    <r>
      <rPr>
        <b/>
        <sz val="10"/>
        <rFont val="Calibri"/>
        <family val="2"/>
        <scheme val="minor"/>
      </rPr>
      <t>) May 2026</t>
    </r>
  </si>
  <si>
    <r>
      <t xml:space="preserve"> MONTHLY TOTALS (</t>
    </r>
    <r>
      <rPr>
        <b/>
        <sz val="10"/>
        <color indexed="10"/>
        <rFont val="Calibri"/>
        <family val="2"/>
        <scheme val="minor"/>
      </rPr>
      <t>tonnes</t>
    </r>
    <r>
      <rPr>
        <b/>
        <sz val="10"/>
        <rFont val="Calibri"/>
        <family val="2"/>
        <scheme val="minor"/>
      </rPr>
      <t>) June 2026</t>
    </r>
  </si>
  <si>
    <r>
      <t xml:space="preserve"> MONTHLY TOTALS (</t>
    </r>
    <r>
      <rPr>
        <b/>
        <sz val="10"/>
        <color indexed="10"/>
        <rFont val="Calibri"/>
        <family val="2"/>
        <scheme val="minor"/>
      </rPr>
      <t>tonnes</t>
    </r>
    <r>
      <rPr>
        <b/>
        <sz val="10"/>
        <rFont val="Calibri"/>
        <family val="2"/>
        <scheme val="minor"/>
      </rPr>
      <t>) July 2026</t>
    </r>
  </si>
  <si>
    <r>
      <t xml:space="preserve"> MONTHLY TOTALS (</t>
    </r>
    <r>
      <rPr>
        <b/>
        <sz val="10"/>
        <color indexed="10"/>
        <rFont val="Calibri"/>
        <family val="2"/>
        <scheme val="minor"/>
      </rPr>
      <t>tonnes</t>
    </r>
    <r>
      <rPr>
        <b/>
        <sz val="10"/>
        <rFont val="Calibri"/>
        <family val="2"/>
        <scheme val="minor"/>
      </rPr>
      <t>) August 2026</t>
    </r>
  </si>
  <si>
    <r>
      <t xml:space="preserve"> MONTHLY TOTALS (</t>
    </r>
    <r>
      <rPr>
        <b/>
        <sz val="10"/>
        <color indexed="10"/>
        <rFont val="Calibri"/>
        <family val="2"/>
        <scheme val="minor"/>
      </rPr>
      <t>tonnes</t>
    </r>
    <r>
      <rPr>
        <b/>
        <sz val="10"/>
        <rFont val="Calibri"/>
        <family val="2"/>
        <scheme val="minor"/>
      </rPr>
      <t>) September 2026</t>
    </r>
  </si>
  <si>
    <r>
      <t xml:space="preserve"> MONTHLY TOTALS (</t>
    </r>
    <r>
      <rPr>
        <b/>
        <sz val="10"/>
        <color indexed="10"/>
        <rFont val="Calibri"/>
        <family val="2"/>
        <scheme val="minor"/>
      </rPr>
      <t>tonnes</t>
    </r>
    <r>
      <rPr>
        <b/>
        <sz val="10"/>
        <rFont val="Calibri"/>
        <family val="2"/>
        <scheme val="minor"/>
      </rPr>
      <t>) October 2026</t>
    </r>
  </si>
  <si>
    <r>
      <t xml:space="preserve"> MONTHLY TOTALS (</t>
    </r>
    <r>
      <rPr>
        <b/>
        <sz val="10"/>
        <color indexed="10"/>
        <rFont val="Calibri"/>
        <family val="2"/>
        <scheme val="minor"/>
      </rPr>
      <t>tonnes</t>
    </r>
    <r>
      <rPr>
        <b/>
        <sz val="10"/>
        <rFont val="Calibri"/>
        <family val="2"/>
        <scheme val="minor"/>
      </rPr>
      <t>) November 2026</t>
    </r>
  </si>
  <si>
    <r>
      <t xml:space="preserve"> MONTHLY TOTALS (</t>
    </r>
    <r>
      <rPr>
        <b/>
        <sz val="10"/>
        <color indexed="10"/>
        <rFont val="Calibri"/>
        <family val="2"/>
        <scheme val="minor"/>
      </rPr>
      <t>tonnes</t>
    </r>
    <r>
      <rPr>
        <b/>
        <sz val="10"/>
        <rFont val="Calibri"/>
        <family val="2"/>
        <scheme val="minor"/>
      </rPr>
      <t>) December 2026</t>
    </r>
  </si>
  <si>
    <r>
      <t xml:space="preserve"> Q1 TOTALS (</t>
    </r>
    <r>
      <rPr>
        <b/>
        <sz val="10"/>
        <color indexed="10"/>
        <rFont val="Calibri"/>
        <family val="2"/>
        <scheme val="minor"/>
      </rPr>
      <t>Tonnes</t>
    </r>
    <r>
      <rPr>
        <b/>
        <sz val="10"/>
        <rFont val="Calibri"/>
        <family val="2"/>
        <scheme val="minor"/>
      </rPr>
      <t>) 2027</t>
    </r>
  </si>
  <si>
    <r>
      <t xml:space="preserve"> Q2 TOTALS (</t>
    </r>
    <r>
      <rPr>
        <b/>
        <sz val="10"/>
        <color indexed="10"/>
        <rFont val="Calibri"/>
        <family val="2"/>
        <scheme val="minor"/>
      </rPr>
      <t>Tonnes</t>
    </r>
    <r>
      <rPr>
        <b/>
        <sz val="10"/>
        <rFont val="Calibri"/>
        <family val="2"/>
        <scheme val="minor"/>
      </rPr>
      <t>) 2027</t>
    </r>
  </si>
  <si>
    <r>
      <t xml:space="preserve"> Q3 TOTALS (</t>
    </r>
    <r>
      <rPr>
        <b/>
        <sz val="10"/>
        <color indexed="10"/>
        <rFont val="Calibri"/>
        <family val="2"/>
        <scheme val="minor"/>
      </rPr>
      <t>Tonnes</t>
    </r>
    <r>
      <rPr>
        <b/>
        <sz val="10"/>
        <rFont val="Calibri"/>
        <family val="2"/>
        <scheme val="minor"/>
      </rPr>
      <t>) 2027</t>
    </r>
  </si>
  <si>
    <r>
      <t xml:space="preserve"> Q4 TOTALS (</t>
    </r>
    <r>
      <rPr>
        <b/>
        <sz val="10"/>
        <color indexed="10"/>
        <rFont val="Calibri"/>
        <family val="2"/>
        <scheme val="minor"/>
      </rPr>
      <t>Tonnes</t>
    </r>
    <r>
      <rPr>
        <b/>
        <sz val="10"/>
        <rFont val="Calibri"/>
        <family val="2"/>
        <scheme val="minor"/>
      </rPr>
      <t>) 2027</t>
    </r>
  </si>
  <si>
    <r>
      <t xml:space="preserve"> MONTHLY TOTALS (</t>
    </r>
    <r>
      <rPr>
        <b/>
        <sz val="10"/>
        <color indexed="10"/>
        <rFont val="Calibri"/>
        <family val="2"/>
        <scheme val="minor"/>
      </rPr>
      <t>tonnes</t>
    </r>
    <r>
      <rPr>
        <b/>
        <sz val="10"/>
        <rFont val="Calibri"/>
        <family val="2"/>
        <scheme val="minor"/>
      </rPr>
      <t>) January 2027</t>
    </r>
  </si>
  <si>
    <r>
      <t xml:space="preserve"> MONTHLY TOTALS (</t>
    </r>
    <r>
      <rPr>
        <b/>
        <sz val="10"/>
        <color indexed="10"/>
        <rFont val="Calibri"/>
        <family val="2"/>
        <scheme val="minor"/>
      </rPr>
      <t>tonnes</t>
    </r>
    <r>
      <rPr>
        <b/>
        <sz val="10"/>
        <rFont val="Calibri"/>
        <family val="2"/>
        <scheme val="minor"/>
      </rPr>
      <t>) February 2027</t>
    </r>
  </si>
  <si>
    <r>
      <t xml:space="preserve"> MONTHLY TOTALS (</t>
    </r>
    <r>
      <rPr>
        <b/>
        <sz val="10"/>
        <color indexed="10"/>
        <rFont val="Calibri"/>
        <family val="2"/>
        <scheme val="minor"/>
      </rPr>
      <t>tonnes</t>
    </r>
    <r>
      <rPr>
        <b/>
        <sz val="10"/>
        <rFont val="Calibri"/>
        <family val="2"/>
        <scheme val="minor"/>
      </rPr>
      <t>) Mar 2027</t>
    </r>
  </si>
  <si>
    <r>
      <t xml:space="preserve"> MONTHLY TOTALS (</t>
    </r>
    <r>
      <rPr>
        <b/>
        <sz val="10"/>
        <color indexed="10"/>
        <rFont val="Calibri"/>
        <family val="2"/>
        <scheme val="minor"/>
      </rPr>
      <t>tonnes</t>
    </r>
    <r>
      <rPr>
        <b/>
        <sz val="10"/>
        <rFont val="Calibri"/>
        <family val="2"/>
        <scheme val="minor"/>
      </rPr>
      <t>) Apr 2027</t>
    </r>
  </si>
  <si>
    <r>
      <t xml:space="preserve"> MONTHLY TOTALS (</t>
    </r>
    <r>
      <rPr>
        <b/>
        <sz val="10"/>
        <color indexed="10"/>
        <rFont val="Calibri"/>
        <family val="2"/>
        <scheme val="minor"/>
      </rPr>
      <t>tonnes</t>
    </r>
    <r>
      <rPr>
        <b/>
        <sz val="10"/>
        <rFont val="Calibri"/>
        <family val="2"/>
        <scheme val="minor"/>
      </rPr>
      <t>) May 2027</t>
    </r>
  </si>
  <si>
    <r>
      <t xml:space="preserve"> MONTHLY TOTALS (</t>
    </r>
    <r>
      <rPr>
        <b/>
        <sz val="10"/>
        <color indexed="10"/>
        <rFont val="Calibri"/>
        <family val="2"/>
        <scheme val="minor"/>
      </rPr>
      <t>tonnes</t>
    </r>
    <r>
      <rPr>
        <b/>
        <sz val="10"/>
        <rFont val="Calibri"/>
        <family val="2"/>
        <scheme val="minor"/>
      </rPr>
      <t>) June 2027</t>
    </r>
  </si>
  <si>
    <r>
      <t xml:space="preserve"> MONTHLY TOTALS (</t>
    </r>
    <r>
      <rPr>
        <b/>
        <sz val="10"/>
        <color indexed="10"/>
        <rFont val="Calibri"/>
        <family val="2"/>
        <scheme val="minor"/>
      </rPr>
      <t>tonnes</t>
    </r>
    <r>
      <rPr>
        <b/>
        <sz val="10"/>
        <rFont val="Calibri"/>
        <family val="2"/>
        <scheme val="minor"/>
      </rPr>
      <t>) July 2027</t>
    </r>
  </si>
  <si>
    <r>
      <t xml:space="preserve"> MONTHLY TOTALS (</t>
    </r>
    <r>
      <rPr>
        <b/>
        <sz val="10"/>
        <color indexed="10"/>
        <rFont val="Calibri"/>
        <family val="2"/>
        <scheme val="minor"/>
      </rPr>
      <t>tonnes</t>
    </r>
    <r>
      <rPr>
        <b/>
        <sz val="10"/>
        <rFont val="Calibri"/>
        <family val="2"/>
        <scheme val="minor"/>
      </rPr>
      <t>) August 2027</t>
    </r>
  </si>
  <si>
    <r>
      <t xml:space="preserve"> MONTHLY TOTALS (</t>
    </r>
    <r>
      <rPr>
        <b/>
        <sz val="10"/>
        <color indexed="10"/>
        <rFont val="Calibri"/>
        <family val="2"/>
        <scheme val="minor"/>
      </rPr>
      <t>tonnes</t>
    </r>
    <r>
      <rPr>
        <b/>
        <sz val="10"/>
        <rFont val="Calibri"/>
        <family val="2"/>
        <scheme val="minor"/>
      </rPr>
      <t>) September 2027</t>
    </r>
  </si>
  <si>
    <r>
      <t xml:space="preserve"> MONTHLY TOTALS (</t>
    </r>
    <r>
      <rPr>
        <b/>
        <sz val="10"/>
        <color indexed="10"/>
        <rFont val="Calibri"/>
        <family val="2"/>
        <scheme val="minor"/>
      </rPr>
      <t>tonnes</t>
    </r>
    <r>
      <rPr>
        <b/>
        <sz val="10"/>
        <rFont val="Calibri"/>
        <family val="2"/>
        <scheme val="minor"/>
      </rPr>
      <t>) October 2027</t>
    </r>
  </si>
  <si>
    <r>
      <t xml:space="preserve"> MONTHLY TOTALS (</t>
    </r>
    <r>
      <rPr>
        <b/>
        <sz val="10"/>
        <color indexed="10"/>
        <rFont val="Calibri"/>
        <family val="2"/>
        <scheme val="minor"/>
      </rPr>
      <t>tonnes</t>
    </r>
    <r>
      <rPr>
        <b/>
        <sz val="10"/>
        <rFont val="Calibri"/>
        <family val="2"/>
        <scheme val="minor"/>
      </rPr>
      <t>) November 2027</t>
    </r>
  </si>
  <si>
    <r>
      <t xml:space="preserve"> MONTHLY TOTALS (</t>
    </r>
    <r>
      <rPr>
        <b/>
        <sz val="10"/>
        <color indexed="10"/>
        <rFont val="Calibri"/>
        <family val="2"/>
        <scheme val="minor"/>
      </rPr>
      <t>tonnes</t>
    </r>
    <r>
      <rPr>
        <b/>
        <sz val="10"/>
        <rFont val="Calibri"/>
        <family val="2"/>
        <scheme val="minor"/>
      </rPr>
      <t>) December 2027</t>
    </r>
  </si>
  <si>
    <r>
      <t xml:space="preserve"> Q1 TOTALS (</t>
    </r>
    <r>
      <rPr>
        <b/>
        <sz val="10"/>
        <color indexed="10"/>
        <rFont val="Calibri"/>
        <family val="2"/>
        <scheme val="minor"/>
      </rPr>
      <t>Tonnes</t>
    </r>
    <r>
      <rPr>
        <b/>
        <sz val="10"/>
        <rFont val="Calibri"/>
        <family val="2"/>
        <scheme val="minor"/>
      </rPr>
      <t>) 2028</t>
    </r>
  </si>
  <si>
    <r>
      <t xml:space="preserve"> Q2 TOTALS (</t>
    </r>
    <r>
      <rPr>
        <b/>
        <sz val="10"/>
        <color indexed="10"/>
        <rFont val="Calibri"/>
        <family val="2"/>
        <scheme val="minor"/>
      </rPr>
      <t>Tonnes</t>
    </r>
    <r>
      <rPr>
        <b/>
        <sz val="10"/>
        <rFont val="Calibri"/>
        <family val="2"/>
        <scheme val="minor"/>
      </rPr>
      <t>) 2028</t>
    </r>
  </si>
  <si>
    <r>
      <t xml:space="preserve"> Q3 TOTALS (</t>
    </r>
    <r>
      <rPr>
        <b/>
        <sz val="10"/>
        <color indexed="10"/>
        <rFont val="Calibri"/>
        <family val="2"/>
        <scheme val="minor"/>
      </rPr>
      <t>Tonnes</t>
    </r>
    <r>
      <rPr>
        <b/>
        <sz val="10"/>
        <rFont val="Calibri"/>
        <family val="2"/>
        <scheme val="minor"/>
      </rPr>
      <t>) 2028</t>
    </r>
  </si>
  <si>
    <r>
      <t xml:space="preserve"> Q4 TOTALS (</t>
    </r>
    <r>
      <rPr>
        <b/>
        <sz val="10"/>
        <color indexed="10"/>
        <rFont val="Calibri"/>
        <family val="2"/>
        <scheme val="minor"/>
      </rPr>
      <t>Tonnes</t>
    </r>
    <r>
      <rPr>
        <b/>
        <sz val="10"/>
        <rFont val="Calibri"/>
        <family val="2"/>
        <scheme val="minor"/>
      </rPr>
      <t>) 2028</t>
    </r>
  </si>
  <si>
    <r>
      <t xml:space="preserve"> MONTHLY TOTALS (</t>
    </r>
    <r>
      <rPr>
        <b/>
        <sz val="10"/>
        <color indexed="10"/>
        <rFont val="Calibri"/>
        <family val="2"/>
        <scheme val="minor"/>
      </rPr>
      <t>tonnes</t>
    </r>
    <r>
      <rPr>
        <b/>
        <sz val="10"/>
        <rFont val="Calibri"/>
        <family val="2"/>
        <scheme val="minor"/>
      </rPr>
      <t>) January 2028</t>
    </r>
  </si>
  <si>
    <r>
      <t xml:space="preserve"> MONTHLY TOTALS (</t>
    </r>
    <r>
      <rPr>
        <b/>
        <sz val="10"/>
        <color indexed="10"/>
        <rFont val="Calibri"/>
        <family val="2"/>
        <scheme val="minor"/>
      </rPr>
      <t>tonnes</t>
    </r>
    <r>
      <rPr>
        <b/>
        <sz val="10"/>
        <rFont val="Calibri"/>
        <family val="2"/>
        <scheme val="minor"/>
      </rPr>
      <t>) February 2028</t>
    </r>
  </si>
  <si>
    <r>
      <t xml:space="preserve"> MONTHLY TOTALS (</t>
    </r>
    <r>
      <rPr>
        <b/>
        <sz val="10"/>
        <color indexed="10"/>
        <rFont val="Calibri"/>
        <family val="2"/>
        <scheme val="minor"/>
      </rPr>
      <t>tonnes</t>
    </r>
    <r>
      <rPr>
        <b/>
        <sz val="10"/>
        <rFont val="Calibri"/>
        <family val="2"/>
        <scheme val="minor"/>
      </rPr>
      <t>) Mar 2028</t>
    </r>
  </si>
  <si>
    <r>
      <t xml:space="preserve"> MONTHLY TOTALS (</t>
    </r>
    <r>
      <rPr>
        <b/>
        <sz val="10"/>
        <color indexed="10"/>
        <rFont val="Calibri"/>
        <family val="2"/>
        <scheme val="minor"/>
      </rPr>
      <t>tonnes</t>
    </r>
    <r>
      <rPr>
        <b/>
        <sz val="10"/>
        <rFont val="Calibri"/>
        <family val="2"/>
        <scheme val="minor"/>
      </rPr>
      <t>) Apr 2028</t>
    </r>
  </si>
  <si>
    <r>
      <t xml:space="preserve"> MONTHLY TOTALS (</t>
    </r>
    <r>
      <rPr>
        <b/>
        <sz val="10"/>
        <color indexed="10"/>
        <rFont val="Calibri"/>
        <family val="2"/>
        <scheme val="minor"/>
      </rPr>
      <t>tonnes</t>
    </r>
    <r>
      <rPr>
        <b/>
        <sz val="10"/>
        <rFont val="Calibri"/>
        <family val="2"/>
        <scheme val="minor"/>
      </rPr>
      <t>) May 2028</t>
    </r>
  </si>
  <si>
    <r>
      <t xml:space="preserve"> MONTHLY TOTALS (</t>
    </r>
    <r>
      <rPr>
        <b/>
        <sz val="10"/>
        <color indexed="10"/>
        <rFont val="Calibri"/>
        <family val="2"/>
        <scheme val="minor"/>
      </rPr>
      <t>tonnes</t>
    </r>
    <r>
      <rPr>
        <b/>
        <sz val="10"/>
        <rFont val="Calibri"/>
        <family val="2"/>
        <scheme val="minor"/>
      </rPr>
      <t>) June 2028</t>
    </r>
  </si>
  <si>
    <r>
      <t xml:space="preserve"> MONTHLY TOTALS (</t>
    </r>
    <r>
      <rPr>
        <b/>
        <sz val="10"/>
        <color indexed="10"/>
        <rFont val="Calibri"/>
        <family val="2"/>
        <scheme val="minor"/>
      </rPr>
      <t>tonnes</t>
    </r>
    <r>
      <rPr>
        <b/>
        <sz val="10"/>
        <rFont val="Calibri"/>
        <family val="2"/>
        <scheme val="minor"/>
      </rPr>
      <t>) July 2028</t>
    </r>
  </si>
  <si>
    <r>
      <t xml:space="preserve"> MONTHLY TOTALS (</t>
    </r>
    <r>
      <rPr>
        <b/>
        <sz val="10"/>
        <color indexed="10"/>
        <rFont val="Calibri"/>
        <family val="2"/>
        <scheme val="minor"/>
      </rPr>
      <t>tonnes</t>
    </r>
    <r>
      <rPr>
        <b/>
        <sz val="10"/>
        <rFont val="Calibri"/>
        <family val="2"/>
        <scheme val="minor"/>
      </rPr>
      <t>) August 2028</t>
    </r>
  </si>
  <si>
    <r>
      <t xml:space="preserve"> MONTHLY TOTALS (</t>
    </r>
    <r>
      <rPr>
        <b/>
        <sz val="10"/>
        <color indexed="10"/>
        <rFont val="Calibri"/>
        <family val="2"/>
        <scheme val="minor"/>
      </rPr>
      <t>tonnes</t>
    </r>
    <r>
      <rPr>
        <b/>
        <sz val="10"/>
        <rFont val="Calibri"/>
        <family val="2"/>
        <scheme val="minor"/>
      </rPr>
      <t>) September 2028</t>
    </r>
  </si>
  <si>
    <r>
      <t xml:space="preserve"> MONTHLY TOTALS (</t>
    </r>
    <r>
      <rPr>
        <b/>
        <sz val="10"/>
        <color indexed="10"/>
        <rFont val="Calibri"/>
        <family val="2"/>
        <scheme val="minor"/>
      </rPr>
      <t>tonnes</t>
    </r>
    <r>
      <rPr>
        <b/>
        <sz val="10"/>
        <rFont val="Calibri"/>
        <family val="2"/>
        <scheme val="minor"/>
      </rPr>
      <t>) October 2028</t>
    </r>
  </si>
  <si>
    <r>
      <t xml:space="preserve"> MONTHLY TOTALS (</t>
    </r>
    <r>
      <rPr>
        <b/>
        <sz val="10"/>
        <color indexed="10"/>
        <rFont val="Calibri"/>
        <family val="2"/>
        <scheme val="minor"/>
      </rPr>
      <t>tonnes</t>
    </r>
    <r>
      <rPr>
        <b/>
        <sz val="10"/>
        <rFont val="Calibri"/>
        <family val="2"/>
        <scheme val="minor"/>
      </rPr>
      <t>) November 2028</t>
    </r>
  </si>
  <si>
    <r>
      <t xml:space="preserve"> MONTHLY TOTALS (</t>
    </r>
    <r>
      <rPr>
        <b/>
        <sz val="10"/>
        <color indexed="10"/>
        <rFont val="Calibri"/>
        <family val="2"/>
        <scheme val="minor"/>
      </rPr>
      <t>tonnes</t>
    </r>
    <r>
      <rPr>
        <b/>
        <sz val="10"/>
        <rFont val="Calibri"/>
        <family val="2"/>
        <scheme val="minor"/>
      </rPr>
      <t>) December 2028</t>
    </r>
  </si>
  <si>
    <r>
      <t xml:space="preserve"> Q1 TOTALS (</t>
    </r>
    <r>
      <rPr>
        <b/>
        <sz val="10"/>
        <color indexed="10"/>
        <rFont val="Calibri"/>
        <family val="2"/>
        <scheme val="minor"/>
      </rPr>
      <t>Tonnes</t>
    </r>
    <r>
      <rPr>
        <b/>
        <sz val="10"/>
        <rFont val="Calibri"/>
        <family val="2"/>
        <scheme val="minor"/>
      </rPr>
      <t>) 2029</t>
    </r>
  </si>
  <si>
    <r>
      <t xml:space="preserve"> Q2 TOTALS (</t>
    </r>
    <r>
      <rPr>
        <b/>
        <sz val="10"/>
        <color indexed="10"/>
        <rFont val="Calibri"/>
        <family val="2"/>
        <scheme val="minor"/>
      </rPr>
      <t>Tonnes</t>
    </r>
    <r>
      <rPr>
        <b/>
        <sz val="10"/>
        <rFont val="Calibri"/>
        <family val="2"/>
        <scheme val="minor"/>
      </rPr>
      <t>) 2029</t>
    </r>
  </si>
  <si>
    <r>
      <t xml:space="preserve"> Q3 TOTALS (</t>
    </r>
    <r>
      <rPr>
        <b/>
        <sz val="10"/>
        <color indexed="10"/>
        <rFont val="Calibri"/>
        <family val="2"/>
        <scheme val="minor"/>
      </rPr>
      <t>Tonnes</t>
    </r>
    <r>
      <rPr>
        <b/>
        <sz val="10"/>
        <rFont val="Calibri"/>
        <family val="2"/>
        <scheme val="minor"/>
      </rPr>
      <t>) 2029</t>
    </r>
  </si>
  <si>
    <r>
      <t xml:space="preserve"> Q4 TOTALS (</t>
    </r>
    <r>
      <rPr>
        <b/>
        <sz val="10"/>
        <color indexed="10"/>
        <rFont val="Calibri"/>
        <family val="2"/>
        <scheme val="minor"/>
      </rPr>
      <t>Tonnes</t>
    </r>
    <r>
      <rPr>
        <b/>
        <sz val="10"/>
        <rFont val="Calibri"/>
        <family val="2"/>
        <scheme val="minor"/>
      </rPr>
      <t>) 2029</t>
    </r>
  </si>
  <si>
    <r>
      <t xml:space="preserve"> MONTHLY TOTALS (</t>
    </r>
    <r>
      <rPr>
        <b/>
        <sz val="10"/>
        <color indexed="10"/>
        <rFont val="Calibri"/>
        <family val="2"/>
        <scheme val="minor"/>
      </rPr>
      <t>tonnes</t>
    </r>
    <r>
      <rPr>
        <b/>
        <sz val="10"/>
        <rFont val="Calibri"/>
        <family val="2"/>
        <scheme val="minor"/>
      </rPr>
      <t>) January 2029</t>
    </r>
  </si>
  <si>
    <r>
      <t xml:space="preserve"> MONTHLY TOTALS (</t>
    </r>
    <r>
      <rPr>
        <b/>
        <sz val="10"/>
        <color indexed="10"/>
        <rFont val="Calibri"/>
        <family val="2"/>
        <scheme val="minor"/>
      </rPr>
      <t>tonnes</t>
    </r>
    <r>
      <rPr>
        <b/>
        <sz val="10"/>
        <rFont val="Calibri"/>
        <family val="2"/>
        <scheme val="minor"/>
      </rPr>
      <t>) February 2029</t>
    </r>
  </si>
  <si>
    <r>
      <t xml:space="preserve"> MONTHLY TOTALS (</t>
    </r>
    <r>
      <rPr>
        <b/>
        <sz val="10"/>
        <color indexed="10"/>
        <rFont val="Calibri"/>
        <family val="2"/>
        <scheme val="minor"/>
      </rPr>
      <t>tonnes</t>
    </r>
    <r>
      <rPr>
        <b/>
        <sz val="10"/>
        <rFont val="Calibri"/>
        <family val="2"/>
        <scheme val="minor"/>
      </rPr>
      <t>) Mar 2029</t>
    </r>
  </si>
  <si>
    <r>
      <t xml:space="preserve"> MONTHLY TOTALS (</t>
    </r>
    <r>
      <rPr>
        <b/>
        <sz val="10"/>
        <color indexed="10"/>
        <rFont val="Calibri"/>
        <family val="2"/>
        <scheme val="minor"/>
      </rPr>
      <t>tonnes</t>
    </r>
    <r>
      <rPr>
        <b/>
        <sz val="10"/>
        <rFont val="Calibri"/>
        <family val="2"/>
        <scheme val="minor"/>
      </rPr>
      <t>) Apr 2029</t>
    </r>
  </si>
  <si>
    <r>
      <t xml:space="preserve"> MONTHLY TOTALS (</t>
    </r>
    <r>
      <rPr>
        <b/>
        <sz val="10"/>
        <color indexed="10"/>
        <rFont val="Calibri"/>
        <family val="2"/>
        <scheme val="minor"/>
      </rPr>
      <t>tonnes</t>
    </r>
    <r>
      <rPr>
        <b/>
        <sz val="10"/>
        <rFont val="Calibri"/>
        <family val="2"/>
        <scheme val="minor"/>
      </rPr>
      <t>) May 2029</t>
    </r>
  </si>
  <si>
    <r>
      <t xml:space="preserve"> MONTHLY TOTALS (</t>
    </r>
    <r>
      <rPr>
        <b/>
        <sz val="10"/>
        <color indexed="10"/>
        <rFont val="Calibri"/>
        <family val="2"/>
        <scheme val="minor"/>
      </rPr>
      <t>tonnes</t>
    </r>
    <r>
      <rPr>
        <b/>
        <sz val="10"/>
        <rFont val="Calibri"/>
        <family val="2"/>
        <scheme val="minor"/>
      </rPr>
      <t>) June 2029</t>
    </r>
  </si>
  <si>
    <r>
      <t xml:space="preserve"> MONTHLY TOTALS (</t>
    </r>
    <r>
      <rPr>
        <b/>
        <sz val="10"/>
        <color indexed="10"/>
        <rFont val="Calibri"/>
        <family val="2"/>
        <scheme val="minor"/>
      </rPr>
      <t>tonnes</t>
    </r>
    <r>
      <rPr>
        <b/>
        <sz val="10"/>
        <rFont val="Calibri"/>
        <family val="2"/>
        <scheme val="minor"/>
      </rPr>
      <t>) July 2029</t>
    </r>
  </si>
  <si>
    <r>
      <t xml:space="preserve"> MONTHLY TOTALS (</t>
    </r>
    <r>
      <rPr>
        <b/>
        <sz val="10"/>
        <color indexed="10"/>
        <rFont val="Calibri"/>
        <family val="2"/>
        <scheme val="minor"/>
      </rPr>
      <t>tonnes</t>
    </r>
    <r>
      <rPr>
        <b/>
        <sz val="10"/>
        <rFont val="Calibri"/>
        <family val="2"/>
        <scheme val="minor"/>
      </rPr>
      <t>) August 2029</t>
    </r>
  </si>
  <si>
    <r>
      <t xml:space="preserve"> MONTHLY TOTALS (</t>
    </r>
    <r>
      <rPr>
        <b/>
        <sz val="10"/>
        <color indexed="10"/>
        <rFont val="Calibri"/>
        <family val="2"/>
        <scheme val="minor"/>
      </rPr>
      <t>tonnes</t>
    </r>
    <r>
      <rPr>
        <b/>
        <sz val="10"/>
        <rFont val="Calibri"/>
        <family val="2"/>
        <scheme val="minor"/>
      </rPr>
      <t>) September 2029</t>
    </r>
  </si>
  <si>
    <r>
      <t xml:space="preserve"> MONTHLY TOTALS (</t>
    </r>
    <r>
      <rPr>
        <b/>
        <sz val="10"/>
        <color indexed="10"/>
        <rFont val="Calibri"/>
        <family val="2"/>
        <scheme val="minor"/>
      </rPr>
      <t>tonnes</t>
    </r>
    <r>
      <rPr>
        <b/>
        <sz val="10"/>
        <rFont val="Calibri"/>
        <family val="2"/>
        <scheme val="minor"/>
      </rPr>
      <t>) October 2029</t>
    </r>
  </si>
  <si>
    <r>
      <t xml:space="preserve"> MONTHLY TOTALS (</t>
    </r>
    <r>
      <rPr>
        <b/>
        <sz val="10"/>
        <color indexed="10"/>
        <rFont val="Calibri"/>
        <family val="2"/>
        <scheme val="minor"/>
      </rPr>
      <t>tonnes</t>
    </r>
    <r>
      <rPr>
        <b/>
        <sz val="10"/>
        <rFont val="Calibri"/>
        <family val="2"/>
        <scheme val="minor"/>
      </rPr>
      <t>) November 2029</t>
    </r>
  </si>
  <si>
    <r>
      <t xml:space="preserve"> MONTHLY TOTALS (</t>
    </r>
    <r>
      <rPr>
        <b/>
        <sz val="10"/>
        <color indexed="10"/>
        <rFont val="Calibri"/>
        <family val="2"/>
        <scheme val="minor"/>
      </rPr>
      <t>tonnes</t>
    </r>
    <r>
      <rPr>
        <b/>
        <sz val="10"/>
        <rFont val="Calibri"/>
        <family val="2"/>
        <scheme val="minor"/>
      </rPr>
      <t>) December 2029</t>
    </r>
  </si>
  <si>
    <r>
      <t xml:space="preserve"> Q1 TOTALS (</t>
    </r>
    <r>
      <rPr>
        <b/>
        <sz val="10"/>
        <color indexed="10"/>
        <rFont val="Calibri"/>
        <family val="2"/>
        <scheme val="minor"/>
      </rPr>
      <t>Tonnes</t>
    </r>
    <r>
      <rPr>
        <b/>
        <sz val="10"/>
        <rFont val="Calibri"/>
        <family val="2"/>
        <scheme val="minor"/>
      </rPr>
      <t>) 2030</t>
    </r>
  </si>
  <si>
    <r>
      <t xml:space="preserve"> Q2 TOTALS (</t>
    </r>
    <r>
      <rPr>
        <b/>
        <sz val="10"/>
        <color indexed="10"/>
        <rFont val="Calibri"/>
        <family val="2"/>
        <scheme val="minor"/>
      </rPr>
      <t>Tonnes</t>
    </r>
    <r>
      <rPr>
        <b/>
        <sz val="10"/>
        <rFont val="Calibri"/>
        <family val="2"/>
        <scheme val="minor"/>
      </rPr>
      <t>) 2030</t>
    </r>
  </si>
  <si>
    <r>
      <t xml:space="preserve"> Q3 TOTALS (</t>
    </r>
    <r>
      <rPr>
        <b/>
        <sz val="10"/>
        <color indexed="10"/>
        <rFont val="Calibri"/>
        <family val="2"/>
        <scheme val="minor"/>
      </rPr>
      <t>Tonnes</t>
    </r>
    <r>
      <rPr>
        <b/>
        <sz val="10"/>
        <rFont val="Calibri"/>
        <family val="2"/>
        <scheme val="minor"/>
      </rPr>
      <t>) 2030</t>
    </r>
  </si>
  <si>
    <r>
      <t xml:space="preserve"> Q4 TOTALS (</t>
    </r>
    <r>
      <rPr>
        <b/>
        <sz val="10"/>
        <color indexed="10"/>
        <rFont val="Calibri"/>
        <family val="2"/>
        <scheme val="minor"/>
      </rPr>
      <t>Tonnes</t>
    </r>
    <r>
      <rPr>
        <b/>
        <sz val="10"/>
        <rFont val="Calibri"/>
        <family val="2"/>
        <scheme val="minor"/>
      </rPr>
      <t>) 2030</t>
    </r>
  </si>
  <si>
    <r>
      <t xml:space="preserve"> MONTHLY TOTALS (</t>
    </r>
    <r>
      <rPr>
        <b/>
        <sz val="10"/>
        <color indexed="10"/>
        <rFont val="Calibri"/>
        <family val="2"/>
        <scheme val="minor"/>
      </rPr>
      <t>tonnes</t>
    </r>
    <r>
      <rPr>
        <b/>
        <sz val="10"/>
        <rFont val="Calibri"/>
        <family val="2"/>
        <scheme val="minor"/>
      </rPr>
      <t>) January 2030</t>
    </r>
  </si>
  <si>
    <r>
      <t xml:space="preserve"> MONTHLY TOTALS (</t>
    </r>
    <r>
      <rPr>
        <b/>
        <sz val="10"/>
        <color indexed="10"/>
        <rFont val="Calibri"/>
        <family val="2"/>
        <scheme val="minor"/>
      </rPr>
      <t>tonnes</t>
    </r>
    <r>
      <rPr>
        <b/>
        <sz val="10"/>
        <rFont val="Calibri"/>
        <family val="2"/>
        <scheme val="minor"/>
      </rPr>
      <t>) February 2030</t>
    </r>
  </si>
  <si>
    <r>
      <t xml:space="preserve"> MONTHLY TOTALS (</t>
    </r>
    <r>
      <rPr>
        <b/>
        <sz val="10"/>
        <color indexed="10"/>
        <rFont val="Calibri"/>
        <family val="2"/>
        <scheme val="minor"/>
      </rPr>
      <t>tonnes</t>
    </r>
    <r>
      <rPr>
        <b/>
        <sz val="10"/>
        <rFont val="Calibri"/>
        <family val="2"/>
        <scheme val="minor"/>
      </rPr>
      <t>) Mar 2030</t>
    </r>
  </si>
  <si>
    <r>
      <t xml:space="preserve"> MONTHLY TOTALS (</t>
    </r>
    <r>
      <rPr>
        <b/>
        <sz val="10"/>
        <color indexed="10"/>
        <rFont val="Calibri"/>
        <family val="2"/>
        <scheme val="minor"/>
      </rPr>
      <t>tonnes</t>
    </r>
    <r>
      <rPr>
        <b/>
        <sz val="10"/>
        <rFont val="Calibri"/>
        <family val="2"/>
        <scheme val="minor"/>
      </rPr>
      <t>) Apr 2030</t>
    </r>
  </si>
  <si>
    <r>
      <t xml:space="preserve"> MONTHLY TOTALS (</t>
    </r>
    <r>
      <rPr>
        <b/>
        <sz val="10"/>
        <color indexed="10"/>
        <rFont val="Calibri"/>
        <family val="2"/>
        <scheme val="minor"/>
      </rPr>
      <t>tonnes</t>
    </r>
    <r>
      <rPr>
        <b/>
        <sz val="10"/>
        <rFont val="Calibri"/>
        <family val="2"/>
        <scheme val="minor"/>
      </rPr>
      <t>) May 2030</t>
    </r>
  </si>
  <si>
    <r>
      <t xml:space="preserve"> MONTHLY TOTALS (</t>
    </r>
    <r>
      <rPr>
        <b/>
        <sz val="10"/>
        <color indexed="10"/>
        <rFont val="Calibri"/>
        <family val="2"/>
        <scheme val="minor"/>
      </rPr>
      <t>tonnes</t>
    </r>
    <r>
      <rPr>
        <b/>
        <sz val="10"/>
        <rFont val="Calibri"/>
        <family val="2"/>
        <scheme val="minor"/>
      </rPr>
      <t>) June 2030</t>
    </r>
  </si>
  <si>
    <r>
      <t xml:space="preserve"> MONTHLY TOTALS (</t>
    </r>
    <r>
      <rPr>
        <b/>
        <sz val="10"/>
        <color indexed="10"/>
        <rFont val="Calibri"/>
        <family val="2"/>
        <scheme val="minor"/>
      </rPr>
      <t>tonnes</t>
    </r>
    <r>
      <rPr>
        <b/>
        <sz val="10"/>
        <rFont val="Calibri"/>
        <family val="2"/>
        <scheme val="minor"/>
      </rPr>
      <t>) July 2030</t>
    </r>
  </si>
  <si>
    <r>
      <t xml:space="preserve"> MONTHLY TOTALS (</t>
    </r>
    <r>
      <rPr>
        <b/>
        <sz val="10"/>
        <color indexed="10"/>
        <rFont val="Calibri"/>
        <family val="2"/>
        <scheme val="minor"/>
      </rPr>
      <t>tonnes</t>
    </r>
    <r>
      <rPr>
        <b/>
        <sz val="10"/>
        <rFont val="Calibri"/>
        <family val="2"/>
        <scheme val="minor"/>
      </rPr>
      <t>) August 2030</t>
    </r>
  </si>
  <si>
    <r>
      <t xml:space="preserve"> MONTHLY TOTALS (</t>
    </r>
    <r>
      <rPr>
        <b/>
        <sz val="10"/>
        <color indexed="10"/>
        <rFont val="Calibri"/>
        <family val="2"/>
        <scheme val="minor"/>
      </rPr>
      <t>tonnes</t>
    </r>
    <r>
      <rPr>
        <b/>
        <sz val="10"/>
        <rFont val="Calibri"/>
        <family val="2"/>
        <scheme val="minor"/>
      </rPr>
      <t>) September 2030</t>
    </r>
  </si>
  <si>
    <r>
      <t xml:space="preserve"> MONTHLY TOTALS (</t>
    </r>
    <r>
      <rPr>
        <b/>
        <sz val="10"/>
        <color indexed="10"/>
        <rFont val="Calibri"/>
        <family val="2"/>
        <scheme val="minor"/>
      </rPr>
      <t>tonnes</t>
    </r>
    <r>
      <rPr>
        <b/>
        <sz val="10"/>
        <rFont val="Calibri"/>
        <family val="2"/>
        <scheme val="minor"/>
      </rPr>
      <t>) October 2030</t>
    </r>
  </si>
  <si>
    <r>
      <t xml:space="preserve"> MONTHLY TOTALS (</t>
    </r>
    <r>
      <rPr>
        <b/>
        <sz val="10"/>
        <color indexed="10"/>
        <rFont val="Calibri"/>
        <family val="2"/>
        <scheme val="minor"/>
      </rPr>
      <t>tonnes</t>
    </r>
    <r>
      <rPr>
        <b/>
        <sz val="10"/>
        <rFont val="Calibri"/>
        <family val="2"/>
        <scheme val="minor"/>
      </rPr>
      <t>) November 2030</t>
    </r>
  </si>
  <si>
    <r>
      <t xml:space="preserve"> MONTHLY TOTALS (</t>
    </r>
    <r>
      <rPr>
        <b/>
        <sz val="10"/>
        <color indexed="10"/>
        <rFont val="Calibri"/>
        <family val="2"/>
        <scheme val="minor"/>
      </rPr>
      <t>tonnes</t>
    </r>
    <r>
      <rPr>
        <b/>
        <sz val="10"/>
        <rFont val="Calibri"/>
        <family val="2"/>
        <scheme val="minor"/>
      </rPr>
      <t>) December 2030</t>
    </r>
  </si>
  <si>
    <t>Manchester City Council</t>
  </si>
  <si>
    <t>Piccadilly Gardens Redevelopment</t>
  </si>
  <si>
    <t>HLA098</t>
  </si>
  <si>
    <t>0.93ha</t>
  </si>
  <si>
    <t>12-18 months (TBC)</t>
  </si>
  <si>
    <t>Sam Higgins</t>
  </si>
  <si>
    <t>S. Higgins</t>
  </si>
  <si>
    <t>Adam Liu</t>
  </si>
  <si>
    <t>A. Liu</t>
  </si>
  <si>
    <t>T. Bowers</t>
  </si>
  <si>
    <t>Piccadilly Gardens, Piccadilly, Manchester, M1 1LU</t>
  </si>
  <si>
    <t>North West Construction Hub</t>
  </si>
  <si>
    <t>Metals to be recycled off site by a licensed waste carrier</t>
  </si>
  <si>
    <t xml:space="preserve">Wood to be reused on site where possible and surplus recycled off site by a licensed waste carrier </t>
  </si>
  <si>
    <t xml:space="preserve">Any asbestos found is to be disposed of through a liceensed waste carrier </t>
  </si>
  <si>
    <t>TBC (General civils works)</t>
  </si>
  <si>
    <t>TBC  (Lighting and signage)</t>
  </si>
  <si>
    <t>TBC (Traffic Management)</t>
  </si>
  <si>
    <t>TBC (Pavilion fabrication)</t>
  </si>
  <si>
    <t>TBC (Pavilion fit out)</t>
  </si>
  <si>
    <t>Anna Lucas</t>
  </si>
  <si>
    <t>Winter 2026 (TBC)</t>
  </si>
  <si>
    <t>Planit, IFDO, Civic, Hoare Lea, Arup, DFC, Irrigation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</si>
</sst>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7" formatCode="&quot;£&quot;#,##0.00;\-&quot;£&quot;#,##0.00"/>
    <numFmt numFmtId="43" formatCode="_-* #,##0.00_-;\-* #,##0.00_-;_-* &quot;-&quot;??_-;_-@_-"/>
    <numFmt numFmtId="164" formatCode="&quot;£&quot;#,##0"/>
    <numFmt numFmtId="165" formatCode="&quot;£&quot;#,##0.00"/>
    <numFmt numFmtId="166" formatCode="00\-00\-00"/>
    <numFmt numFmtId="167" formatCode="0.000"/>
    <numFmt numFmtId="168" formatCode="[$-F400]h:mm:ss\ AM/PM"/>
    <numFmt numFmtId="169" formatCode="[$-F800]dddd\,\ mmmm\ dd\,\ yyyy"/>
    <numFmt numFmtId="170" formatCode="_-* #,##0.0_-;\-* #,##0.0_-;_-* &quot;-&quot;??_-;_-@_-"/>
    <numFmt numFmtId="171" formatCode="_-* #,##0_-;\-* #,##0_-;_-* &quot;-&quot;??_-;_-@_-"/>
    <numFmt numFmtId="172" formatCode="#,##0.000"/>
    <numFmt numFmtId="173" formatCode="#,##0.0"/>
  </numFmts>
  <fonts count="71" x14ac:knownFonts="1">
    <font>
      <sz val="10"/>
      <name val="Arial"/>
    </font>
    <font>
      <sz val="22"/>
      <name val="Arial"/>
      <family val="2"/>
    </font>
    <font>
      <b/>
      <sz val="36"/>
      <name val="Arial"/>
      <family val="2"/>
    </font>
    <font>
      <b/>
      <sz val="16"/>
      <name val="Arial"/>
      <family val="2"/>
    </font>
    <font>
      <sz val="16"/>
      <name val="Arial"/>
      <family val="2"/>
    </font>
    <font>
      <b/>
      <sz val="14"/>
      <name val="Arial"/>
      <family val="2"/>
    </font>
    <font>
      <sz val="14"/>
      <name val="Arial"/>
      <family val="2"/>
    </font>
    <font>
      <sz val="10"/>
      <name val="Arial"/>
      <family val="2"/>
    </font>
    <font>
      <sz val="12"/>
      <name val="Arial"/>
      <family val="2"/>
    </font>
    <font>
      <sz val="10"/>
      <color theme="0" tint="-0.34998626667073579"/>
      <name val="Arial"/>
      <family val="2"/>
    </font>
    <font>
      <sz val="12"/>
      <color theme="0" tint="-0.34998626667073579"/>
      <name val="Arial"/>
      <family val="2"/>
    </font>
    <font>
      <b/>
      <sz val="12"/>
      <name val="Calibri"/>
      <family val="2"/>
      <scheme val="minor"/>
    </font>
    <font>
      <sz val="12"/>
      <name val="Calibri"/>
      <family val="2"/>
      <scheme val="minor"/>
    </font>
    <font>
      <sz val="10"/>
      <name val="Calibri"/>
      <family val="2"/>
      <scheme val="minor"/>
    </font>
    <font>
      <b/>
      <i/>
      <sz val="10"/>
      <color indexed="10"/>
      <name val="Calibri"/>
      <family val="2"/>
      <scheme val="minor"/>
    </font>
    <font>
      <vertAlign val="superscript"/>
      <sz val="10"/>
      <name val="Calibri"/>
      <family val="2"/>
      <scheme val="minor"/>
    </font>
    <font>
      <b/>
      <sz val="10"/>
      <name val="Calibri"/>
      <family val="2"/>
      <scheme val="minor"/>
    </font>
    <font>
      <sz val="7"/>
      <name val="Calibri"/>
      <family val="2"/>
      <scheme val="minor"/>
    </font>
    <font>
      <sz val="8"/>
      <name val="Calibri"/>
      <family val="2"/>
      <scheme val="minor"/>
    </font>
    <font>
      <b/>
      <sz val="10"/>
      <name val="Arial"/>
      <family val="2"/>
    </font>
    <font>
      <sz val="8"/>
      <name val="Arial"/>
      <family val="2"/>
    </font>
    <font>
      <sz val="10"/>
      <color indexed="10"/>
      <name val="Arial"/>
      <family val="2"/>
    </font>
    <font>
      <b/>
      <sz val="12"/>
      <name val="Arial"/>
      <family val="2"/>
    </font>
    <font>
      <sz val="8"/>
      <color indexed="81"/>
      <name val="Arial"/>
      <family val="2"/>
    </font>
    <font>
      <b/>
      <sz val="18"/>
      <name val="Calibri"/>
      <family val="2"/>
      <scheme val="minor"/>
    </font>
    <font>
      <sz val="10"/>
      <color indexed="8"/>
      <name val="Arial"/>
      <family val="2"/>
    </font>
    <font>
      <b/>
      <sz val="10"/>
      <name val="Tahoma"/>
      <family val="2"/>
    </font>
    <font>
      <sz val="10"/>
      <color indexed="8"/>
      <name val="MS Sans Serif"/>
    </font>
    <font>
      <b/>
      <sz val="10"/>
      <color indexed="8"/>
      <name val="Arial"/>
      <family val="2"/>
    </font>
    <font>
      <vertAlign val="superscript"/>
      <sz val="10"/>
      <name val="Arial"/>
      <family val="2"/>
    </font>
    <font>
      <sz val="9"/>
      <color indexed="81"/>
      <name val="Tahoma"/>
      <family val="2"/>
    </font>
    <font>
      <b/>
      <sz val="9"/>
      <color indexed="81"/>
      <name val="Tahoma"/>
      <family val="2"/>
    </font>
    <font>
      <b/>
      <sz val="11"/>
      <name val="Calibri"/>
      <family val="2"/>
      <scheme val="minor"/>
    </font>
    <font>
      <sz val="14"/>
      <name val="Calibri"/>
      <family val="2"/>
      <scheme val="minor"/>
    </font>
    <font>
      <vertAlign val="superscript"/>
      <sz val="14"/>
      <name val="Calibri"/>
      <family val="2"/>
      <scheme val="minor"/>
    </font>
    <font>
      <b/>
      <vertAlign val="superscript"/>
      <sz val="10"/>
      <name val="Calibri"/>
      <family val="2"/>
      <scheme val="minor"/>
    </font>
    <font>
      <b/>
      <sz val="12"/>
      <color indexed="10"/>
      <name val="Calibri"/>
      <family val="2"/>
      <scheme val="minor"/>
    </font>
    <font>
      <u/>
      <sz val="10"/>
      <name val="Arial"/>
      <family val="2"/>
    </font>
    <font>
      <b/>
      <sz val="11"/>
      <name val="Arial"/>
      <family val="2"/>
    </font>
    <font>
      <sz val="10"/>
      <color indexed="81"/>
      <name val="Arial"/>
      <family val="2"/>
    </font>
    <font>
      <sz val="11"/>
      <name val="Calibri"/>
      <family val="2"/>
      <scheme val="minor"/>
    </font>
    <font>
      <b/>
      <sz val="14"/>
      <name val="Calibri"/>
      <family val="2"/>
      <scheme val="minor"/>
    </font>
    <font>
      <sz val="10"/>
      <color indexed="9"/>
      <name val="Calibri"/>
      <family val="2"/>
      <scheme val="minor"/>
    </font>
    <font>
      <b/>
      <sz val="16"/>
      <name val="Calibri"/>
      <family val="2"/>
      <scheme val="minor"/>
    </font>
    <font>
      <b/>
      <sz val="10"/>
      <color indexed="9"/>
      <name val="Calibri"/>
      <family val="2"/>
      <scheme val="minor"/>
    </font>
    <font>
      <sz val="20"/>
      <name val="Calibri"/>
      <family val="2"/>
      <scheme val="minor"/>
    </font>
    <font>
      <b/>
      <sz val="10"/>
      <color indexed="81"/>
      <name val="Arial"/>
      <family val="2"/>
    </font>
    <font>
      <b/>
      <sz val="11"/>
      <color indexed="9"/>
      <name val="Calibri"/>
      <family val="2"/>
      <scheme val="minor"/>
    </font>
    <font>
      <b/>
      <sz val="12"/>
      <color indexed="9"/>
      <name val="Calibri"/>
      <family val="2"/>
      <scheme val="minor"/>
    </font>
    <font>
      <b/>
      <sz val="8"/>
      <name val="Calibri"/>
      <family val="2"/>
      <scheme val="minor"/>
    </font>
    <font>
      <sz val="9"/>
      <name val="Calibri"/>
      <family val="2"/>
      <scheme val="minor"/>
    </font>
    <font>
      <sz val="8"/>
      <color indexed="8"/>
      <name val="Calibri"/>
      <family val="2"/>
      <scheme val="minor"/>
    </font>
    <font>
      <sz val="10"/>
      <color indexed="42"/>
      <name val="Calibri"/>
      <family val="2"/>
      <scheme val="minor"/>
    </font>
    <font>
      <b/>
      <sz val="16"/>
      <color indexed="9"/>
      <name val="Calibri"/>
      <family val="2"/>
      <scheme val="minor"/>
    </font>
    <font>
      <sz val="16"/>
      <name val="Calibri"/>
      <family val="2"/>
      <scheme val="minor"/>
    </font>
    <font>
      <sz val="10"/>
      <color indexed="12"/>
      <name val="Calibri"/>
      <family val="2"/>
      <scheme val="minor"/>
    </font>
    <font>
      <b/>
      <sz val="10"/>
      <color indexed="10"/>
      <name val="Calibri"/>
      <family val="2"/>
      <scheme val="minor"/>
    </font>
    <font>
      <b/>
      <sz val="11"/>
      <color indexed="10"/>
      <name val="Calibri"/>
      <family val="2"/>
      <scheme val="minor"/>
    </font>
    <font>
      <sz val="11"/>
      <color rgb="FF002060"/>
      <name val="Calibri"/>
      <family val="2"/>
      <scheme val="minor"/>
    </font>
    <font>
      <b/>
      <sz val="10"/>
      <color indexed="17"/>
      <name val="Arial"/>
      <family val="2"/>
    </font>
    <font>
      <vertAlign val="subscript"/>
      <sz val="11"/>
      <color indexed="56"/>
      <name val="Calibri"/>
      <family val="2"/>
    </font>
    <font>
      <sz val="11"/>
      <color indexed="56"/>
      <name val="Calibri"/>
      <family val="2"/>
    </font>
    <font>
      <b/>
      <sz val="11"/>
      <color indexed="17"/>
      <name val="Calibri"/>
      <family val="2"/>
    </font>
    <font>
      <b/>
      <sz val="8"/>
      <name val="Tahoma"/>
      <family val="2"/>
    </font>
    <font>
      <sz val="10"/>
      <color theme="4" tint="-0.249977111117893"/>
      <name val="Calibri"/>
      <family val="2"/>
      <scheme val="minor"/>
    </font>
    <font>
      <b/>
      <sz val="14"/>
      <color rgb="FFFF0000"/>
      <name val="Calibri"/>
      <family val="2"/>
      <scheme val="minor"/>
    </font>
    <font>
      <sz val="10"/>
      <name val="Calibri"/>
      <family val="2"/>
    </font>
    <font>
      <sz val="11"/>
      <name val="Calibri"/>
      <family val="2"/>
    </font>
    <font>
      <sz val="8"/>
      <color rgb="FF000000"/>
      <name val="Arial"/>
      <family val="2"/>
    </font>
    <font>
      <b/>
      <sz val="8"/>
      <color rgb="FF000000"/>
      <name val="Tahoma"/>
      <family val="2"/>
    </font>
    <font>
      <sz val="10"/>
      <color rgb="FF000000"/>
      <name val="Arial"/>
      <family val="2"/>
    </font>
  </fonts>
  <fills count="3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indexed="42"/>
        <bgColor indexed="64"/>
      </patternFill>
    </fill>
    <fill>
      <patternFill patternType="solid">
        <fgColor indexed="41"/>
        <bgColor indexed="64"/>
      </patternFill>
    </fill>
    <fill>
      <patternFill patternType="solid">
        <fgColor rgb="FFFFC000"/>
        <bgColor indexed="64"/>
      </patternFill>
    </fill>
    <fill>
      <patternFill patternType="solid">
        <fgColor indexed="13"/>
        <bgColor indexed="64"/>
      </patternFill>
    </fill>
    <fill>
      <patternFill patternType="solid">
        <fgColor rgb="FFFFFF00"/>
        <bgColor indexed="64"/>
      </patternFill>
    </fill>
    <fill>
      <patternFill patternType="solid">
        <fgColor indexed="43"/>
        <bgColor indexed="64"/>
      </patternFill>
    </fill>
    <fill>
      <patternFill patternType="solid">
        <fgColor indexed="15"/>
        <bgColor indexed="64"/>
      </patternFill>
    </fill>
    <fill>
      <patternFill patternType="solid">
        <fgColor indexed="8"/>
        <bgColor indexed="64"/>
      </patternFill>
    </fill>
    <fill>
      <patternFill patternType="solid">
        <fgColor rgb="FFCCFFFF"/>
        <bgColor indexed="64"/>
      </patternFill>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indexed="10"/>
        <bgColor indexed="64"/>
      </patternFill>
    </fill>
    <fill>
      <patternFill patternType="solid">
        <fgColor indexed="55"/>
        <bgColor indexed="64"/>
      </patternFill>
    </fill>
    <fill>
      <patternFill patternType="solid">
        <fgColor theme="1"/>
        <bgColor indexed="64"/>
      </patternFill>
    </fill>
    <fill>
      <patternFill patternType="solid">
        <fgColor rgb="FF92D050"/>
        <bgColor indexed="64"/>
      </patternFill>
    </fill>
    <fill>
      <patternFill patternType="solid">
        <fgColor indexed="11"/>
        <bgColor indexed="64"/>
      </patternFill>
    </fill>
    <fill>
      <patternFill patternType="solid">
        <fgColor rgb="FFD9D9D9"/>
        <bgColor indexed="64"/>
      </patternFill>
    </fill>
    <fill>
      <patternFill patternType="solid">
        <fgColor theme="0" tint="-0.499984740745262"/>
        <bgColor indexed="64"/>
      </patternFill>
    </fill>
    <fill>
      <patternFill patternType="solid">
        <fgColor theme="2" tint="-0.499984740745262"/>
        <bgColor indexed="64"/>
      </patternFill>
    </fill>
    <fill>
      <patternFill patternType="lightGray">
        <bgColor theme="0"/>
      </patternFill>
    </fill>
    <fill>
      <patternFill patternType="lightGray">
        <bgColor theme="2" tint="-0.499984740745262"/>
      </patternFill>
    </fill>
    <fill>
      <patternFill patternType="solid">
        <fgColor rgb="FFFFFF99"/>
        <bgColor indexed="64"/>
      </patternFill>
    </fill>
    <fill>
      <patternFill patternType="solid">
        <fgColor rgb="FFCCFFCC"/>
        <bgColor indexed="64"/>
      </patternFill>
    </fill>
    <fill>
      <patternFill patternType="solid">
        <fgColor theme="4" tint="0.59999389629810485"/>
        <bgColor indexed="64"/>
      </patternFill>
    </fill>
    <fill>
      <patternFill patternType="solid">
        <fgColor rgb="FFFFCC99"/>
        <bgColor rgb="FF000000"/>
      </patternFill>
    </fill>
  </fills>
  <borders count="134">
    <border>
      <left/>
      <right/>
      <top/>
      <bottom/>
      <diagonal/>
    </border>
    <border>
      <left style="double">
        <color indexed="64"/>
      </left>
      <right/>
      <top style="double">
        <color indexed="64"/>
      </top>
      <bottom/>
      <diagonal/>
    </border>
    <border>
      <left/>
      <right/>
      <top style="double">
        <color indexed="64"/>
      </top>
      <bottom/>
      <diagonal/>
    </border>
    <border>
      <left/>
      <right/>
      <top style="double">
        <color indexed="64"/>
      </top>
      <bottom style="hair">
        <color indexed="64"/>
      </bottom>
      <diagonal/>
    </border>
    <border>
      <left/>
      <right style="double">
        <color indexed="64"/>
      </right>
      <top style="double">
        <color indexed="64"/>
      </top>
      <bottom/>
      <diagonal/>
    </border>
    <border>
      <left style="double">
        <color indexed="64"/>
      </left>
      <right/>
      <top/>
      <bottom/>
      <diagonal/>
    </border>
    <border>
      <left/>
      <right/>
      <top style="hair">
        <color indexed="64"/>
      </top>
      <bottom/>
      <diagonal/>
    </border>
    <border>
      <left/>
      <right style="double">
        <color indexed="64"/>
      </right>
      <top/>
      <bottom/>
      <diagonal/>
    </border>
    <border>
      <left/>
      <right/>
      <top/>
      <bottom style="hair">
        <color indexed="64"/>
      </bottom>
      <diagonal/>
    </border>
    <border>
      <left style="double">
        <color indexed="64"/>
      </left>
      <right/>
      <top/>
      <bottom style="double">
        <color indexed="64"/>
      </bottom>
      <diagonal/>
    </border>
    <border>
      <left/>
      <right/>
      <top/>
      <bottom style="double">
        <color indexed="64"/>
      </bottom>
      <diagonal/>
    </border>
    <border>
      <left/>
      <right/>
      <top style="hair">
        <color indexed="64"/>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22"/>
      </left>
      <right/>
      <top style="thin">
        <color indexed="22"/>
      </top>
      <bottom style="thin">
        <color indexed="22"/>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diagonal/>
    </border>
    <border>
      <left/>
      <right style="double">
        <color indexed="64"/>
      </right>
      <top style="thin">
        <color indexed="64"/>
      </top>
      <bottom/>
      <diagonal/>
    </border>
    <border>
      <left/>
      <right style="thin">
        <color indexed="64"/>
      </right>
      <top/>
      <bottom style="thin">
        <color indexed="64"/>
      </bottom>
      <diagonal/>
    </border>
    <border>
      <left/>
      <right style="double">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double">
        <color indexed="64"/>
      </bottom>
      <diagonal/>
    </border>
    <border>
      <left style="thin">
        <color rgb="FF053D5F"/>
      </left>
      <right style="thin">
        <color rgb="FF053D5F"/>
      </right>
      <top style="thin">
        <color rgb="FF053D5F"/>
      </top>
      <bottom style="thin">
        <color rgb="FF053D5F"/>
      </bottom>
      <diagonal/>
    </border>
    <border>
      <left style="thin">
        <color rgb="FF053D5F"/>
      </left>
      <right style="thin">
        <color indexed="64"/>
      </right>
      <top style="thin">
        <color rgb="FF053D5F"/>
      </top>
      <bottom style="thin">
        <color rgb="FF053D5F"/>
      </bottom>
      <diagonal/>
    </border>
    <border>
      <left/>
      <right style="thin">
        <color rgb="FF053D5F"/>
      </right>
      <top style="thin">
        <color rgb="FF053D5F"/>
      </top>
      <bottom/>
      <diagonal/>
    </border>
    <border>
      <left/>
      <right style="thin">
        <color rgb="FF053D5F"/>
      </right>
      <top/>
      <bottom/>
      <diagonal/>
    </border>
  </borders>
  <cellStyleXfs count="6">
    <xf numFmtId="0" fontId="0" fillId="0" borderId="0"/>
    <xf numFmtId="0" fontId="7" fillId="0" borderId="0"/>
    <xf numFmtId="0" fontId="25" fillId="0" borderId="0"/>
    <xf numFmtId="0" fontId="27" fillId="0" borderId="0"/>
    <xf numFmtId="0" fontId="7" fillId="0" borderId="0"/>
    <xf numFmtId="43" fontId="7" fillId="0" borderId="0" applyFont="0" applyFill="0" applyBorder="0" applyAlignment="0" applyProtection="0"/>
  </cellStyleXfs>
  <cellXfs count="1237">
    <xf numFmtId="0" fontId="0" fillId="0" borderId="0" xfId="0"/>
    <xf numFmtId="0" fontId="0" fillId="2" borderId="0" xfId="0" applyFill="1"/>
    <xf numFmtId="0" fontId="0" fillId="3" borderId="0" xfId="0" applyFill="1"/>
    <xf numFmtId="0" fontId="1" fillId="2" borderId="0" xfId="0" applyFont="1" applyFill="1"/>
    <xf numFmtId="0" fontId="2" fillId="2" borderId="0" xfId="0" applyFont="1" applyFill="1" applyAlignment="1">
      <alignment horizontal="center"/>
    </xf>
    <xf numFmtId="0" fontId="0" fillId="0" borderId="0" xfId="0" applyAlignment="1" applyProtection="1">
      <alignment horizontal="center" vertical="center"/>
      <protection locked="0"/>
    </xf>
    <xf numFmtId="0" fontId="3" fillId="2" borderId="0" xfId="0" applyFont="1" applyFill="1"/>
    <xf numFmtId="0" fontId="3" fillId="0" borderId="0" xfId="0" applyFont="1"/>
    <xf numFmtId="0" fontId="5" fillId="2" borderId="0" xfId="0" applyFont="1" applyFill="1" applyAlignment="1" applyProtection="1">
      <alignment horizontal="left" vertical="center"/>
      <protection locked="0"/>
    </xf>
    <xf numFmtId="0" fontId="0" fillId="2" borderId="0" xfId="0" applyFill="1" applyAlignment="1" applyProtection="1">
      <alignment horizontal="left" vertical="center"/>
      <protection locked="0"/>
    </xf>
    <xf numFmtId="0" fontId="0" fillId="2" borderId="0" xfId="0" applyFill="1" applyAlignment="1">
      <alignment horizontal="left" vertical="center"/>
    </xf>
    <xf numFmtId="0" fontId="6" fillId="2" borderId="0" xfId="0" applyFont="1" applyFill="1" applyAlignment="1" applyProtection="1">
      <alignment horizontal="left" vertical="center"/>
      <protection locked="0"/>
    </xf>
    <xf numFmtId="0" fontId="7" fillId="2" borderId="0" xfId="0" applyFont="1" applyFill="1" applyAlignment="1">
      <alignment horizontal="left" vertical="center"/>
    </xf>
    <xf numFmtId="0" fontId="0" fillId="3" borderId="0" xfId="0" applyFill="1" applyAlignment="1">
      <alignment horizontal="left" vertical="center"/>
    </xf>
    <xf numFmtId="0" fontId="0" fillId="2" borderId="0" xfId="0" applyFill="1" applyAlignment="1">
      <alignment horizontal="right"/>
    </xf>
    <xf numFmtId="0" fontId="0" fillId="2" borderId="0" xfId="0" applyFill="1" applyAlignment="1" applyProtection="1">
      <alignment horizontal="center" vertical="center"/>
      <protection locked="0"/>
    </xf>
    <xf numFmtId="0" fontId="0" fillId="2" borderId="0" xfId="0" applyFill="1" applyAlignment="1">
      <alignment horizontal="center" vertical="top"/>
    </xf>
    <xf numFmtId="0" fontId="0" fillId="0" borderId="0" xfId="0" applyAlignment="1">
      <alignment horizontal="left" vertical="center"/>
    </xf>
    <xf numFmtId="0" fontId="0" fillId="0" borderId="0" xfId="0" applyAlignment="1">
      <alignment horizontal="center" vertical="top"/>
    </xf>
    <xf numFmtId="0" fontId="0" fillId="0" borderId="0" xfId="0" applyAlignment="1">
      <alignment horizontal="center" vertical="center"/>
    </xf>
    <xf numFmtId="14" fontId="0" fillId="0" borderId="0" xfId="0" applyNumberFormat="1" applyAlignment="1" applyProtection="1">
      <alignment horizontal="center" vertical="center"/>
      <protection locked="0"/>
    </xf>
    <xf numFmtId="0" fontId="0" fillId="0" borderId="0" xfId="0" applyAlignment="1" applyProtection="1">
      <alignment horizontal="left" vertical="center"/>
      <protection locked="0"/>
    </xf>
    <xf numFmtId="0" fontId="9" fillId="0" borderId="0" xfId="0" applyFont="1"/>
    <xf numFmtId="0" fontId="9"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9" fillId="2" borderId="0" xfId="0" applyFont="1" applyFill="1"/>
    <xf numFmtId="0" fontId="9" fillId="4" borderId="0" xfId="0" applyFont="1" applyFill="1"/>
    <xf numFmtId="0" fontId="9" fillId="4" borderId="0" xfId="0" applyFont="1" applyFill="1" applyAlignment="1" applyProtection="1">
      <alignment horizontal="center" vertical="center"/>
      <protection locked="0"/>
    </xf>
    <xf numFmtId="0" fontId="9" fillId="4" borderId="0" xfId="0" applyFont="1" applyFill="1" applyAlignment="1" applyProtection="1">
      <alignment horizontal="left" vertical="center"/>
      <protection locked="0"/>
    </xf>
    <xf numFmtId="0" fontId="11" fillId="2" borderId="0" xfId="1" applyFont="1" applyFill="1"/>
    <xf numFmtId="0" fontId="7" fillId="2" borderId="0" xfId="1" applyFill="1"/>
    <xf numFmtId="0" fontId="0" fillId="2" borderId="1" xfId="0" applyFill="1" applyBorder="1" applyAlignment="1">
      <alignment horizontal="right"/>
    </xf>
    <xf numFmtId="0" fontId="13" fillId="2" borderId="2" xfId="0" applyFont="1" applyFill="1" applyBorder="1"/>
    <xf numFmtId="0" fontId="0" fillId="2" borderId="2" xfId="0" applyFill="1" applyBorder="1"/>
    <xf numFmtId="0" fontId="0" fillId="2" borderId="4" xfId="0" applyFill="1" applyBorder="1"/>
    <xf numFmtId="0" fontId="0" fillId="2" borderId="5" xfId="0" applyFill="1" applyBorder="1"/>
    <xf numFmtId="0" fontId="13" fillId="2" borderId="0" xfId="0" applyFont="1" applyFill="1"/>
    <xf numFmtId="0" fontId="13" fillId="2" borderId="6" xfId="0" applyFont="1" applyFill="1" applyBorder="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top"/>
    </xf>
    <xf numFmtId="0" fontId="0" fillId="0" borderId="7" xfId="0" applyBorder="1" applyAlignment="1">
      <alignment horizontal="left" vertical="center"/>
    </xf>
    <xf numFmtId="0" fontId="0" fillId="2" borderId="5" xfId="0" applyFill="1" applyBorder="1" applyAlignment="1">
      <alignment horizontal="right"/>
    </xf>
    <xf numFmtId="0" fontId="0" fillId="2" borderId="7" xfId="0" applyFill="1" applyBorder="1"/>
    <xf numFmtId="0" fontId="0" fillId="0" borderId="9" xfId="0" applyBorder="1"/>
    <xf numFmtId="0" fontId="13" fillId="0" borderId="10" xfId="0" applyFont="1" applyBorder="1"/>
    <xf numFmtId="0" fontId="13" fillId="0" borderId="11" xfId="0" applyFont="1" applyBorder="1" applyAlignment="1">
      <alignment horizontal="center" vertical="top"/>
    </xf>
    <xf numFmtId="0" fontId="0" fillId="0" borderId="10" xfId="0" applyBorder="1"/>
    <xf numFmtId="0" fontId="0" fillId="0" borderId="12" xfId="0" applyBorder="1"/>
    <xf numFmtId="0" fontId="7" fillId="0" borderId="0" xfId="1"/>
    <xf numFmtId="0" fontId="13" fillId="0" borderId="14" xfId="1" applyFont="1" applyBorder="1" applyAlignment="1">
      <alignment horizontal="center" vertical="center"/>
    </xf>
    <xf numFmtId="14" fontId="7" fillId="0" borderId="17" xfId="1" applyNumberFormat="1" applyBorder="1" applyAlignment="1" applyProtection="1">
      <alignment horizontal="center" vertical="center"/>
      <protection locked="0"/>
    </xf>
    <xf numFmtId="0" fontId="7" fillId="0" borderId="17" xfId="1" applyBorder="1" applyAlignment="1" applyProtection="1">
      <alignment horizontal="center" vertical="center"/>
      <protection locked="0"/>
    </xf>
    <xf numFmtId="0" fontId="7" fillId="0" borderId="23" xfId="1" applyBorder="1" applyAlignment="1" applyProtection="1">
      <alignment horizontal="center" vertical="center"/>
      <protection locked="0"/>
    </xf>
    <xf numFmtId="0" fontId="0" fillId="4" borderId="0" xfId="0" applyFill="1"/>
    <xf numFmtId="14" fontId="7" fillId="0" borderId="27" xfId="1" applyNumberFormat="1" applyBorder="1" applyAlignment="1" applyProtection="1">
      <alignment horizontal="center" vertical="center"/>
      <protection locked="0"/>
    </xf>
    <xf numFmtId="0" fontId="7" fillId="0" borderId="27" xfId="1" applyBorder="1" applyAlignment="1" applyProtection="1">
      <alignment horizontal="center" vertical="center"/>
      <protection locked="0"/>
    </xf>
    <xf numFmtId="0" fontId="7" fillId="0" borderId="0" xfId="1" applyAlignment="1">
      <alignment horizontal="center" vertical="center"/>
    </xf>
    <xf numFmtId="0" fontId="7" fillId="0" borderId="0" xfId="1" applyAlignment="1" applyProtection="1">
      <alignment horizontal="left" vertical="center"/>
      <protection locked="0"/>
    </xf>
    <xf numFmtId="0" fontId="0" fillId="5" borderId="29" xfId="0" applyFill="1" applyBorder="1"/>
    <xf numFmtId="0" fontId="0" fillId="5" borderId="31" xfId="0" applyFill="1" applyBorder="1"/>
    <xf numFmtId="0" fontId="0" fillId="5" borderId="0" xfId="0" applyFill="1"/>
    <xf numFmtId="0" fontId="11" fillId="5" borderId="0" xfId="0" applyFont="1" applyFill="1" applyAlignment="1">
      <alignment horizontal="center" vertical="center" wrapText="1"/>
    </xf>
    <xf numFmtId="0" fontId="13" fillId="0" borderId="0" xfId="0" applyFont="1"/>
    <xf numFmtId="0" fontId="13" fillId="5" borderId="32" xfId="0" applyFont="1" applyFill="1" applyBorder="1"/>
    <xf numFmtId="0" fontId="13" fillId="5" borderId="33" xfId="0" applyFont="1" applyFill="1" applyBorder="1"/>
    <xf numFmtId="0" fontId="0" fillId="5" borderId="34" xfId="0" applyFill="1" applyBorder="1"/>
    <xf numFmtId="0" fontId="13" fillId="5" borderId="35" xfId="0" applyFont="1" applyFill="1" applyBorder="1"/>
    <xf numFmtId="0" fontId="13" fillId="5" borderId="0" xfId="0" applyFont="1" applyFill="1" applyAlignment="1">
      <alignment horizontal="right" vertical="center"/>
    </xf>
    <xf numFmtId="0" fontId="0" fillId="5" borderId="39" xfId="0" applyFill="1" applyBorder="1"/>
    <xf numFmtId="0" fontId="13" fillId="5" borderId="0" xfId="0" applyFont="1" applyFill="1" applyAlignment="1">
      <alignment horizontal="right"/>
    </xf>
    <xf numFmtId="0" fontId="13" fillId="5" borderId="0" xfId="0" applyFont="1" applyFill="1"/>
    <xf numFmtId="0" fontId="13" fillId="5" borderId="45" xfId="0" applyFont="1" applyFill="1" applyBorder="1"/>
    <xf numFmtId="0" fontId="13" fillId="5" borderId="30" xfId="0" applyFont="1" applyFill="1" applyBorder="1"/>
    <xf numFmtId="0" fontId="0" fillId="5" borderId="46" xfId="0" applyFill="1" applyBorder="1"/>
    <xf numFmtId="0" fontId="13" fillId="5" borderId="35" xfId="0" applyFont="1" applyFill="1" applyBorder="1" applyAlignment="1">
      <alignment horizontal="right" vertical="center"/>
    </xf>
    <xf numFmtId="0" fontId="16" fillId="5" borderId="33" xfId="0" applyFont="1" applyFill="1" applyBorder="1"/>
    <xf numFmtId="0" fontId="13" fillId="5" borderId="33" xfId="0" applyFont="1" applyFill="1" applyBorder="1" applyAlignment="1">
      <alignment horizontal="center" vertical="center"/>
    </xf>
    <xf numFmtId="0" fontId="13" fillId="5" borderId="0" xfId="0" applyFont="1" applyFill="1" applyAlignment="1">
      <alignment horizontal="right" vertical="center" wrapText="1"/>
    </xf>
    <xf numFmtId="1" fontId="13" fillId="6" borderId="55" xfId="0" applyNumberFormat="1" applyFont="1" applyFill="1" applyBorder="1" applyAlignment="1">
      <alignment horizontal="center" vertical="center"/>
    </xf>
    <xf numFmtId="0" fontId="13" fillId="6" borderId="56" xfId="0" applyFont="1" applyFill="1" applyBorder="1" applyAlignment="1">
      <alignment horizontal="center" vertical="center"/>
    </xf>
    <xf numFmtId="0" fontId="13" fillId="6" borderId="55" xfId="0" applyFont="1" applyFill="1" applyBorder="1" applyAlignment="1">
      <alignment horizontal="center" vertical="center"/>
    </xf>
    <xf numFmtId="0" fontId="13" fillId="5" borderId="0" xfId="0" applyFont="1" applyFill="1" applyAlignment="1">
      <alignment wrapText="1"/>
    </xf>
    <xf numFmtId="0" fontId="13" fillId="5" borderId="0" xfId="0" applyFont="1" applyFill="1" applyAlignment="1">
      <alignment horizontal="center" vertical="center"/>
    </xf>
    <xf numFmtId="0" fontId="13" fillId="0" borderId="49" xfId="0" applyFont="1" applyBorder="1" applyAlignment="1" applyProtection="1">
      <alignment horizontal="center" vertical="center"/>
      <protection locked="0"/>
    </xf>
    <xf numFmtId="0" fontId="13" fillId="0" borderId="51" xfId="0" applyFont="1" applyBorder="1" applyAlignment="1" applyProtection="1">
      <alignment horizontal="center" vertical="center"/>
      <protection locked="0"/>
    </xf>
    <xf numFmtId="0" fontId="13" fillId="0" borderId="58"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13" fillId="5" borderId="0" xfId="0" applyFont="1" applyFill="1" applyAlignment="1">
      <alignment horizontal="center"/>
    </xf>
    <xf numFmtId="0" fontId="0" fillId="5" borderId="35" xfId="0" applyFill="1" applyBorder="1"/>
    <xf numFmtId="0" fontId="19" fillId="5" borderId="0" xfId="0" applyFont="1" applyFill="1" applyAlignment="1">
      <alignment wrapText="1"/>
    </xf>
    <xf numFmtId="0" fontId="0" fillId="5" borderId="0" xfId="0" applyFill="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5" borderId="45" xfId="0" applyFill="1" applyBorder="1"/>
    <xf numFmtId="0" fontId="0" fillId="5" borderId="30" xfId="0" applyFill="1" applyBorder="1"/>
    <xf numFmtId="0" fontId="0" fillId="5" borderId="32" xfId="0" applyFill="1" applyBorder="1"/>
    <xf numFmtId="0" fontId="0" fillId="5" borderId="33" xfId="0" applyFill="1" applyBorder="1"/>
    <xf numFmtId="0" fontId="0" fillId="5" borderId="0" xfId="0" applyFill="1" applyAlignment="1">
      <alignment horizontal="right" vertical="center"/>
    </xf>
    <xf numFmtId="2" fontId="0" fillId="6" borderId="60" xfId="0" applyNumberFormat="1" applyFill="1" applyBorder="1" applyAlignment="1">
      <alignment horizontal="right" vertical="center"/>
    </xf>
    <xf numFmtId="7" fontId="0" fillId="6" borderId="60" xfId="0" applyNumberFormat="1" applyFill="1" applyBorder="1" applyAlignment="1">
      <alignment horizontal="right" vertical="center"/>
    </xf>
    <xf numFmtId="165" fontId="7" fillId="6" borderId="60" xfId="0" applyNumberFormat="1" applyFont="1" applyFill="1" applyBorder="1"/>
    <xf numFmtId="7" fontId="0" fillId="5" borderId="30" xfId="0" applyNumberFormat="1" applyFill="1" applyBorder="1" applyAlignment="1">
      <alignment horizontal="right" vertical="center"/>
    </xf>
    <xf numFmtId="165" fontId="21" fillId="5" borderId="30" xfId="0" applyNumberFormat="1" applyFont="1" applyFill="1" applyBorder="1"/>
    <xf numFmtId="0" fontId="16" fillId="5" borderId="35" xfId="0" applyFont="1" applyFill="1" applyBorder="1"/>
    <xf numFmtId="0" fontId="0" fillId="5" borderId="35" xfId="0" applyFill="1" applyBorder="1" applyAlignment="1">
      <alignment horizontal="center" vertical="top"/>
    </xf>
    <xf numFmtId="0" fontId="22" fillId="5" borderId="0" xfId="0" applyFont="1" applyFill="1" applyAlignment="1">
      <alignment horizontal="center" vertical="center" wrapText="1"/>
    </xf>
    <xf numFmtId="0" fontId="7" fillId="5" borderId="0" xfId="0" applyFont="1" applyFill="1" applyAlignment="1">
      <alignment horizontal="right" vertical="center"/>
    </xf>
    <xf numFmtId="0" fontId="7" fillId="5" borderId="0" xfId="0" applyFont="1" applyFill="1" applyAlignment="1">
      <alignment horizontal="right"/>
    </xf>
    <xf numFmtId="2" fontId="7" fillId="0" borderId="0" xfId="1" applyNumberFormat="1"/>
    <xf numFmtId="2" fontId="7" fillId="0" borderId="0" xfId="1" applyNumberFormat="1" applyAlignment="1">
      <alignment horizontal="right" vertical="center"/>
    </xf>
    <xf numFmtId="0" fontId="19" fillId="0" borderId="0" xfId="1" applyFont="1"/>
    <xf numFmtId="0" fontId="7" fillId="7" borderId="0" xfId="1" applyFill="1"/>
    <xf numFmtId="0" fontId="7" fillId="8" borderId="0" xfId="1" applyFill="1"/>
    <xf numFmtId="0" fontId="7" fillId="0" borderId="0" xfId="1" applyAlignment="1">
      <alignment wrapText="1"/>
    </xf>
    <xf numFmtId="0" fontId="19" fillId="0" borderId="0" xfId="1" applyFont="1" applyAlignment="1">
      <alignment wrapText="1"/>
    </xf>
    <xf numFmtId="0" fontId="22" fillId="0" borderId="0" xfId="1" applyFont="1"/>
    <xf numFmtId="0" fontId="28" fillId="0" borderId="0" xfId="3" applyFont="1" applyAlignment="1">
      <alignment horizontal="left" vertical="center"/>
    </xf>
    <xf numFmtId="0" fontId="19" fillId="0" borderId="0" xfId="4" applyFont="1" applyAlignment="1">
      <alignment horizontal="center" vertical="center"/>
    </xf>
    <xf numFmtId="0" fontId="7" fillId="0" borderId="0" xfId="1" applyAlignment="1">
      <alignment horizontal="center"/>
    </xf>
    <xf numFmtId="0" fontId="19" fillId="0" borderId="0" xfId="1" applyFont="1" applyAlignment="1">
      <alignment horizontal="center"/>
    </xf>
    <xf numFmtId="166" fontId="7" fillId="0" borderId="0" xfId="1" applyNumberFormat="1" applyAlignment="1">
      <alignment horizontal="center"/>
    </xf>
    <xf numFmtId="166" fontId="7" fillId="0" borderId="62" xfId="1" applyNumberFormat="1" applyBorder="1" applyAlignment="1">
      <alignment horizontal="center"/>
    </xf>
    <xf numFmtId="166" fontId="25" fillId="0" borderId="0" xfId="2" applyNumberFormat="1" applyAlignment="1">
      <alignment horizontal="center"/>
    </xf>
    <xf numFmtId="166" fontId="7" fillId="7" borderId="0" xfId="1" applyNumberFormat="1" applyFill="1" applyAlignment="1">
      <alignment horizontal="center"/>
    </xf>
    <xf numFmtId="0" fontId="7" fillId="7" borderId="0" xfId="1" applyFill="1" applyAlignment="1">
      <alignment horizontal="center"/>
    </xf>
    <xf numFmtId="0" fontId="19" fillId="9" borderId="0" xfId="1" applyFont="1" applyFill="1"/>
    <xf numFmtId="0" fontId="19" fillId="9" borderId="0" xfId="1" applyFont="1" applyFill="1" applyAlignment="1">
      <alignment horizontal="center"/>
    </xf>
    <xf numFmtId="0" fontId="7" fillId="10" borderId="32" xfId="1" applyFill="1" applyBorder="1"/>
    <xf numFmtId="0" fontId="7" fillId="10" borderId="33" xfId="1" applyFill="1" applyBorder="1"/>
    <xf numFmtId="0" fontId="7" fillId="10" borderId="34" xfId="1" applyFill="1" applyBorder="1"/>
    <xf numFmtId="0" fontId="7" fillId="10" borderId="35" xfId="1" applyFill="1" applyBorder="1"/>
    <xf numFmtId="0" fontId="32" fillId="3" borderId="17" xfId="1" applyFont="1" applyFill="1" applyBorder="1" applyAlignment="1">
      <alignment horizontal="center" vertical="center" wrapText="1"/>
    </xf>
    <xf numFmtId="0" fontId="7" fillId="10" borderId="39" xfId="1" applyFill="1" applyBorder="1"/>
    <xf numFmtId="0" fontId="26" fillId="0" borderId="0" xfId="1" applyFont="1" applyAlignment="1">
      <alignment horizontal="center" vertical="top" wrapText="1"/>
    </xf>
    <xf numFmtId="0" fontId="7" fillId="10" borderId="35" xfId="1" applyFill="1" applyBorder="1" applyAlignment="1">
      <alignment wrapText="1"/>
    </xf>
    <xf numFmtId="0" fontId="13" fillId="0" borderId="17" xfId="1" applyFont="1" applyBorder="1" applyAlignment="1" applyProtection="1">
      <alignment horizontal="left" vertical="center" wrapText="1"/>
      <protection locked="0"/>
    </xf>
    <xf numFmtId="0" fontId="13" fillId="0" borderId="17" xfId="1" applyFont="1" applyBorder="1" applyAlignment="1" applyProtection="1">
      <alignment horizontal="left" vertical="justify" wrapText="1"/>
      <protection locked="0"/>
    </xf>
    <xf numFmtId="0" fontId="13" fillId="0" borderId="17" xfId="1" applyFont="1" applyBorder="1" applyAlignment="1" applyProtection="1">
      <alignment horizontal="center" vertical="center" wrapText="1"/>
      <protection locked="0"/>
    </xf>
    <xf numFmtId="0" fontId="7" fillId="10" borderId="39" xfId="1" applyFill="1" applyBorder="1" applyAlignment="1">
      <alignment wrapText="1"/>
    </xf>
    <xf numFmtId="0" fontId="7" fillId="10" borderId="45" xfId="1" applyFill="1" applyBorder="1"/>
    <xf numFmtId="0" fontId="7" fillId="10" borderId="30" xfId="1" applyFill="1" applyBorder="1"/>
    <xf numFmtId="0" fontId="7" fillId="10" borderId="46" xfId="1" applyFill="1" applyBorder="1"/>
    <xf numFmtId="0" fontId="7" fillId="5" borderId="33" xfId="1" applyFill="1" applyBorder="1"/>
    <xf numFmtId="0" fontId="7" fillId="5" borderId="34" xfId="1" applyFill="1" applyBorder="1"/>
    <xf numFmtId="0" fontId="7" fillId="5" borderId="35" xfId="1" applyFill="1" applyBorder="1"/>
    <xf numFmtId="0" fontId="7" fillId="3" borderId="34" xfId="1" applyFill="1" applyBorder="1"/>
    <xf numFmtId="0" fontId="7" fillId="5" borderId="39" xfId="1" applyFill="1" applyBorder="1"/>
    <xf numFmtId="0" fontId="16" fillId="3" borderId="45" xfId="1" applyFont="1" applyFill="1" applyBorder="1" applyAlignment="1">
      <alignment horizontal="left" vertical="center"/>
    </xf>
    <xf numFmtId="0" fontId="7" fillId="3" borderId="30" xfId="1" applyFill="1" applyBorder="1"/>
    <xf numFmtId="0" fontId="16" fillId="3" borderId="30" xfId="1" applyFont="1" applyFill="1" applyBorder="1" applyAlignment="1">
      <alignment horizontal="center" vertical="center"/>
    </xf>
    <xf numFmtId="0" fontId="16" fillId="3" borderId="46" xfId="1" applyFont="1" applyFill="1" applyBorder="1" applyAlignment="1">
      <alignment horizontal="center" vertical="center"/>
    </xf>
    <xf numFmtId="0" fontId="16" fillId="0" borderId="45" xfId="1" applyFont="1" applyBorder="1" applyAlignment="1" applyProtection="1">
      <alignment horizontal="left" vertical="center"/>
      <protection locked="0"/>
    </xf>
    <xf numFmtId="0" fontId="16" fillId="11" borderId="30" xfId="1" applyFont="1" applyFill="1" applyBorder="1" applyAlignment="1" applyProtection="1">
      <alignment horizontal="center" vertical="center"/>
      <protection locked="0"/>
    </xf>
    <xf numFmtId="0" fontId="16" fillId="0" borderId="63" xfId="1" applyFont="1" applyBorder="1" applyAlignment="1" applyProtection="1">
      <alignment horizontal="center" vertical="center"/>
      <protection locked="0"/>
    </xf>
    <xf numFmtId="2" fontId="16" fillId="6" borderId="64" xfId="1" applyNumberFormat="1" applyFont="1" applyFill="1" applyBorder="1" applyAlignment="1">
      <alignment horizontal="center" vertical="center"/>
    </xf>
    <xf numFmtId="0" fontId="7" fillId="5" borderId="0" xfId="1" applyFill="1"/>
    <xf numFmtId="0" fontId="16" fillId="5" borderId="0" xfId="1" applyFont="1" applyFill="1"/>
    <xf numFmtId="0" fontId="13" fillId="5" borderId="0" xfId="1" applyFont="1" applyFill="1"/>
    <xf numFmtId="0" fontId="7" fillId="5" borderId="45" xfId="1" applyFill="1" applyBorder="1"/>
    <xf numFmtId="0" fontId="7" fillId="5" borderId="30" xfId="1" applyFill="1" applyBorder="1"/>
    <xf numFmtId="0" fontId="7" fillId="5" borderId="46" xfId="1" applyFill="1" applyBorder="1"/>
    <xf numFmtId="0" fontId="13" fillId="3" borderId="34" xfId="1" applyFont="1" applyFill="1" applyBorder="1"/>
    <xf numFmtId="0" fontId="13" fillId="3" borderId="30" xfId="1" applyFont="1" applyFill="1" applyBorder="1"/>
    <xf numFmtId="0" fontId="16" fillId="11" borderId="30" xfId="1" applyFont="1" applyFill="1" applyBorder="1" applyProtection="1">
      <protection locked="0"/>
    </xf>
    <xf numFmtId="0" fontId="16" fillId="0" borderId="65" xfId="1" applyFont="1" applyBorder="1" applyAlignment="1" applyProtection="1">
      <alignment horizontal="center" vertical="center"/>
      <protection locked="0"/>
    </xf>
    <xf numFmtId="2" fontId="16" fillId="6" borderId="46" xfId="1" applyNumberFormat="1" applyFont="1" applyFill="1" applyBorder="1" applyAlignment="1">
      <alignment horizontal="center" vertical="center"/>
    </xf>
    <xf numFmtId="0" fontId="16" fillId="0" borderId="29" xfId="1" applyFont="1" applyBorder="1" applyAlignment="1" applyProtection="1">
      <alignment horizontal="left" vertical="center"/>
      <protection locked="0"/>
    </xf>
    <xf numFmtId="2" fontId="16" fillId="6" borderId="31" xfId="1" applyNumberFormat="1" applyFont="1" applyFill="1" applyBorder="1" applyAlignment="1">
      <alignment horizontal="center" vertical="center"/>
    </xf>
    <xf numFmtId="0" fontId="13" fillId="0" borderId="0" xfId="1" applyFont="1"/>
    <xf numFmtId="0" fontId="16" fillId="3" borderId="66" xfId="1" applyFont="1" applyFill="1" applyBorder="1" applyAlignment="1">
      <alignment horizontal="center" vertical="center"/>
    </xf>
    <xf numFmtId="0" fontId="16" fillId="3" borderId="31" xfId="1" applyFont="1" applyFill="1" applyBorder="1" applyAlignment="1">
      <alignment horizontal="center" vertical="center"/>
    </xf>
    <xf numFmtId="0" fontId="33" fillId="3" borderId="29" xfId="1" applyFont="1" applyFill="1" applyBorder="1" applyAlignment="1">
      <alignment horizontal="left" vertical="center"/>
    </xf>
    <xf numFmtId="0" fontId="37" fillId="0" borderId="0" xfId="1" applyFont="1"/>
    <xf numFmtId="0" fontId="13" fillId="10" borderId="33" xfId="1" applyFont="1" applyFill="1" applyBorder="1"/>
    <xf numFmtId="0" fontId="32" fillId="3" borderId="23" xfId="1" applyFont="1" applyFill="1" applyBorder="1" applyAlignment="1">
      <alignment horizontal="center" vertical="center" wrapText="1"/>
    </xf>
    <xf numFmtId="0" fontId="32" fillId="3" borderId="18" xfId="1" applyFont="1" applyFill="1" applyBorder="1" applyAlignment="1">
      <alignment horizontal="center" vertical="center" wrapText="1"/>
    </xf>
    <xf numFmtId="0" fontId="7" fillId="10" borderId="70" xfId="1" applyFill="1" applyBorder="1"/>
    <xf numFmtId="0" fontId="13" fillId="0" borderId="17" xfId="1" applyFont="1" applyBorder="1" applyAlignment="1" applyProtection="1">
      <alignment horizontal="left" vertical="center"/>
      <protection locked="0"/>
    </xf>
    <xf numFmtId="166" fontId="13" fillId="6" borderId="17" xfId="1" applyNumberFormat="1" applyFont="1" applyFill="1" applyBorder="1" applyAlignment="1">
      <alignment horizontal="center" vertical="center"/>
    </xf>
    <xf numFmtId="4" fontId="13" fillId="0" borderId="17" xfId="1" applyNumberFormat="1" applyFont="1" applyBorder="1" applyAlignment="1" applyProtection="1">
      <alignment horizontal="center" vertical="center"/>
      <protection locked="0"/>
    </xf>
    <xf numFmtId="9" fontId="13" fillId="0" borderId="17" xfId="1" applyNumberFormat="1" applyFont="1" applyBorder="1" applyAlignment="1" applyProtection="1">
      <alignment horizontal="center" vertical="center"/>
      <protection locked="0"/>
    </xf>
    <xf numFmtId="0" fontId="13" fillId="6" borderId="17" xfId="1" applyFont="1" applyFill="1" applyBorder="1" applyAlignment="1">
      <alignment horizontal="center" vertical="center"/>
    </xf>
    <xf numFmtId="10" fontId="7" fillId="0" borderId="47" xfId="1" applyNumberFormat="1" applyBorder="1" applyAlignment="1">
      <alignment horizontal="center" vertical="center"/>
    </xf>
    <xf numFmtId="2" fontId="7" fillId="0" borderId="48" xfId="1" applyNumberFormat="1" applyBorder="1" applyAlignment="1">
      <alignment horizontal="center" vertical="center"/>
    </xf>
    <xf numFmtId="2" fontId="7" fillId="0" borderId="49" xfId="1" applyNumberFormat="1" applyBorder="1" applyAlignment="1">
      <alignment horizontal="center" vertical="center"/>
    </xf>
    <xf numFmtId="2" fontId="7" fillId="0" borderId="0" xfId="1" applyNumberFormat="1" applyAlignment="1">
      <alignment horizontal="center" vertical="center"/>
    </xf>
    <xf numFmtId="2" fontId="7" fillId="0" borderId="47" xfId="1" applyNumberFormat="1" applyBorder="1" applyAlignment="1">
      <alignment horizontal="center" vertical="center"/>
    </xf>
    <xf numFmtId="0" fontId="7" fillId="0" borderId="36" xfId="1" applyBorder="1" applyAlignment="1">
      <alignment horizontal="left" vertical="center" wrapText="1"/>
    </xf>
    <xf numFmtId="166" fontId="7" fillId="0" borderId="48" xfId="1" applyNumberFormat="1" applyBorder="1" applyAlignment="1">
      <alignment horizontal="center" vertical="center"/>
    </xf>
    <xf numFmtId="0" fontId="7" fillId="0" borderId="74" xfId="1" applyBorder="1" applyAlignment="1">
      <alignment horizontal="center" vertical="center"/>
    </xf>
    <xf numFmtId="0" fontId="7" fillId="0" borderId="47" xfId="1" applyBorder="1"/>
    <xf numFmtId="0" fontId="7" fillId="0" borderId="75" xfId="1" applyBorder="1"/>
    <xf numFmtId="0" fontId="7" fillId="0" borderId="76" xfId="1" applyBorder="1"/>
    <xf numFmtId="2" fontId="7" fillId="0" borderId="17" xfId="1" applyNumberFormat="1" applyBorder="1" applyAlignment="1">
      <alignment horizontal="center" vertical="center"/>
    </xf>
    <xf numFmtId="2" fontId="7" fillId="0" borderId="51" xfId="1" applyNumberFormat="1" applyBorder="1" applyAlignment="1">
      <alignment horizontal="center" vertical="center"/>
    </xf>
    <xf numFmtId="0" fontId="7" fillId="0" borderId="40" xfId="1" applyBorder="1" applyAlignment="1">
      <alignment horizontal="left" vertical="center" wrapText="1"/>
    </xf>
    <xf numFmtId="166" fontId="7" fillId="0" borderId="17" xfId="1" applyNumberFormat="1" applyBorder="1" applyAlignment="1">
      <alignment horizontal="center" vertical="center"/>
    </xf>
    <xf numFmtId="0" fontId="7" fillId="0" borderId="18" xfId="1" applyBorder="1" applyAlignment="1">
      <alignment horizontal="center" vertical="center"/>
    </xf>
    <xf numFmtId="0" fontId="7" fillId="0" borderId="50" xfId="1" applyBorder="1"/>
    <xf numFmtId="0" fontId="7" fillId="8" borderId="40" xfId="1" applyFill="1" applyBorder="1" applyAlignment="1">
      <alignment horizontal="left" vertical="center" wrapText="1"/>
    </xf>
    <xf numFmtId="2" fontId="7" fillId="0" borderId="53" xfId="1" applyNumberFormat="1" applyBorder="1" applyAlignment="1">
      <alignment horizontal="center" vertical="center"/>
    </xf>
    <xf numFmtId="2" fontId="7" fillId="0" borderId="54" xfId="1" applyNumberFormat="1" applyBorder="1" applyAlignment="1">
      <alignment horizontal="center" vertical="center"/>
    </xf>
    <xf numFmtId="4" fontId="7" fillId="10" borderId="30" xfId="1" applyNumberFormat="1" applyFill="1" applyBorder="1"/>
    <xf numFmtId="0" fontId="38" fillId="0" borderId="0" xfId="1" applyFont="1" applyAlignment="1">
      <alignment horizontal="center" vertical="center"/>
    </xf>
    <xf numFmtId="4" fontId="7" fillId="0" borderId="0" xfId="1" applyNumberFormat="1"/>
    <xf numFmtId="166" fontId="25" fillId="0" borderId="17" xfId="2" applyNumberFormat="1" applyBorder="1" applyAlignment="1">
      <alignment horizontal="center" vertical="center"/>
    </xf>
    <xf numFmtId="0" fontId="7" fillId="0" borderId="77" xfId="1" applyBorder="1" applyAlignment="1">
      <alignment horizontal="left" vertical="center" wrapText="1"/>
    </xf>
    <xf numFmtId="166" fontId="7" fillId="0" borderId="23" xfId="1" applyNumberFormat="1" applyBorder="1" applyAlignment="1">
      <alignment horizontal="center" vertical="center"/>
    </xf>
    <xf numFmtId="0" fontId="7" fillId="0" borderId="78" xfId="1" applyBorder="1" applyAlignment="1">
      <alignment horizontal="center" vertical="center"/>
    </xf>
    <xf numFmtId="0" fontId="7" fillId="0" borderId="50" xfId="1" applyBorder="1" applyAlignment="1">
      <alignment horizontal="left" vertical="center" wrapText="1"/>
    </xf>
    <xf numFmtId="0" fontId="7" fillId="0" borderId="51" xfId="1" applyBorder="1" applyAlignment="1">
      <alignment horizontal="center" vertical="center"/>
    </xf>
    <xf numFmtId="0" fontId="7" fillId="0" borderId="79" xfId="1" applyBorder="1" applyAlignment="1">
      <alignment horizontal="left" vertical="center" wrapText="1"/>
    </xf>
    <xf numFmtId="0" fontId="7" fillId="0" borderId="58" xfId="1" applyBorder="1" applyAlignment="1">
      <alignment horizontal="center" vertical="center"/>
    </xf>
    <xf numFmtId="0" fontId="7" fillId="0" borderId="77" xfId="1" applyBorder="1" applyAlignment="1" applyProtection="1">
      <alignment horizontal="left" vertical="center"/>
      <protection locked="0"/>
    </xf>
    <xf numFmtId="166" fontId="7" fillId="0" borderId="23" xfId="1" applyNumberFormat="1" applyBorder="1" applyAlignment="1" applyProtection="1">
      <alignment horizontal="center" vertical="center"/>
      <protection locked="0"/>
    </xf>
    <xf numFmtId="0" fontId="7" fillId="0" borderId="58" xfId="1" applyBorder="1" applyAlignment="1" applyProtection="1">
      <alignment horizontal="center" vertical="center"/>
      <protection locked="0"/>
    </xf>
    <xf numFmtId="0" fontId="7" fillId="0" borderId="40" xfId="1" applyBorder="1" applyAlignment="1" applyProtection="1">
      <alignment horizontal="left" vertical="center"/>
      <protection locked="0"/>
    </xf>
    <xf numFmtId="166" fontId="7" fillId="0" borderId="17" xfId="1" applyNumberFormat="1" applyBorder="1" applyAlignment="1" applyProtection="1">
      <alignment horizontal="center" vertical="center"/>
      <protection locked="0"/>
    </xf>
    <xf numFmtId="0" fontId="7" fillId="0" borderId="17" xfId="1" applyBorder="1" applyAlignment="1">
      <alignment horizontal="center" vertical="center"/>
    </xf>
    <xf numFmtId="0" fontId="7" fillId="0" borderId="42" xfId="1" applyBorder="1" applyAlignment="1">
      <alignment horizontal="left" vertical="center" wrapText="1"/>
    </xf>
    <xf numFmtId="166" fontId="7" fillId="0" borderId="53" xfId="1" applyNumberFormat="1" applyBorder="1" applyAlignment="1">
      <alignment horizontal="center" vertical="center"/>
    </xf>
    <xf numFmtId="0" fontId="7" fillId="0" borderId="53" xfId="1" applyBorder="1" applyAlignment="1">
      <alignment horizontal="center" vertical="center"/>
    </xf>
    <xf numFmtId="0" fontId="7" fillId="0" borderId="35" xfId="1" applyBorder="1" applyAlignment="1" applyProtection="1">
      <alignment horizontal="left" vertical="center" wrapText="1"/>
      <protection locked="0"/>
    </xf>
    <xf numFmtId="166" fontId="7" fillId="0" borderId="72" xfId="1" applyNumberFormat="1" applyBorder="1" applyAlignment="1" applyProtection="1">
      <alignment horizontal="center" vertical="center"/>
      <protection locked="0"/>
    </xf>
    <xf numFmtId="0" fontId="7" fillId="0" borderId="72" xfId="1" applyBorder="1" applyAlignment="1" applyProtection="1">
      <alignment horizontal="center" vertical="center"/>
      <protection locked="0"/>
    </xf>
    <xf numFmtId="0" fontId="19" fillId="0" borderId="80" xfId="1" applyFont="1" applyBorder="1" applyAlignment="1">
      <alignment horizontal="left" vertical="center" wrapText="1"/>
    </xf>
    <xf numFmtId="0" fontId="19" fillId="0" borderId="80" xfId="1" applyFont="1" applyBorder="1" applyAlignment="1">
      <alignment horizontal="center" vertical="center" wrapText="1"/>
    </xf>
    <xf numFmtId="0" fontId="19" fillId="0" borderId="61" xfId="1" applyFont="1" applyBorder="1" applyAlignment="1">
      <alignment horizontal="center" vertical="center" wrapText="1"/>
    </xf>
    <xf numFmtId="0" fontId="19" fillId="0" borderId="31" xfId="1" applyFont="1" applyBorder="1" applyAlignment="1">
      <alignment horizontal="center" vertical="center" wrapText="1"/>
    </xf>
    <xf numFmtId="0" fontId="19" fillId="0" borderId="29" xfId="1" applyFont="1" applyBorder="1" applyAlignment="1">
      <alignment horizontal="center" vertical="center" wrapText="1"/>
    </xf>
    <xf numFmtId="0" fontId="7" fillId="0" borderId="68" xfId="1" applyBorder="1" applyAlignment="1">
      <alignment horizontal="center" vertical="center"/>
    </xf>
    <xf numFmtId="0" fontId="7" fillId="0" borderId="37" xfId="1" applyBorder="1" applyAlignment="1">
      <alignment horizontal="left" vertical="center"/>
    </xf>
    <xf numFmtId="0" fontId="7" fillId="0" borderId="48" xfId="1" applyBorder="1"/>
    <xf numFmtId="0" fontId="7" fillId="0" borderId="72" xfId="1" applyBorder="1" applyAlignment="1">
      <alignment horizontal="center" vertical="center"/>
    </xf>
    <xf numFmtId="0" fontId="7" fillId="0" borderId="81" xfId="1" applyBorder="1" applyAlignment="1">
      <alignment horizontal="left" vertical="center"/>
    </xf>
    <xf numFmtId="0" fontId="7" fillId="0" borderId="23" xfId="1" applyBorder="1" applyAlignment="1">
      <alignment horizontal="center" vertical="center"/>
    </xf>
    <xf numFmtId="0" fontId="7" fillId="0" borderId="83" xfId="1" applyBorder="1" applyAlignment="1">
      <alignment horizontal="left" vertical="center"/>
    </xf>
    <xf numFmtId="0" fontId="7" fillId="0" borderId="19" xfId="1" applyBorder="1" applyAlignment="1">
      <alignment horizontal="left" vertical="center"/>
    </xf>
    <xf numFmtId="0" fontId="7" fillId="0" borderId="78" xfId="1" applyBorder="1" applyAlignment="1">
      <alignment horizontal="left" vertical="center"/>
    </xf>
    <xf numFmtId="0" fontId="7" fillId="0" borderId="84" xfId="1" applyBorder="1" applyAlignment="1">
      <alignment horizontal="left" vertical="center"/>
    </xf>
    <xf numFmtId="0" fontId="7" fillId="0" borderId="43" xfId="1" applyBorder="1" applyAlignment="1">
      <alignment horizontal="left" vertical="center"/>
    </xf>
    <xf numFmtId="0" fontId="7" fillId="0" borderId="48" xfId="1" applyBorder="1" applyAlignment="1">
      <alignment horizontal="center" vertical="center"/>
    </xf>
    <xf numFmtId="0" fontId="7" fillId="0" borderId="48" xfId="1" applyBorder="1" applyAlignment="1">
      <alignment horizontal="left" vertical="center"/>
    </xf>
    <xf numFmtId="0" fontId="7" fillId="0" borderId="49" xfId="1" applyBorder="1"/>
    <xf numFmtId="0" fontId="7" fillId="0" borderId="17" xfId="1" applyBorder="1" applyAlignment="1">
      <alignment horizontal="left" vertical="center"/>
    </xf>
    <xf numFmtId="0" fontId="7" fillId="0" borderId="17" xfId="1" applyBorder="1"/>
    <xf numFmtId="0" fontId="7" fillId="0" borderId="51" xfId="1" applyBorder="1"/>
    <xf numFmtId="0" fontId="7" fillId="0" borderId="53" xfId="1" applyBorder="1" applyAlignment="1">
      <alignment horizontal="left" vertical="center"/>
    </xf>
    <xf numFmtId="0" fontId="7" fillId="0" borderId="53" xfId="1" applyBorder="1"/>
    <xf numFmtId="0" fontId="7" fillId="0" borderId="54" xfId="1" applyBorder="1"/>
    <xf numFmtId="166" fontId="7" fillId="0" borderId="0" xfId="1" applyNumberFormat="1" applyAlignment="1">
      <alignment horizontal="center" vertical="center"/>
    </xf>
    <xf numFmtId="0" fontId="7" fillId="0" borderId="0" xfId="1" applyAlignment="1">
      <alignment horizontal="left" vertical="center"/>
    </xf>
    <xf numFmtId="0" fontId="7" fillId="12" borderId="48" xfId="1" applyFill="1" applyBorder="1"/>
    <xf numFmtId="0" fontId="7" fillId="12" borderId="50" xfId="1" applyFill="1" applyBorder="1"/>
    <xf numFmtId="0" fontId="7" fillId="0" borderId="52" xfId="1" applyBorder="1" applyProtection="1">
      <protection locked="0"/>
    </xf>
    <xf numFmtId="0" fontId="7" fillId="12" borderId="54" xfId="1" applyFill="1" applyBorder="1"/>
    <xf numFmtId="0" fontId="7" fillId="12" borderId="52" xfId="1" applyFill="1" applyBorder="1"/>
    <xf numFmtId="0" fontId="7" fillId="12" borderId="53" xfId="1" applyFill="1" applyBorder="1"/>
    <xf numFmtId="0" fontId="7" fillId="12" borderId="53" xfId="1" applyFill="1" applyBorder="1" applyProtection="1">
      <protection locked="0"/>
    </xf>
    <xf numFmtId="0" fontId="7" fillId="0" borderId="0" xfId="1" applyProtection="1">
      <protection locked="0"/>
    </xf>
    <xf numFmtId="0" fontId="7" fillId="12" borderId="47" xfId="1" applyFill="1" applyBorder="1"/>
    <xf numFmtId="0" fontId="7" fillId="0" borderId="52" xfId="1" applyBorder="1"/>
    <xf numFmtId="0" fontId="7" fillId="0" borderId="67" xfId="1" applyBorder="1"/>
    <xf numFmtId="0" fontId="7" fillId="12" borderId="67" xfId="1" applyFill="1" applyBorder="1"/>
    <xf numFmtId="0" fontId="7" fillId="0" borderId="55" xfId="1" applyBorder="1"/>
    <xf numFmtId="0" fontId="7" fillId="0" borderId="56" xfId="1" applyBorder="1"/>
    <xf numFmtId="0" fontId="5" fillId="0" borderId="0" xfId="1" applyFont="1"/>
    <xf numFmtId="0" fontId="7" fillId="0" borderId="36" xfId="1" applyBorder="1"/>
    <xf numFmtId="0" fontId="7" fillId="0" borderId="37" xfId="1" applyBorder="1"/>
    <xf numFmtId="2" fontId="7" fillId="8" borderId="38" xfId="1" applyNumberFormat="1" applyFill="1" applyBorder="1" applyAlignment="1">
      <alignment horizontal="right" vertical="center"/>
    </xf>
    <xf numFmtId="0" fontId="7" fillId="0" borderId="40" xfId="1" applyBorder="1"/>
    <xf numFmtId="0" fontId="7" fillId="0" borderId="19" xfId="1" applyBorder="1"/>
    <xf numFmtId="2" fontId="7" fillId="8" borderId="41" xfId="1" applyNumberFormat="1" applyFill="1" applyBorder="1" applyAlignment="1">
      <alignment horizontal="right" vertical="center"/>
    </xf>
    <xf numFmtId="0" fontId="7" fillId="0" borderId="40" xfId="1" applyBorder="1" applyAlignment="1">
      <alignment horizontal="left" vertical="center"/>
    </xf>
    <xf numFmtId="0" fontId="7" fillId="8" borderId="41" xfId="1" applyFill="1" applyBorder="1" applyAlignment="1">
      <alignment horizontal="right" vertical="center"/>
    </xf>
    <xf numFmtId="0" fontId="7" fillId="0" borderId="42" xfId="1" applyBorder="1"/>
    <xf numFmtId="0" fontId="7" fillId="0" borderId="43" xfId="1" applyBorder="1"/>
    <xf numFmtId="2" fontId="7" fillId="8" borderId="44" xfId="1" applyNumberFormat="1" applyFill="1" applyBorder="1" applyAlignment="1">
      <alignment horizontal="right" vertical="center"/>
    </xf>
    <xf numFmtId="0" fontId="13" fillId="0" borderId="0" xfId="1" applyFont="1" applyAlignment="1">
      <alignment horizontal="left" vertical="center" wrapText="1"/>
    </xf>
    <xf numFmtId="0" fontId="13" fillId="10" borderId="32" xfId="1" applyFont="1" applyFill="1" applyBorder="1"/>
    <xf numFmtId="0" fontId="13" fillId="10" borderId="33" xfId="1" applyFont="1" applyFill="1" applyBorder="1" applyAlignment="1">
      <alignment horizontal="left" vertical="center" wrapText="1"/>
    </xf>
    <xf numFmtId="0" fontId="13" fillId="10" borderId="34" xfId="1" applyFont="1" applyFill="1" applyBorder="1"/>
    <xf numFmtId="0" fontId="13" fillId="10" borderId="35" xfId="1" applyFont="1" applyFill="1" applyBorder="1"/>
    <xf numFmtId="0" fontId="13" fillId="10" borderId="39" xfId="1" applyFont="1" applyFill="1" applyBorder="1"/>
    <xf numFmtId="0" fontId="40" fillId="0" borderId="50" xfId="1" applyFont="1" applyBorder="1" applyAlignment="1" applyProtection="1">
      <alignment horizontal="left" vertical="center" wrapText="1"/>
      <protection locked="0"/>
    </xf>
    <xf numFmtId="166" fontId="40" fillId="6" borderId="17" xfId="1" applyNumberFormat="1" applyFont="1" applyFill="1" applyBorder="1" applyAlignment="1">
      <alignment horizontal="center" vertical="center" wrapText="1"/>
    </xf>
    <xf numFmtId="1" fontId="40" fillId="0" borderId="51" xfId="1" applyNumberFormat="1" applyFont="1" applyBorder="1" applyAlignment="1" applyProtection="1">
      <alignment horizontal="center" vertical="center" wrapText="1"/>
      <protection locked="0"/>
    </xf>
    <xf numFmtId="0" fontId="40" fillId="0" borderId="50" xfId="1" applyFont="1" applyBorder="1" applyAlignment="1" applyProtection="1">
      <alignment horizontal="center" vertical="center" wrapText="1"/>
      <protection locked="0"/>
    </xf>
    <xf numFmtId="0" fontId="40" fillId="0" borderId="17" xfId="1" applyFont="1" applyBorder="1" applyAlignment="1" applyProtection="1">
      <alignment horizontal="center" vertical="center" wrapText="1"/>
      <protection locked="0"/>
    </xf>
    <xf numFmtId="14" fontId="40" fillId="0" borderId="17" xfId="1" applyNumberFormat="1" applyFont="1" applyBorder="1" applyAlignment="1" applyProtection="1">
      <alignment horizontal="center" vertical="center" wrapText="1"/>
      <protection locked="0"/>
    </xf>
    <xf numFmtId="14" fontId="40" fillId="0" borderId="41" xfId="1" applyNumberFormat="1" applyFont="1" applyBorder="1" applyAlignment="1" applyProtection="1">
      <alignment horizontal="center" vertical="center" wrapText="1"/>
      <protection locked="0"/>
    </xf>
    <xf numFmtId="14" fontId="40" fillId="0" borderId="18" xfId="1" applyNumberFormat="1" applyFont="1" applyBorder="1" applyAlignment="1" applyProtection="1">
      <alignment horizontal="center" vertical="center" wrapText="1"/>
      <protection locked="0"/>
    </xf>
    <xf numFmtId="0" fontId="32" fillId="0" borderId="51" xfId="1" applyFont="1" applyBorder="1" applyAlignment="1" applyProtection="1">
      <alignment horizontal="center" vertical="center" wrapText="1"/>
      <protection locked="0"/>
    </xf>
    <xf numFmtId="0" fontId="40" fillId="0" borderId="52" xfId="1" applyFont="1" applyBorder="1" applyAlignment="1" applyProtection="1">
      <alignment horizontal="left" vertical="center" wrapText="1"/>
      <protection locked="0"/>
    </xf>
    <xf numFmtId="166" fontId="40" fillId="6" borderId="53" xfId="1" applyNumberFormat="1" applyFont="1" applyFill="1" applyBorder="1" applyAlignment="1">
      <alignment horizontal="center" vertical="center" wrapText="1"/>
    </xf>
    <xf numFmtId="1" fontId="40" fillId="0" borderId="54" xfId="1" applyNumberFormat="1" applyFont="1" applyBorder="1" applyAlignment="1" applyProtection="1">
      <alignment horizontal="center" vertical="center" wrapText="1"/>
      <protection locked="0"/>
    </xf>
    <xf numFmtId="0" fontId="40" fillId="0" borderId="52" xfId="1" applyFont="1" applyBorder="1" applyAlignment="1" applyProtection="1">
      <alignment horizontal="center" vertical="center" wrapText="1"/>
      <protection locked="0"/>
    </xf>
    <xf numFmtId="0" fontId="40" fillId="0" borderId="53" xfId="1" applyFont="1" applyBorder="1" applyAlignment="1" applyProtection="1">
      <alignment horizontal="center" vertical="center" wrapText="1"/>
      <protection locked="0"/>
    </xf>
    <xf numFmtId="14" fontId="40" fillId="0" borderId="53" xfId="1" applyNumberFormat="1" applyFont="1" applyBorder="1" applyAlignment="1" applyProtection="1">
      <alignment horizontal="center" vertical="center" wrapText="1"/>
      <protection locked="0"/>
    </xf>
    <xf numFmtId="14" fontId="40" fillId="0" borderId="44" xfId="1" applyNumberFormat="1" applyFont="1" applyBorder="1" applyAlignment="1" applyProtection="1">
      <alignment horizontal="center" vertical="center" wrapText="1"/>
      <protection locked="0"/>
    </xf>
    <xf numFmtId="0" fontId="32" fillId="0" borderId="54" xfId="1" applyFont="1" applyBorder="1" applyAlignment="1" applyProtection="1">
      <alignment horizontal="center" vertical="center" wrapText="1"/>
      <protection locked="0"/>
    </xf>
    <xf numFmtId="0" fontId="43" fillId="0" borderId="60" xfId="1" applyFont="1" applyBorder="1" applyAlignment="1" applyProtection="1">
      <alignment horizontal="center" vertical="center"/>
      <protection locked="0"/>
    </xf>
    <xf numFmtId="0" fontId="11" fillId="3" borderId="67" xfId="1" applyFont="1" applyFill="1" applyBorder="1" applyAlignment="1">
      <alignment horizontal="center" vertical="center" wrapText="1"/>
    </xf>
    <xf numFmtId="0" fontId="11" fillId="3" borderId="68" xfId="1" applyFont="1" applyFill="1" applyBorder="1" applyAlignment="1">
      <alignment horizontal="center" vertical="center" wrapText="1"/>
    </xf>
    <xf numFmtId="0" fontId="11" fillId="9" borderId="68" xfId="1" applyFont="1" applyFill="1" applyBorder="1" applyAlignment="1">
      <alignment horizontal="center" vertical="center" wrapText="1"/>
    </xf>
    <xf numFmtId="0" fontId="11" fillId="3" borderId="105" xfId="1" applyFont="1" applyFill="1" applyBorder="1" applyAlignment="1">
      <alignment horizontal="center" vertical="center" wrapText="1"/>
    </xf>
    <xf numFmtId="0" fontId="11" fillId="3" borderId="69" xfId="1" applyFont="1" applyFill="1" applyBorder="1" applyAlignment="1">
      <alignment horizontal="center" vertical="center" wrapText="1"/>
    </xf>
    <xf numFmtId="22" fontId="7" fillId="0" borderId="0" xfId="1" applyNumberFormat="1"/>
    <xf numFmtId="0" fontId="12" fillId="0" borderId="47" xfId="1" applyFont="1" applyBorder="1" applyAlignment="1" applyProtection="1">
      <alignment horizontal="left" vertical="center" wrapText="1"/>
      <protection locked="0"/>
    </xf>
    <xf numFmtId="0" fontId="12" fillId="0" borderId="48" xfId="1" applyFont="1" applyBorder="1" applyAlignment="1" applyProtection="1">
      <alignment horizontal="center" vertical="center" wrapText="1"/>
      <protection locked="0"/>
    </xf>
    <xf numFmtId="0" fontId="12" fillId="0" borderId="48" xfId="1" applyFont="1" applyBorder="1" applyAlignment="1" applyProtection="1">
      <alignment horizontal="center" vertical="center"/>
      <protection locked="0"/>
    </xf>
    <xf numFmtId="0" fontId="40" fillId="0" borderId="48" xfId="1" applyFont="1" applyBorder="1" applyAlignment="1" applyProtection="1">
      <alignment horizontal="center" vertical="center" wrapText="1"/>
      <protection locked="0"/>
    </xf>
    <xf numFmtId="0" fontId="45" fillId="0" borderId="48" xfId="1" applyFont="1" applyBorder="1" applyAlignment="1" applyProtection="1">
      <alignment horizontal="center" vertical="center"/>
      <protection locked="0"/>
    </xf>
    <xf numFmtId="14" fontId="13" fillId="0" borderId="49" xfId="1" applyNumberFormat="1" applyFont="1" applyBorder="1" applyAlignment="1" applyProtection="1">
      <alignment horizontal="left" vertical="center" wrapText="1"/>
      <protection locked="0"/>
    </xf>
    <xf numFmtId="0" fontId="12" fillId="0" borderId="50" xfId="1" applyFont="1" applyBorder="1" applyAlignment="1" applyProtection="1">
      <alignment horizontal="left" vertical="center" wrapText="1"/>
      <protection locked="0"/>
    </xf>
    <xf numFmtId="0" fontId="12" fillId="0" borderId="17" xfId="1" applyFont="1" applyBorder="1" applyAlignment="1" applyProtection="1">
      <alignment horizontal="center" vertical="center" wrapText="1"/>
      <protection locked="0"/>
    </xf>
    <xf numFmtId="0" fontId="13" fillId="0" borderId="17" xfId="1" applyFont="1" applyBorder="1" applyAlignment="1" applyProtection="1">
      <alignment vertical="center"/>
      <protection locked="0"/>
    </xf>
    <xf numFmtId="0" fontId="13" fillId="0" borderId="17" xfId="1" applyFont="1" applyBorder="1" applyAlignment="1" applyProtection="1">
      <alignment horizontal="right" vertical="center" wrapText="1"/>
      <protection locked="0"/>
    </xf>
    <xf numFmtId="14" fontId="13" fillId="0" borderId="51" xfId="1" applyNumberFormat="1" applyFont="1" applyBorder="1" applyAlignment="1" applyProtection="1">
      <alignment horizontal="left" vertical="center" wrapText="1"/>
      <protection locked="0"/>
    </xf>
    <xf numFmtId="0" fontId="12" fillId="0" borderId="52" xfId="1" applyFont="1" applyBorder="1" applyAlignment="1" applyProtection="1">
      <alignment horizontal="left" vertical="center" wrapText="1"/>
      <protection locked="0"/>
    </xf>
    <xf numFmtId="0" fontId="12" fillId="0" borderId="53" xfId="1" applyFont="1" applyBorder="1" applyAlignment="1" applyProtection="1">
      <alignment horizontal="center" vertical="center" wrapText="1"/>
      <protection locked="0"/>
    </xf>
    <xf numFmtId="0" fontId="13" fillId="0" borderId="53" xfId="1" applyFont="1" applyBorder="1" applyAlignment="1" applyProtection="1">
      <alignment vertical="center"/>
      <protection locked="0"/>
    </xf>
    <xf numFmtId="0" fontId="13" fillId="0" borderId="53" xfId="1" applyFont="1" applyBorder="1" applyAlignment="1" applyProtection="1">
      <alignment horizontal="right" vertical="center" wrapText="1"/>
      <protection locked="0"/>
    </xf>
    <xf numFmtId="14" fontId="13" fillId="0" borderId="54" xfId="1" applyNumberFormat="1" applyFont="1" applyBorder="1" applyAlignment="1" applyProtection="1">
      <alignment horizontal="left" vertical="center" wrapText="1"/>
      <protection locked="0"/>
    </xf>
    <xf numFmtId="0" fontId="7" fillId="0" borderId="76" xfId="1" applyBorder="1" applyAlignment="1">
      <alignment horizontal="left" vertical="center"/>
    </xf>
    <xf numFmtId="0" fontId="32" fillId="14" borderId="18" xfId="1" applyFont="1" applyFill="1" applyBorder="1" applyAlignment="1" applyProtection="1">
      <alignment horizontal="center" vertical="center" wrapText="1"/>
      <protection locked="0"/>
    </xf>
    <xf numFmtId="0" fontId="32" fillId="14" borderId="0" xfId="1" applyFont="1" applyFill="1" applyAlignment="1" applyProtection="1">
      <alignment horizontal="center" vertical="center" wrapText="1"/>
      <protection locked="0"/>
    </xf>
    <xf numFmtId="1" fontId="13" fillId="0" borderId="17" xfId="1" applyNumberFormat="1" applyFont="1" applyBorder="1" applyAlignment="1" applyProtection="1">
      <alignment horizontal="center" vertical="center"/>
      <protection locked="0"/>
    </xf>
    <xf numFmtId="1" fontId="7" fillId="15" borderId="0" xfId="1" applyNumberFormat="1" applyFill="1" applyAlignment="1">
      <alignment horizontal="center" vertical="center"/>
    </xf>
    <xf numFmtId="0" fontId="7" fillId="7" borderId="0" xfId="1" applyFill="1" applyAlignment="1">
      <alignment horizontal="center" vertical="center"/>
    </xf>
    <xf numFmtId="0" fontId="7" fillId="16" borderId="0" xfId="1" applyFill="1" applyAlignment="1">
      <alignment horizontal="center" vertical="center"/>
    </xf>
    <xf numFmtId="49" fontId="13" fillId="0" borderId="0" xfId="1" applyNumberFormat="1" applyFont="1"/>
    <xf numFmtId="14" fontId="13" fillId="0" borderId="0" xfId="1" applyNumberFormat="1" applyFont="1"/>
    <xf numFmtId="168" fontId="13" fillId="0" borderId="0" xfId="1" applyNumberFormat="1" applyFont="1"/>
    <xf numFmtId="49" fontId="13" fillId="10" borderId="33" xfId="1" applyNumberFormat="1" applyFont="1" applyFill="1" applyBorder="1"/>
    <xf numFmtId="14" fontId="13" fillId="10" borderId="33" xfId="1" applyNumberFormat="1" applyFont="1" applyFill="1" applyBorder="1"/>
    <xf numFmtId="168" fontId="13" fillId="10" borderId="33" xfId="1" applyNumberFormat="1" applyFont="1" applyFill="1" applyBorder="1"/>
    <xf numFmtId="49" fontId="32" fillId="3" borderId="23" xfId="1" applyNumberFormat="1" applyFont="1" applyFill="1" applyBorder="1" applyAlignment="1">
      <alignment horizontal="center" vertical="center" wrapText="1"/>
    </xf>
    <xf numFmtId="14" fontId="32" fillId="3" borderId="23" xfId="1" applyNumberFormat="1" applyFont="1" applyFill="1" applyBorder="1" applyAlignment="1">
      <alignment horizontal="center" vertical="center" wrapText="1"/>
    </xf>
    <xf numFmtId="168" fontId="32" fillId="3" borderId="23" xfId="1" applyNumberFormat="1" applyFont="1" applyFill="1" applyBorder="1" applyAlignment="1">
      <alignment horizontal="center" vertical="center" wrapText="1"/>
    </xf>
    <xf numFmtId="49" fontId="13" fillId="0" borderId="17" xfId="1" applyNumberFormat="1" applyFont="1" applyBorder="1" applyAlignment="1" applyProtection="1">
      <alignment horizontal="center" vertical="center"/>
      <protection locked="0"/>
    </xf>
    <xf numFmtId="14" fontId="13" fillId="0" borderId="17" xfId="1" applyNumberFormat="1" applyFont="1" applyBorder="1" applyAlignment="1" applyProtection="1">
      <alignment horizontal="center" vertical="center"/>
      <protection locked="0"/>
    </xf>
    <xf numFmtId="168" fontId="13" fillId="0" borderId="17" xfId="1" applyNumberFormat="1" applyFont="1" applyBorder="1" applyAlignment="1" applyProtection="1">
      <alignment horizontal="center" vertical="center"/>
      <protection locked="0"/>
    </xf>
    <xf numFmtId="0" fontId="32" fillId="0" borderId="17" xfId="1" applyFont="1" applyBorder="1" applyAlignment="1" applyProtection="1">
      <alignment horizontal="center" vertical="center" wrapText="1"/>
      <protection locked="0"/>
    </xf>
    <xf numFmtId="14" fontId="13" fillId="0" borderId="75" xfId="1" applyNumberFormat="1" applyFont="1" applyBorder="1" applyAlignment="1" applyProtection="1">
      <alignment horizontal="center" vertical="center"/>
      <protection locked="0"/>
    </xf>
    <xf numFmtId="168" fontId="13" fillId="0" borderId="75" xfId="1" applyNumberFormat="1" applyFont="1" applyBorder="1" applyAlignment="1" applyProtection="1">
      <alignment horizontal="center" vertical="center"/>
      <protection locked="0"/>
    </xf>
    <xf numFmtId="4" fontId="13" fillId="0" borderId="75" xfId="1" applyNumberFormat="1" applyFont="1" applyBorder="1" applyAlignment="1" applyProtection="1">
      <alignment horizontal="center" vertical="center"/>
      <protection locked="0"/>
    </xf>
    <xf numFmtId="0" fontId="32" fillId="0" borderId="75" xfId="1" applyFont="1" applyBorder="1" applyAlignment="1" applyProtection="1">
      <alignment horizontal="center" vertical="center" wrapText="1"/>
      <protection locked="0"/>
    </xf>
    <xf numFmtId="9" fontId="13" fillId="0" borderId="75" xfId="1" applyNumberFormat="1" applyFont="1" applyBorder="1" applyAlignment="1" applyProtection="1">
      <alignment horizontal="center" vertical="center"/>
      <protection locked="0"/>
    </xf>
    <xf numFmtId="49" fontId="7" fillId="10" borderId="30" xfId="1" applyNumberFormat="1" applyFill="1" applyBorder="1"/>
    <xf numFmtId="14" fontId="7" fillId="10" borderId="30" xfId="1" applyNumberFormat="1" applyFill="1" applyBorder="1"/>
    <xf numFmtId="168" fontId="7" fillId="10" borderId="30" xfId="1" applyNumberFormat="1" applyFill="1" applyBorder="1"/>
    <xf numFmtId="49" fontId="38" fillId="0" borderId="0" xfId="1" applyNumberFormat="1" applyFont="1" applyAlignment="1">
      <alignment horizontal="center" vertical="center"/>
    </xf>
    <xf numFmtId="14" fontId="38" fillId="0" borderId="0" xfId="1" applyNumberFormat="1" applyFont="1" applyAlignment="1">
      <alignment horizontal="center" vertical="center"/>
    </xf>
    <xf numFmtId="168" fontId="38" fillId="0" borderId="0" xfId="1" applyNumberFormat="1" applyFont="1" applyAlignment="1">
      <alignment horizontal="center" vertical="center"/>
    </xf>
    <xf numFmtId="49" fontId="7" fillId="0" borderId="0" xfId="1" applyNumberFormat="1"/>
    <xf numFmtId="14" fontId="7" fillId="0" borderId="0" xfId="1" applyNumberFormat="1"/>
    <xf numFmtId="168" fontId="7" fillId="0" borderId="0" xfId="1" applyNumberFormat="1"/>
    <xf numFmtId="0" fontId="7" fillId="5" borderId="106" xfId="1" applyFill="1" applyBorder="1"/>
    <xf numFmtId="0" fontId="7" fillId="5" borderId="107" xfId="1" applyFill="1" applyBorder="1"/>
    <xf numFmtId="0" fontId="7" fillId="5" borderId="108" xfId="1" applyFill="1" applyBorder="1"/>
    <xf numFmtId="0" fontId="7" fillId="5" borderId="109" xfId="1" applyFill="1" applyBorder="1"/>
    <xf numFmtId="0" fontId="16" fillId="5" borderId="0" xfId="1" applyFont="1" applyFill="1" applyAlignment="1">
      <alignment horizontal="center" vertical="center"/>
    </xf>
    <xf numFmtId="0" fontId="13" fillId="5" borderId="110" xfId="1" applyFont="1" applyFill="1" applyBorder="1"/>
    <xf numFmtId="0" fontId="13" fillId="5" borderId="0" xfId="1" applyFont="1" applyFill="1" applyAlignment="1">
      <alignment horizontal="center" vertical="center"/>
    </xf>
    <xf numFmtId="0" fontId="40" fillId="6" borderId="47" xfId="1" applyFont="1" applyFill="1" applyBorder="1" applyAlignment="1">
      <alignment vertical="center" wrapText="1"/>
    </xf>
    <xf numFmtId="0" fontId="40" fillId="18" borderId="95" xfId="1" applyFont="1" applyFill="1" applyBorder="1" applyAlignment="1">
      <alignment wrapText="1"/>
    </xf>
    <xf numFmtId="43" fontId="40" fillId="6" borderId="102" xfId="5" applyFont="1" applyFill="1" applyBorder="1" applyAlignment="1">
      <alignment horizontal="right" vertical="center"/>
    </xf>
    <xf numFmtId="2" fontId="40" fillId="5" borderId="0" xfId="1" applyNumberFormat="1" applyFont="1" applyFill="1" applyAlignment="1">
      <alignment horizontal="right" vertical="center"/>
    </xf>
    <xf numFmtId="0" fontId="40" fillId="6" borderId="82" xfId="1" applyFont="1" applyFill="1" applyBorder="1" applyAlignment="1">
      <alignment vertical="center" wrapText="1"/>
    </xf>
    <xf numFmtId="0" fontId="40" fillId="6" borderId="50" xfId="1" applyFont="1" applyFill="1" applyBorder="1" applyAlignment="1">
      <alignment vertical="center" wrapText="1"/>
    </xf>
    <xf numFmtId="0" fontId="40" fillId="18" borderId="20" xfId="1" applyFont="1" applyFill="1" applyBorder="1" applyAlignment="1">
      <alignment wrapText="1"/>
    </xf>
    <xf numFmtId="0" fontId="40" fillId="6" borderId="50" xfId="1" applyFont="1" applyFill="1" applyBorder="1" applyAlignment="1">
      <alignment vertical="center"/>
    </xf>
    <xf numFmtId="2" fontId="40" fillId="6" borderId="20" xfId="1" applyNumberFormat="1" applyFont="1" applyFill="1" applyBorder="1" applyAlignment="1">
      <alignment horizontal="right" vertical="center"/>
    </xf>
    <xf numFmtId="0" fontId="40" fillId="6" borderId="79" xfId="1" applyFont="1" applyFill="1" applyBorder="1" applyAlignment="1">
      <alignment vertical="center"/>
    </xf>
    <xf numFmtId="0" fontId="13" fillId="5" borderId="33" xfId="1" applyFont="1" applyFill="1" applyBorder="1"/>
    <xf numFmtId="0" fontId="32" fillId="5" borderId="0" xfId="1" applyFont="1" applyFill="1"/>
    <xf numFmtId="0" fontId="13" fillId="5" borderId="30" xfId="1" applyFont="1" applyFill="1" applyBorder="1"/>
    <xf numFmtId="0" fontId="40" fillId="6" borderId="82" xfId="1" applyFont="1" applyFill="1" applyBorder="1" applyAlignment="1">
      <alignment vertical="center"/>
    </xf>
    <xf numFmtId="2" fontId="40" fillId="6" borderId="95" xfId="1" applyNumberFormat="1" applyFont="1" applyFill="1" applyBorder="1" applyAlignment="1">
      <alignment horizontal="right" vertical="center"/>
    </xf>
    <xf numFmtId="2" fontId="40" fillId="6" borderId="49" xfId="1" applyNumberFormat="1" applyFont="1" applyFill="1" applyBorder="1" applyAlignment="1">
      <alignment horizontal="right" vertical="center"/>
    </xf>
    <xf numFmtId="2" fontId="40" fillId="6" borderId="51" xfId="1" applyNumberFormat="1" applyFont="1" applyFill="1" applyBorder="1" applyAlignment="1">
      <alignment horizontal="right" vertical="center"/>
    </xf>
    <xf numFmtId="0" fontId="40" fillId="6" borderId="52" xfId="1" applyFont="1" applyFill="1" applyBorder="1" applyAlignment="1">
      <alignment vertical="center"/>
    </xf>
    <xf numFmtId="2" fontId="40" fillId="6" borderId="59" xfId="1" applyNumberFormat="1" applyFont="1" applyFill="1" applyBorder="1" applyAlignment="1">
      <alignment horizontal="right" vertical="center"/>
    </xf>
    <xf numFmtId="2" fontId="40" fillId="6" borderId="54" xfId="1" applyNumberFormat="1" applyFont="1" applyFill="1" applyBorder="1" applyAlignment="1">
      <alignment horizontal="right" vertical="center"/>
    </xf>
    <xf numFmtId="0" fontId="32" fillId="5" borderId="0" xfId="1" applyFont="1" applyFill="1" applyAlignment="1">
      <alignment horizontal="left" vertical="center"/>
    </xf>
    <xf numFmtId="164" fontId="13" fillId="5" borderId="0" xfId="1" applyNumberFormat="1" applyFont="1" applyFill="1"/>
    <xf numFmtId="4" fontId="13" fillId="0" borderId="49" xfId="1" applyNumberFormat="1" applyFont="1" applyBorder="1" applyProtection="1">
      <protection locked="0"/>
    </xf>
    <xf numFmtId="4" fontId="13" fillId="5" borderId="0" xfId="1" applyNumberFormat="1" applyFont="1" applyFill="1" applyProtection="1">
      <protection locked="0"/>
    </xf>
    <xf numFmtId="0" fontId="18" fillId="6" borderId="50" xfId="1" applyFont="1" applyFill="1" applyBorder="1" applyAlignment="1">
      <alignment wrapText="1"/>
    </xf>
    <xf numFmtId="4" fontId="13" fillId="0" borderId="51" xfId="1" applyNumberFormat="1" applyFont="1" applyBorder="1" applyProtection="1">
      <protection locked="0"/>
    </xf>
    <xf numFmtId="0" fontId="18" fillId="6" borderId="52" xfId="1" applyFont="1" applyFill="1" applyBorder="1" applyAlignment="1">
      <alignment wrapText="1"/>
    </xf>
    <xf numFmtId="4" fontId="13" fillId="0" borderId="54" xfId="1" applyNumberFormat="1" applyFont="1" applyBorder="1" applyProtection="1">
      <protection locked="0"/>
    </xf>
    <xf numFmtId="0" fontId="32" fillId="5" borderId="0" xfId="1" applyFont="1" applyFill="1" applyAlignment="1">
      <alignment horizontal="left" vertical="center" wrapText="1"/>
    </xf>
    <xf numFmtId="3" fontId="48" fillId="17" borderId="60" xfId="1" applyNumberFormat="1" applyFont="1" applyFill="1" applyBorder="1" applyAlignment="1">
      <alignment horizontal="center" vertical="center"/>
    </xf>
    <xf numFmtId="0" fontId="13" fillId="5" borderId="0" xfId="1" applyFont="1" applyFill="1" applyAlignment="1">
      <alignment horizontal="left" vertical="center" wrapText="1"/>
    </xf>
    <xf numFmtId="4" fontId="13" fillId="5" borderId="0" xfId="1" applyNumberFormat="1" applyFont="1" applyFill="1"/>
    <xf numFmtId="0" fontId="7" fillId="5" borderId="111" xfId="1" applyFill="1" applyBorder="1"/>
    <xf numFmtId="0" fontId="13" fillId="5" borderId="112" xfId="1" applyFont="1" applyFill="1" applyBorder="1"/>
    <xf numFmtId="0" fontId="13" fillId="5" borderId="113" xfId="1" applyFont="1" applyFill="1" applyBorder="1"/>
    <xf numFmtId="0" fontId="13" fillId="5" borderId="32" xfId="1" applyFont="1" applyFill="1" applyBorder="1"/>
    <xf numFmtId="0" fontId="13" fillId="5" borderId="35" xfId="1" applyFont="1" applyFill="1" applyBorder="1"/>
    <xf numFmtId="0" fontId="49" fillId="5" borderId="0" xfId="1" applyFont="1" applyFill="1" applyAlignment="1">
      <alignment horizontal="left" vertical="center"/>
    </xf>
    <xf numFmtId="0" fontId="13" fillId="5" borderId="39" xfId="1" applyFont="1" applyFill="1" applyBorder="1" applyAlignment="1">
      <alignment horizontal="left" vertical="center"/>
    </xf>
    <xf numFmtId="0" fontId="16" fillId="5" borderId="0" xfId="1" applyFont="1" applyFill="1" applyAlignment="1">
      <alignment horizontal="left" vertical="center"/>
    </xf>
    <xf numFmtId="0" fontId="16" fillId="3" borderId="42" xfId="1" applyFont="1" applyFill="1" applyBorder="1" applyAlignment="1">
      <alignment horizontal="center" vertical="center"/>
    </xf>
    <xf numFmtId="0" fontId="16" fillId="3" borderId="56" xfId="1" applyFont="1" applyFill="1" applyBorder="1" applyAlignment="1">
      <alignment horizontal="center" vertical="center"/>
    </xf>
    <xf numFmtId="0" fontId="18" fillId="5" borderId="30" xfId="1" applyFont="1" applyFill="1" applyBorder="1" applyAlignment="1">
      <alignment horizontal="left" vertical="center"/>
    </xf>
    <xf numFmtId="0" fontId="13" fillId="5" borderId="46" xfId="1" applyFont="1" applyFill="1" applyBorder="1" applyAlignment="1">
      <alignment horizontal="left" vertical="center"/>
    </xf>
    <xf numFmtId="0" fontId="13" fillId="10" borderId="35" xfId="1" applyFont="1" applyFill="1" applyBorder="1" applyAlignment="1">
      <alignment horizontal="left" vertical="center"/>
    </xf>
    <xf numFmtId="0" fontId="13" fillId="10" borderId="115" xfId="1" applyFont="1" applyFill="1" applyBorder="1" applyAlignment="1">
      <alignment horizontal="left" vertical="center"/>
    </xf>
    <xf numFmtId="0" fontId="50" fillId="10" borderId="115" xfId="1" applyFont="1" applyFill="1" applyBorder="1" applyAlignment="1">
      <alignment horizontal="center" vertical="center" wrapText="1"/>
    </xf>
    <xf numFmtId="0" fontId="50" fillId="3" borderId="39" xfId="1" applyFont="1" applyFill="1" applyBorder="1" applyAlignment="1">
      <alignment horizontal="center" vertical="center" wrapText="1"/>
    </xf>
    <xf numFmtId="0" fontId="50" fillId="3" borderId="115" xfId="1" applyFont="1" applyFill="1" applyBorder="1" applyAlignment="1">
      <alignment horizontal="center" vertical="center" wrapText="1"/>
    </xf>
    <xf numFmtId="0" fontId="50" fillId="3" borderId="35" xfId="1" applyFont="1" applyFill="1" applyBorder="1" applyAlignment="1">
      <alignment horizontal="center" vertical="center" wrapText="1"/>
    </xf>
    <xf numFmtId="0" fontId="50" fillId="3" borderId="80" xfId="1" applyFont="1" applyFill="1" applyBorder="1" applyAlignment="1">
      <alignment horizontal="center" vertical="center" wrapText="1"/>
    </xf>
    <xf numFmtId="0" fontId="13" fillId="3" borderId="55" xfId="1" applyFont="1" applyFill="1" applyBorder="1"/>
    <xf numFmtId="43" fontId="50" fillId="6" borderId="100" xfId="5" applyFont="1" applyFill="1" applyBorder="1" applyAlignment="1" applyProtection="1">
      <alignment horizontal="right" vertical="center"/>
    </xf>
    <xf numFmtId="43" fontId="50" fillId="6" borderId="116" xfId="5" applyFont="1" applyFill="1" applyBorder="1" applyAlignment="1" applyProtection="1">
      <alignment horizontal="right" vertical="center"/>
    </xf>
    <xf numFmtId="43" fontId="50" fillId="6" borderId="117" xfId="5" applyFont="1" applyFill="1" applyBorder="1" applyAlignment="1" applyProtection="1">
      <alignment horizontal="right" vertical="center"/>
    </xf>
    <xf numFmtId="164" fontId="50" fillId="6" borderId="20" xfId="1" applyNumberFormat="1" applyFont="1" applyFill="1" applyBorder="1"/>
    <xf numFmtId="164" fontId="50" fillId="6" borderId="17" xfId="1" applyNumberFormat="1" applyFont="1" applyFill="1" applyBorder="1"/>
    <xf numFmtId="0" fontId="13" fillId="3" borderId="117" xfId="1" applyFont="1" applyFill="1" applyBorder="1"/>
    <xf numFmtId="0" fontId="13" fillId="3" borderId="56" xfId="1" applyFont="1" applyFill="1" applyBorder="1"/>
    <xf numFmtId="43" fontId="50" fillId="6" borderId="35" xfId="5" applyFont="1" applyFill="1" applyBorder="1" applyAlignment="1" applyProtection="1">
      <alignment horizontal="right" vertical="center"/>
    </xf>
    <xf numFmtId="43" fontId="50" fillId="6" borderId="115" xfId="5" applyFont="1" applyFill="1" applyBorder="1" applyAlignment="1" applyProtection="1">
      <alignment horizontal="right" vertical="center"/>
    </xf>
    <xf numFmtId="43" fontId="50" fillId="6" borderId="118" xfId="5" applyFont="1" applyFill="1" applyBorder="1" applyAlignment="1" applyProtection="1">
      <alignment horizontal="right" vertical="center"/>
    </xf>
    <xf numFmtId="43" fontId="50" fillId="6" borderId="36" xfId="5" applyFont="1" applyFill="1" applyBorder="1" applyAlignment="1" applyProtection="1">
      <alignment horizontal="right" vertical="center"/>
    </xf>
    <xf numFmtId="43" fontId="50" fillId="6" borderId="55" xfId="5" applyFont="1" applyFill="1" applyBorder="1" applyAlignment="1" applyProtection="1">
      <alignment horizontal="right" vertical="center"/>
    </xf>
    <xf numFmtId="43" fontId="50" fillId="6" borderId="45" xfId="5" applyFont="1" applyFill="1" applyBorder="1" applyAlignment="1" applyProtection="1">
      <alignment horizontal="right" vertical="center"/>
    </xf>
    <xf numFmtId="43" fontId="50" fillId="6" borderId="114" xfId="5" applyFont="1" applyFill="1" applyBorder="1" applyAlignment="1" applyProtection="1">
      <alignment horizontal="right" vertical="center"/>
    </xf>
    <xf numFmtId="43" fontId="50" fillId="6" borderId="56" xfId="5" applyFont="1" applyFill="1" applyBorder="1" applyAlignment="1" applyProtection="1">
      <alignment horizontal="right" vertical="center"/>
    </xf>
    <xf numFmtId="43" fontId="50" fillId="6" borderId="29" xfId="5" applyFont="1" applyFill="1" applyBorder="1" applyAlignment="1" applyProtection="1">
      <alignment horizontal="right" vertical="center"/>
    </xf>
    <xf numFmtId="43" fontId="50" fillId="6" borderId="60" xfId="5" applyFont="1" applyFill="1" applyBorder="1" applyAlignment="1" applyProtection="1">
      <alignment horizontal="right" vertical="center"/>
    </xf>
    <xf numFmtId="164" fontId="50" fillId="18" borderId="20" xfId="1" applyNumberFormat="1" applyFont="1" applyFill="1" applyBorder="1"/>
    <xf numFmtId="164" fontId="50" fillId="18" borderId="51" xfId="1" applyNumberFormat="1" applyFont="1" applyFill="1" applyBorder="1"/>
    <xf numFmtId="164" fontId="51" fillId="6" borderId="73" xfId="1" applyNumberFormat="1" applyFont="1" applyFill="1" applyBorder="1" applyAlignment="1">
      <alignment horizontal="center" vertical="center"/>
    </xf>
    <xf numFmtId="164" fontId="51" fillId="6" borderId="63" xfId="1" applyNumberFormat="1" applyFont="1" applyFill="1" applyBorder="1" applyAlignment="1">
      <alignment horizontal="center" vertical="center"/>
    </xf>
    <xf numFmtId="164" fontId="49" fillId="6" borderId="53" xfId="1" applyNumberFormat="1" applyFont="1" applyFill="1" applyBorder="1" applyAlignment="1">
      <alignment horizontal="center" vertical="center"/>
    </xf>
    <xf numFmtId="164" fontId="49" fillId="6" borderId="54" xfId="1" applyNumberFormat="1" applyFont="1" applyFill="1" applyBorder="1" applyAlignment="1">
      <alignment horizontal="center" vertical="center"/>
    </xf>
    <xf numFmtId="165" fontId="18" fillId="5" borderId="0" xfId="1" applyNumberFormat="1" applyFont="1" applyFill="1"/>
    <xf numFmtId="0" fontId="13" fillId="5" borderId="39" xfId="1" applyFont="1" applyFill="1" applyBorder="1"/>
    <xf numFmtId="0" fontId="16" fillId="3" borderId="118" xfId="1" applyFont="1" applyFill="1" applyBorder="1" applyAlignment="1">
      <alignment horizontal="center" vertical="center"/>
    </xf>
    <xf numFmtId="0" fontId="50" fillId="3" borderId="32" xfId="1" applyFont="1" applyFill="1" applyBorder="1" applyAlignment="1">
      <alignment horizontal="center" vertical="center" wrapText="1"/>
    </xf>
    <xf numFmtId="43" fontId="50" fillId="6" borderId="37" xfId="5" applyFont="1" applyFill="1" applyBorder="1" applyAlignment="1" applyProtection="1">
      <alignment horizontal="right" vertical="center"/>
    </xf>
    <xf numFmtId="164" fontId="50" fillId="6" borderId="55" xfId="1" applyNumberFormat="1" applyFont="1" applyFill="1" applyBorder="1" applyAlignment="1">
      <alignment horizontal="right" vertical="center"/>
    </xf>
    <xf numFmtId="164" fontId="50" fillId="6" borderId="36" xfId="1" applyNumberFormat="1" applyFont="1" applyFill="1" applyBorder="1" applyAlignment="1">
      <alignment horizontal="right" vertical="center"/>
    </xf>
    <xf numFmtId="43" fontId="50" fillId="6" borderId="40" xfId="5" applyFont="1" applyFill="1" applyBorder="1" applyAlignment="1" applyProtection="1">
      <alignment horizontal="right" vertical="center"/>
    </xf>
    <xf numFmtId="43" fontId="50" fillId="6" borderId="81" xfId="5" applyFont="1" applyFill="1" applyBorder="1" applyAlignment="1" applyProtection="1">
      <alignment horizontal="right" vertical="center"/>
    </xf>
    <xf numFmtId="164" fontId="50" fillId="6" borderId="117" xfId="1" applyNumberFormat="1" applyFont="1" applyFill="1" applyBorder="1" applyAlignment="1">
      <alignment horizontal="right" vertical="center"/>
    </xf>
    <xf numFmtId="164" fontId="50" fillId="6" borderId="100" xfId="1" applyNumberFormat="1" applyFont="1" applyFill="1" applyBorder="1" applyAlignment="1">
      <alignment horizontal="right" vertical="center"/>
    </xf>
    <xf numFmtId="43" fontId="50" fillId="6" borderId="50" xfId="5" applyFont="1" applyFill="1" applyBorder="1" applyAlignment="1" applyProtection="1">
      <alignment horizontal="right" vertical="center"/>
    </xf>
    <xf numFmtId="164" fontId="50" fillId="6" borderId="50" xfId="1" applyNumberFormat="1" applyFont="1" applyFill="1" applyBorder="1" applyAlignment="1">
      <alignment horizontal="right" vertical="center"/>
    </xf>
    <xf numFmtId="164" fontId="50" fillId="6" borderId="40" xfId="1" applyNumberFormat="1" applyFont="1" applyFill="1" applyBorder="1" applyAlignment="1">
      <alignment horizontal="right" vertical="center"/>
    </xf>
    <xf numFmtId="43" fontId="50" fillId="6" borderId="52" xfId="5" applyFont="1" applyFill="1" applyBorder="1" applyAlignment="1" applyProtection="1">
      <alignment horizontal="right" vertical="center"/>
    </xf>
    <xf numFmtId="164" fontId="50" fillId="6" borderId="52" xfId="1" applyNumberFormat="1" applyFont="1" applyFill="1" applyBorder="1" applyAlignment="1">
      <alignment horizontal="right" vertical="center"/>
    </xf>
    <xf numFmtId="164" fontId="50" fillId="6" borderId="42" xfId="1" applyNumberFormat="1" applyFont="1" applyFill="1" applyBorder="1" applyAlignment="1">
      <alignment horizontal="right" vertical="center"/>
    </xf>
    <xf numFmtId="0" fontId="18" fillId="5" borderId="0" xfId="1" applyFont="1" applyFill="1" applyAlignment="1">
      <alignment horizontal="left" vertical="center"/>
    </xf>
    <xf numFmtId="2" fontId="18" fillId="5" borderId="0" xfId="1" applyNumberFormat="1" applyFont="1" applyFill="1"/>
    <xf numFmtId="0" fontId="52" fillId="5" borderId="0" xfId="1" applyFont="1" applyFill="1"/>
    <xf numFmtId="0" fontId="18" fillId="5" borderId="0" xfId="1" applyFont="1" applyFill="1"/>
    <xf numFmtId="0" fontId="17" fillId="5" borderId="0" xfId="1" applyFont="1" applyFill="1"/>
    <xf numFmtId="0" fontId="49" fillId="3" borderId="66" xfId="1" applyFont="1" applyFill="1" applyBorder="1" applyAlignment="1">
      <alignment horizontal="center" vertical="center" wrapText="1"/>
    </xf>
    <xf numFmtId="0" fontId="49" fillId="3" borderId="31" xfId="1" applyFont="1" applyFill="1" applyBorder="1" applyAlignment="1">
      <alignment horizontal="center" vertical="center" wrapText="1"/>
    </xf>
    <xf numFmtId="0" fontId="49" fillId="3" borderId="46" xfId="1" applyFont="1" applyFill="1" applyBorder="1" applyAlignment="1">
      <alignment horizontal="center" vertical="center" wrapText="1"/>
    </xf>
    <xf numFmtId="0" fontId="49" fillId="3" borderId="39" xfId="1" applyFont="1" applyFill="1" applyBorder="1" applyAlignment="1">
      <alignment horizontal="center" vertical="center" wrapText="1"/>
    </xf>
    <xf numFmtId="166" fontId="18" fillId="6" borderId="60" xfId="1" applyNumberFormat="1" applyFont="1" applyFill="1" applyBorder="1" applyAlignment="1">
      <alignment horizontal="center" vertical="center"/>
    </xf>
    <xf numFmtId="2" fontId="18" fillId="6" borderId="66" xfId="1" applyNumberFormat="1" applyFont="1" applyFill="1" applyBorder="1" applyAlignment="1">
      <alignment horizontal="center" vertical="center"/>
    </xf>
    <xf numFmtId="2" fontId="18" fillId="6" borderId="46" xfId="1" applyNumberFormat="1" applyFont="1" applyFill="1" applyBorder="1" applyAlignment="1">
      <alignment horizontal="center" vertical="center"/>
    </xf>
    <xf numFmtId="0" fontId="7" fillId="0" borderId="0" xfId="1" applyAlignment="1" applyProtection="1">
      <alignment horizontal="center" vertical="center"/>
      <protection locked="0"/>
    </xf>
    <xf numFmtId="0" fontId="13" fillId="2" borderId="0" xfId="1" applyFont="1" applyFill="1"/>
    <xf numFmtId="0" fontId="13" fillId="0" borderId="126" xfId="1" applyFont="1" applyBorder="1" applyAlignment="1" applyProtection="1">
      <alignment horizontal="left" vertical="center" wrapText="1"/>
      <protection locked="0"/>
    </xf>
    <xf numFmtId="0" fontId="13" fillId="0" borderId="126" xfId="1" applyFont="1" applyBorder="1" applyAlignment="1" applyProtection="1">
      <alignment horizontal="center" vertical="center" wrapText="1"/>
      <protection locked="0"/>
    </xf>
    <xf numFmtId="166" fontId="13" fillId="6" borderId="126" xfId="1" applyNumberFormat="1" applyFont="1" applyFill="1" applyBorder="1" applyAlignment="1">
      <alignment horizontal="center" vertical="center"/>
    </xf>
    <xf numFmtId="166" fontId="13" fillId="6" borderId="126" xfId="1" applyNumberFormat="1" applyFont="1" applyFill="1" applyBorder="1" applyAlignment="1">
      <alignment horizontal="center" vertical="center" wrapText="1"/>
    </xf>
    <xf numFmtId="4" fontId="13" fillId="6" borderId="126" xfId="1" applyNumberFormat="1" applyFont="1" applyFill="1" applyBorder="1" applyAlignment="1">
      <alignment horizontal="center" vertical="center"/>
    </xf>
    <xf numFmtId="0" fontId="13" fillId="0" borderId="127" xfId="1" applyFont="1" applyBorder="1" applyAlignment="1" applyProtection="1">
      <alignment horizontal="left" vertical="center" wrapText="1"/>
      <protection locked="0"/>
    </xf>
    <xf numFmtId="0" fontId="13" fillId="0" borderId="128" xfId="1" applyFont="1" applyBorder="1" applyAlignment="1" applyProtection="1">
      <alignment horizontal="center" vertical="center" wrapText="1"/>
      <protection locked="0"/>
    </xf>
    <xf numFmtId="166" fontId="13" fillId="6" borderId="127" xfId="1" applyNumberFormat="1" applyFont="1" applyFill="1" applyBorder="1" applyAlignment="1">
      <alignment horizontal="center" vertical="center"/>
    </xf>
    <xf numFmtId="166" fontId="13" fillId="6" borderId="127" xfId="1" applyNumberFormat="1" applyFont="1" applyFill="1" applyBorder="1" applyAlignment="1">
      <alignment horizontal="center" vertical="center" wrapText="1"/>
    </xf>
    <xf numFmtId="4" fontId="13" fillId="6" borderId="127" xfId="1" applyNumberFormat="1" applyFont="1" applyFill="1" applyBorder="1" applyAlignment="1">
      <alignment horizontal="center" vertical="center"/>
    </xf>
    <xf numFmtId="0" fontId="7" fillId="0" borderId="0" xfId="1" applyAlignment="1" applyProtection="1">
      <alignment horizontal="center"/>
      <protection locked="0"/>
    </xf>
    <xf numFmtId="0" fontId="13" fillId="3" borderId="25" xfId="1" applyFont="1" applyFill="1" applyBorder="1" applyAlignment="1">
      <alignment horizontal="center" vertical="center"/>
    </xf>
    <xf numFmtId="0" fontId="13" fillId="12" borderId="25" xfId="1" applyFont="1" applyFill="1" applyBorder="1" applyAlignment="1">
      <alignment horizontal="center" vertical="center"/>
    </xf>
    <xf numFmtId="0" fontId="13" fillId="12" borderId="129" xfId="1" applyFont="1" applyFill="1" applyBorder="1" applyAlignment="1">
      <alignment horizontal="center" vertical="center"/>
    </xf>
    <xf numFmtId="4" fontId="13" fillId="3" borderId="97" xfId="1" applyNumberFormat="1" applyFont="1" applyFill="1" applyBorder="1" applyAlignment="1">
      <alignment horizontal="center" vertical="center"/>
    </xf>
    <xf numFmtId="4" fontId="13" fillId="3" borderId="129" xfId="1" applyNumberFormat="1" applyFont="1" applyFill="1" applyBorder="1" applyAlignment="1">
      <alignment horizontal="center" vertical="center"/>
    </xf>
    <xf numFmtId="4" fontId="7" fillId="0" borderId="0" xfId="1" applyNumberFormat="1" applyProtection="1">
      <protection locked="0"/>
    </xf>
    <xf numFmtId="0" fontId="5" fillId="0" borderId="0" xfId="1" applyFont="1" applyAlignment="1" applyProtection="1">
      <alignment horizontal="left" vertical="center"/>
      <protection locked="0"/>
    </xf>
    <xf numFmtId="4" fontId="38" fillId="0" borderId="0" xfId="1" applyNumberFormat="1" applyFont="1" applyAlignment="1" applyProtection="1">
      <alignment horizontal="center" vertical="center"/>
      <protection locked="0"/>
    </xf>
    <xf numFmtId="0" fontId="6" fillId="0" borderId="0" xfId="1" applyFont="1" applyAlignment="1" applyProtection="1">
      <alignment horizontal="center"/>
      <protection locked="0"/>
    </xf>
    <xf numFmtId="0" fontId="7" fillId="0" borderId="50" xfId="1" applyBorder="1" applyAlignment="1" applyProtection="1">
      <alignment horizontal="left" vertical="center"/>
      <protection locked="0"/>
    </xf>
    <xf numFmtId="0" fontId="7" fillId="0" borderId="50" xfId="1" applyBorder="1" applyAlignment="1" applyProtection="1">
      <alignment wrapText="1"/>
      <protection locked="0"/>
    </xf>
    <xf numFmtId="166" fontId="7" fillId="0" borderId="17" xfId="1" applyNumberFormat="1" applyBorder="1" applyAlignment="1" applyProtection="1">
      <alignment horizontal="center" vertical="center" wrapText="1"/>
      <protection locked="0"/>
    </xf>
    <xf numFmtId="0" fontId="7" fillId="0" borderId="17" xfId="1" applyBorder="1" applyAlignment="1" applyProtection="1">
      <alignment horizontal="center" vertical="center" wrapText="1"/>
      <protection locked="0"/>
    </xf>
    <xf numFmtId="0" fontId="7" fillId="0" borderId="52" xfId="1" applyBorder="1" applyAlignment="1" applyProtection="1">
      <alignment horizontal="left" vertical="center" wrapText="1"/>
      <protection locked="0"/>
    </xf>
    <xf numFmtId="166" fontId="7" fillId="0" borderId="53" xfId="1" applyNumberFormat="1" applyBorder="1" applyAlignment="1" applyProtection="1">
      <alignment horizontal="center" vertical="center"/>
      <protection locked="0"/>
    </xf>
    <xf numFmtId="0" fontId="7" fillId="0" borderId="53" xfId="1" applyBorder="1" applyAlignment="1" applyProtection="1">
      <alignment horizontal="center" vertical="center"/>
      <protection locked="0"/>
    </xf>
    <xf numFmtId="0" fontId="7" fillId="0" borderId="29" xfId="1" applyBorder="1" applyAlignment="1" applyProtection="1">
      <alignment wrapText="1"/>
      <protection locked="0"/>
    </xf>
    <xf numFmtId="166" fontId="7" fillId="0" borderId="65" xfId="1" applyNumberFormat="1" applyBorder="1" applyAlignment="1" applyProtection="1">
      <alignment horizontal="center" vertical="center"/>
      <protection locked="0"/>
    </xf>
    <xf numFmtId="0" fontId="7" fillId="0" borderId="103" xfId="1" applyBorder="1" applyAlignment="1" applyProtection="1">
      <alignment horizontal="center" vertical="center"/>
      <protection locked="0"/>
    </xf>
    <xf numFmtId="0" fontId="7" fillId="0" borderId="102" xfId="1" applyBorder="1"/>
    <xf numFmtId="0" fontId="7" fillId="0" borderId="23" xfId="1" applyBorder="1"/>
    <xf numFmtId="0" fontId="7" fillId="0" borderId="18" xfId="1" applyBorder="1" applyAlignment="1">
      <alignment horizontal="left" vertical="center"/>
    </xf>
    <xf numFmtId="0" fontId="7" fillId="0" borderId="86" xfId="1" applyBorder="1"/>
    <xf numFmtId="0" fontId="7" fillId="0" borderId="64" xfId="1" applyBorder="1"/>
    <xf numFmtId="0" fontId="7" fillId="19" borderId="47" xfId="1" applyFill="1" applyBorder="1"/>
    <xf numFmtId="0" fontId="25" fillId="12" borderId="47" xfId="1" applyFont="1" applyFill="1" applyBorder="1"/>
    <xf numFmtId="0" fontId="7" fillId="12" borderId="73" xfId="1" applyFill="1" applyBorder="1"/>
    <xf numFmtId="0" fontId="7" fillId="0" borderId="63" xfId="1" applyBorder="1"/>
    <xf numFmtId="0" fontId="7" fillId="12" borderId="63" xfId="1" applyFill="1" applyBorder="1"/>
    <xf numFmtId="0" fontId="7" fillId="12" borderId="0" xfId="1" applyFill="1"/>
    <xf numFmtId="0" fontId="7" fillId="0" borderId="17" xfId="1" applyBorder="1" applyProtection="1">
      <protection locked="0"/>
    </xf>
    <xf numFmtId="0" fontId="7" fillId="12" borderId="17" xfId="1" applyFill="1" applyBorder="1"/>
    <xf numFmtId="0" fontId="5" fillId="0" borderId="0" xfId="1" applyFont="1" applyProtection="1">
      <protection locked="0"/>
    </xf>
    <xf numFmtId="2" fontId="7" fillId="0" borderId="41" xfId="1" applyNumberFormat="1" applyBorder="1" applyAlignment="1">
      <alignment horizontal="right" vertical="center"/>
    </xf>
    <xf numFmtId="2" fontId="7" fillId="12" borderId="41" xfId="1" applyNumberFormat="1" applyFill="1" applyBorder="1" applyAlignment="1">
      <alignment horizontal="right" vertical="center"/>
    </xf>
    <xf numFmtId="0" fontId="7" fillId="0" borderId="42" xfId="1" applyBorder="1" applyProtection="1">
      <protection locked="0"/>
    </xf>
    <xf numFmtId="0" fontId="7" fillId="0" borderId="43" xfId="1" applyBorder="1" applyProtection="1">
      <protection locked="0"/>
    </xf>
    <xf numFmtId="2" fontId="7" fillId="12" borderId="44" xfId="1" applyNumberFormat="1" applyFill="1" applyBorder="1" applyAlignment="1" applyProtection="1">
      <alignment horizontal="right" vertical="center"/>
      <protection locked="0"/>
    </xf>
    <xf numFmtId="0" fontId="19" fillId="0" borderId="0" xfId="1" applyFont="1" applyProtection="1">
      <protection locked="0"/>
    </xf>
    <xf numFmtId="0" fontId="7" fillId="20" borderId="0" xfId="1" applyFill="1"/>
    <xf numFmtId="0" fontId="19" fillId="0" borderId="0" xfId="1" applyFont="1" applyAlignment="1">
      <alignment horizontal="center" vertical="center"/>
    </xf>
    <xf numFmtId="2" fontId="7" fillId="9" borderId="0" xfId="1" applyNumberFormat="1" applyFill="1"/>
    <xf numFmtId="0" fontId="7" fillId="9" borderId="0" xfId="1" applyFill="1"/>
    <xf numFmtId="2" fontId="7" fillId="20" borderId="0" xfId="1" applyNumberFormat="1" applyFill="1"/>
    <xf numFmtId="2" fontId="7" fillId="0" borderId="0" xfId="1" applyNumberFormat="1" applyProtection="1">
      <protection locked="0"/>
    </xf>
    <xf numFmtId="0" fontId="7" fillId="20" borderId="0" xfId="1" applyFill="1" applyProtection="1">
      <protection locked="0"/>
    </xf>
    <xf numFmtId="0" fontId="58" fillId="14" borderId="0" xfId="1" applyFont="1" applyFill="1"/>
    <xf numFmtId="0" fontId="58" fillId="0" borderId="130" xfId="1" applyFont="1" applyBorder="1" applyAlignment="1">
      <alignment horizontal="center"/>
    </xf>
    <xf numFmtId="0" fontId="58" fillId="0" borderId="131" xfId="1" applyFont="1" applyBorder="1" applyAlignment="1">
      <alignment horizontal="center"/>
    </xf>
    <xf numFmtId="0" fontId="58" fillId="0" borderId="130" xfId="1" applyFont="1" applyBorder="1"/>
    <xf numFmtId="0" fontId="58" fillId="22" borderId="130" xfId="1" applyFont="1" applyFill="1" applyBorder="1"/>
    <xf numFmtId="170" fontId="58" fillId="22" borderId="130" xfId="1" applyNumberFormat="1" applyFont="1" applyFill="1" applyBorder="1" applyAlignment="1">
      <alignment horizontal="center"/>
    </xf>
    <xf numFmtId="0" fontId="58" fillId="14" borderId="130" xfId="5" applyNumberFormat="1" applyFont="1" applyFill="1" applyBorder="1" applyAlignment="1">
      <alignment horizontal="center" vertical="center"/>
    </xf>
    <xf numFmtId="0" fontId="58" fillId="0" borderId="130" xfId="1" applyFont="1" applyBorder="1" applyAlignment="1">
      <alignment horizontal="center" vertical="center"/>
    </xf>
    <xf numFmtId="0" fontId="58" fillId="23" borderId="130" xfId="1" applyFont="1" applyFill="1" applyBorder="1" applyAlignment="1">
      <alignment horizontal="center"/>
    </xf>
    <xf numFmtId="167" fontId="58" fillId="0" borderId="130" xfId="1" applyNumberFormat="1" applyFont="1" applyBorder="1" applyAlignment="1">
      <alignment horizontal="center"/>
    </xf>
    <xf numFmtId="0" fontId="58" fillId="9" borderId="130" xfId="1" applyFont="1" applyFill="1" applyBorder="1"/>
    <xf numFmtId="2" fontId="58" fillId="0" borderId="130" xfId="5" applyNumberFormat="1" applyFont="1" applyFill="1" applyBorder="1" applyAlignment="1">
      <alignment horizontal="center" vertical="center"/>
    </xf>
    <xf numFmtId="0" fontId="58" fillId="24" borderId="130" xfId="1" applyFont="1" applyFill="1" applyBorder="1" applyAlignment="1">
      <alignment horizontal="center"/>
    </xf>
    <xf numFmtId="171" fontId="62" fillId="9" borderId="17" xfId="5" applyNumberFormat="1" applyFont="1" applyFill="1" applyBorder="1" applyProtection="1"/>
    <xf numFmtId="0" fontId="58" fillId="25" borderId="130" xfId="1" applyFont="1" applyFill="1" applyBorder="1" applyAlignment="1">
      <alignment horizontal="center"/>
    </xf>
    <xf numFmtId="2" fontId="58" fillId="0" borderId="130" xfId="1" applyNumberFormat="1" applyFont="1" applyBorder="1" applyAlignment="1">
      <alignment horizontal="center" vertical="center"/>
    </xf>
    <xf numFmtId="0" fontId="58" fillId="25" borderId="130" xfId="1" applyFont="1" applyFill="1" applyBorder="1" applyAlignment="1">
      <alignment horizontal="center" vertical="center"/>
    </xf>
    <xf numFmtId="0" fontId="58" fillId="26" borderId="130" xfId="1" applyFont="1" applyFill="1" applyBorder="1" applyAlignment="1">
      <alignment horizontal="center" vertical="center"/>
    </xf>
    <xf numFmtId="2" fontId="58" fillId="0" borderId="130" xfId="1" applyNumberFormat="1" applyFont="1" applyBorder="1" applyAlignment="1">
      <alignment horizontal="center"/>
    </xf>
    <xf numFmtId="0" fontId="58" fillId="24" borderId="130" xfId="1" applyFont="1" applyFill="1" applyBorder="1" applyAlignment="1">
      <alignment horizontal="center" vertical="center"/>
    </xf>
    <xf numFmtId="0" fontId="58" fillId="14" borderId="130" xfId="1" applyFont="1" applyFill="1" applyBorder="1" applyAlignment="1">
      <alignment horizontal="center" vertical="center"/>
    </xf>
    <xf numFmtId="0" fontId="58" fillId="26" borderId="130" xfId="1" applyFont="1" applyFill="1" applyBorder="1" applyAlignment="1">
      <alignment horizontal="center"/>
    </xf>
    <xf numFmtId="2" fontId="7" fillId="0" borderId="130" xfId="1" applyNumberFormat="1" applyBorder="1" applyAlignment="1">
      <alignment horizontal="center" vertical="center"/>
    </xf>
    <xf numFmtId="2" fontId="58" fillId="14" borderId="130" xfId="1" applyNumberFormat="1" applyFont="1" applyFill="1" applyBorder="1" applyAlignment="1">
      <alignment horizontal="center" vertical="center"/>
    </xf>
    <xf numFmtId="0" fontId="58" fillId="14" borderId="130" xfId="1" applyFont="1" applyFill="1" applyBorder="1" applyAlignment="1">
      <alignment horizontal="center"/>
    </xf>
    <xf numFmtId="2" fontId="58" fillId="14" borderId="130" xfId="1" applyNumberFormat="1" applyFont="1" applyFill="1" applyBorder="1" applyAlignment="1">
      <alignment horizontal="center"/>
    </xf>
    <xf numFmtId="0" fontId="58" fillId="25" borderId="130" xfId="5" applyNumberFormat="1" applyFont="1" applyFill="1" applyBorder="1" applyAlignment="1">
      <alignment horizontal="center"/>
    </xf>
    <xf numFmtId="0" fontId="58" fillId="14" borderId="130" xfId="5" applyNumberFormat="1" applyFont="1" applyFill="1" applyBorder="1" applyAlignment="1">
      <alignment horizontal="center"/>
    </xf>
    <xf numFmtId="0" fontId="58" fillId="26" borderId="130" xfId="5" applyNumberFormat="1" applyFont="1" applyFill="1" applyBorder="1" applyAlignment="1">
      <alignment horizontal="center"/>
    </xf>
    <xf numFmtId="2" fontId="58" fillId="0" borderId="130" xfId="5" applyNumberFormat="1" applyFont="1" applyBorder="1" applyAlignment="1">
      <alignment horizontal="center"/>
    </xf>
    <xf numFmtId="0" fontId="58" fillId="24" borderId="130" xfId="5" applyNumberFormat="1" applyFont="1" applyFill="1" applyBorder="1" applyAlignment="1">
      <alignment horizontal="center"/>
    </xf>
    <xf numFmtId="2" fontId="58" fillId="14" borderId="130" xfId="5" applyNumberFormat="1" applyFont="1" applyFill="1" applyBorder="1" applyAlignment="1">
      <alignment horizontal="center"/>
    </xf>
    <xf numFmtId="2" fontId="58" fillId="0" borderId="130" xfId="5" applyNumberFormat="1" applyFont="1" applyFill="1" applyBorder="1" applyAlignment="1">
      <alignment horizontal="center"/>
    </xf>
    <xf numFmtId="172" fontId="58" fillId="14" borderId="130" xfId="1" applyNumberFormat="1" applyFont="1" applyFill="1" applyBorder="1" applyAlignment="1">
      <alignment horizontal="center"/>
    </xf>
    <xf numFmtId="171" fontId="62" fillId="19" borderId="17" xfId="5" applyNumberFormat="1" applyFont="1" applyFill="1" applyBorder="1" applyProtection="1"/>
    <xf numFmtId="0" fontId="58" fillId="23" borderId="130" xfId="1" applyFont="1" applyFill="1" applyBorder="1" applyAlignment="1">
      <alignment horizontal="center" vertical="center"/>
    </xf>
    <xf numFmtId="172" fontId="58" fillId="0" borderId="130" xfId="1" applyNumberFormat="1" applyFont="1" applyBorder="1" applyAlignment="1">
      <alignment horizontal="center"/>
    </xf>
    <xf numFmtId="0" fontId="58" fillId="25" borderId="130" xfId="1" applyFont="1" applyFill="1" applyBorder="1"/>
    <xf numFmtId="172" fontId="58" fillId="14" borderId="130" xfId="1" applyNumberFormat="1" applyFont="1" applyFill="1" applyBorder="1" applyAlignment="1">
      <alignment horizontal="center" vertical="center"/>
    </xf>
    <xf numFmtId="0" fontId="58" fillId="26" borderId="130" xfId="1" applyFont="1" applyFill="1" applyBorder="1"/>
    <xf numFmtId="0" fontId="58" fillId="25" borderId="130" xfId="5" applyNumberFormat="1" applyFont="1" applyFill="1" applyBorder="1"/>
    <xf numFmtId="2" fontId="58" fillId="0" borderId="130" xfId="5" applyNumberFormat="1" applyFont="1" applyFill="1" applyBorder="1"/>
    <xf numFmtId="0" fontId="58" fillId="0" borderId="130" xfId="5" applyNumberFormat="1" applyFont="1" applyFill="1" applyBorder="1"/>
    <xf numFmtId="0" fontId="58" fillId="9" borderId="0" xfId="1" applyFont="1" applyFill="1"/>
    <xf numFmtId="2" fontId="7" fillId="0" borderId="65" xfId="1" applyNumberFormat="1" applyBorder="1"/>
    <xf numFmtId="171" fontId="7" fillId="0" borderId="0" xfId="1" applyNumberFormat="1"/>
    <xf numFmtId="0" fontId="58" fillId="22" borderId="0" xfId="1" applyFont="1" applyFill="1"/>
    <xf numFmtId="2" fontId="7" fillId="24" borderId="0" xfId="1" applyNumberFormat="1" applyFill="1"/>
    <xf numFmtId="0" fontId="7" fillId="24" borderId="0" xfId="1" applyFill="1"/>
    <xf numFmtId="0" fontId="13" fillId="6" borderId="126" xfId="1" applyFont="1" applyFill="1" applyBorder="1" applyAlignment="1">
      <alignment horizontal="left" vertical="center" wrapText="1"/>
    </xf>
    <xf numFmtId="0" fontId="13" fillId="6" borderId="127" xfId="1" applyFont="1" applyFill="1" applyBorder="1" applyAlignment="1">
      <alignment horizontal="left" vertical="center" wrapText="1"/>
    </xf>
    <xf numFmtId="4" fontId="13" fillId="3" borderId="28" xfId="1" applyNumberFormat="1" applyFont="1" applyFill="1" applyBorder="1" applyAlignment="1">
      <alignment horizontal="center" vertical="center"/>
    </xf>
    <xf numFmtId="0" fontId="16" fillId="2" borderId="0" xfId="1" applyFont="1" applyFill="1" applyAlignment="1" applyProtection="1">
      <alignment horizontal="left" vertical="center"/>
      <protection locked="0"/>
    </xf>
    <xf numFmtId="0" fontId="13" fillId="2" borderId="0" xfId="1" applyFont="1" applyFill="1" applyProtection="1">
      <protection locked="0"/>
    </xf>
    <xf numFmtId="0" fontId="16" fillId="3" borderId="125" xfId="1" applyFont="1" applyFill="1" applyBorder="1" applyAlignment="1">
      <alignment horizontal="center" vertical="center" wrapText="1"/>
    </xf>
    <xf numFmtId="0" fontId="49" fillId="3" borderId="120" xfId="1" applyFont="1" applyFill="1" applyBorder="1" applyAlignment="1">
      <alignment horizontal="center" vertical="center" wrapText="1"/>
    </xf>
    <xf numFmtId="0" fontId="7" fillId="0" borderId="49" xfId="1" applyBorder="1" applyAlignment="1" applyProtection="1">
      <alignment horizontal="center" vertical="center" wrapText="1"/>
      <protection locked="0"/>
    </xf>
    <xf numFmtId="0" fontId="13" fillId="6" borderId="87" xfId="1" applyFont="1" applyFill="1" applyBorder="1" applyAlignment="1">
      <alignment horizontal="left" vertical="center" wrapText="1"/>
    </xf>
    <xf numFmtId="0" fontId="13" fillId="6" borderId="91" xfId="1" applyFont="1" applyFill="1" applyBorder="1" applyAlignment="1">
      <alignment horizontal="center" vertical="center"/>
    </xf>
    <xf numFmtId="4" fontId="13" fillId="0" borderId="126" xfId="1" applyNumberFormat="1" applyFont="1" applyBorder="1" applyAlignment="1" applyProtection="1">
      <alignment horizontal="center" vertical="center"/>
      <protection locked="0"/>
    </xf>
    <xf numFmtId="10" fontId="13" fillId="0" borderId="126" xfId="1" applyNumberFormat="1" applyFont="1" applyBorder="1" applyAlignment="1" applyProtection="1">
      <alignment horizontal="center" vertical="center"/>
      <protection locked="0"/>
    </xf>
    <xf numFmtId="173" fontId="7" fillId="0" borderId="0" xfId="1" applyNumberFormat="1" applyAlignment="1" applyProtection="1">
      <alignment horizontal="center" vertical="center"/>
      <protection locked="0"/>
    </xf>
    <xf numFmtId="10" fontId="7" fillId="0" borderId="50" xfId="1" applyNumberFormat="1" applyBorder="1" applyAlignment="1" applyProtection="1">
      <alignment horizontal="center" vertical="center"/>
      <protection locked="0"/>
    </xf>
    <xf numFmtId="9" fontId="7" fillId="0" borderId="17" xfId="1" applyNumberFormat="1" applyBorder="1" applyAlignment="1" applyProtection="1">
      <alignment horizontal="center" vertical="center"/>
      <protection locked="0"/>
    </xf>
    <xf numFmtId="0" fontId="7" fillId="0" borderId="51" xfId="1" applyBorder="1" applyAlignment="1" applyProtection="1">
      <alignment horizontal="center" vertical="center"/>
      <protection locked="0"/>
    </xf>
    <xf numFmtId="0" fontId="13" fillId="6" borderId="92" xfId="1" applyFont="1" applyFill="1" applyBorder="1" applyAlignment="1">
      <alignment horizontal="left" vertical="center" wrapText="1"/>
    </xf>
    <xf numFmtId="0" fontId="13" fillId="6" borderId="119" xfId="1" applyFont="1" applyFill="1" applyBorder="1" applyAlignment="1">
      <alignment horizontal="center" vertical="center"/>
    </xf>
    <xf numFmtId="4" fontId="13" fillId="0" borderId="127" xfId="1" applyNumberFormat="1" applyFont="1" applyBorder="1" applyAlignment="1" applyProtection="1">
      <alignment horizontal="center" vertical="center"/>
      <protection locked="0"/>
    </xf>
    <xf numFmtId="10" fontId="13" fillId="0" borderId="127" xfId="1" applyNumberFormat="1" applyFont="1" applyBorder="1" applyAlignment="1" applyProtection="1">
      <alignment horizontal="center" vertical="center"/>
      <protection locked="0"/>
    </xf>
    <xf numFmtId="0" fontId="7" fillId="0" borderId="54" xfId="1" applyBorder="1" applyAlignment="1" applyProtection="1">
      <alignment horizontal="center" vertical="center"/>
      <protection locked="0"/>
    </xf>
    <xf numFmtId="4" fontId="13" fillId="12" borderId="129" xfId="1" applyNumberFormat="1" applyFont="1" applyFill="1" applyBorder="1" applyAlignment="1">
      <alignment horizontal="center" vertical="center"/>
    </xf>
    <xf numFmtId="0" fontId="38" fillId="0" borderId="0" xfId="1" applyFont="1" applyProtection="1">
      <protection locked="0"/>
    </xf>
    <xf numFmtId="0" fontId="19" fillId="0" borderId="17" xfId="1" applyFont="1" applyBorder="1" applyAlignment="1" applyProtection="1">
      <alignment horizontal="center" vertical="center"/>
      <protection locked="0"/>
    </xf>
    <xf numFmtId="0" fontId="19" fillId="0" borderId="17" xfId="1" applyFont="1" applyBorder="1" applyAlignment="1" applyProtection="1">
      <alignment horizontal="left" vertical="center"/>
      <protection locked="0"/>
    </xf>
    <xf numFmtId="173" fontId="7" fillId="0" borderId="17" xfId="1" applyNumberFormat="1" applyBorder="1" applyAlignment="1" applyProtection="1">
      <alignment horizontal="right" vertical="center"/>
      <protection locked="0"/>
    </xf>
    <xf numFmtId="173" fontId="7" fillId="0" borderId="17" xfId="1" applyNumberFormat="1" applyBorder="1" applyAlignment="1" applyProtection="1">
      <alignment horizontal="center" vertical="center"/>
      <protection locked="0"/>
    </xf>
    <xf numFmtId="0" fontId="7" fillId="0" borderId="17" xfId="1" applyBorder="1" applyAlignment="1" applyProtection="1">
      <alignment horizontal="right" vertical="center"/>
      <protection locked="0"/>
    </xf>
    <xf numFmtId="173" fontId="19" fillId="0" borderId="17" xfId="1" applyNumberFormat="1" applyFont="1" applyBorder="1" applyAlignment="1" applyProtection="1">
      <alignment horizontal="center" vertical="center"/>
      <protection locked="0"/>
    </xf>
    <xf numFmtId="0" fontId="19" fillId="0" borderId="17" xfId="1" applyFont="1" applyBorder="1" applyProtection="1">
      <protection locked="0"/>
    </xf>
    <xf numFmtId="173" fontId="19" fillId="0" borderId="17" xfId="1" applyNumberFormat="1" applyFont="1" applyBorder="1" applyProtection="1">
      <protection locked="0"/>
    </xf>
    <xf numFmtId="0" fontId="0" fillId="0" borderId="0" xfId="0" applyAlignment="1" applyProtection="1">
      <alignment horizontal="center"/>
      <protection locked="0"/>
    </xf>
    <xf numFmtId="0" fontId="65" fillId="3" borderId="120" xfId="0" applyFont="1" applyFill="1" applyBorder="1" applyAlignment="1">
      <alignment horizontal="center" vertical="center" wrapText="1"/>
    </xf>
    <xf numFmtId="0" fontId="50" fillId="3" borderId="120" xfId="0" applyFont="1" applyFill="1" applyBorder="1" applyAlignment="1">
      <alignment horizontal="center" vertical="center" wrapText="1"/>
    </xf>
    <xf numFmtId="0" fontId="13" fillId="6" borderId="126" xfId="0" applyFont="1" applyFill="1" applyBorder="1" applyAlignment="1">
      <alignment horizontal="left" vertical="center" wrapText="1"/>
    </xf>
    <xf numFmtId="166" fontId="13" fillId="6" borderId="87" xfId="0" applyNumberFormat="1" applyFont="1" applyFill="1" applyBorder="1" applyAlignment="1">
      <alignment horizontal="center" vertical="center" wrapText="1"/>
    </xf>
    <xf numFmtId="166" fontId="13" fillId="6" borderId="126" xfId="0" applyNumberFormat="1" applyFont="1" applyFill="1" applyBorder="1" applyAlignment="1">
      <alignment horizontal="center" vertical="center" wrapText="1"/>
    </xf>
    <xf numFmtId="4" fontId="13" fillId="6" borderId="126" xfId="0" applyNumberFormat="1" applyFont="1" applyFill="1" applyBorder="1" applyAlignment="1">
      <alignment horizontal="center" vertical="center"/>
    </xf>
    <xf numFmtId="0" fontId="13" fillId="6" borderId="127" xfId="0" applyFont="1" applyFill="1" applyBorder="1" applyAlignment="1">
      <alignment horizontal="left" vertical="center" wrapText="1"/>
    </xf>
    <xf numFmtId="166" fontId="13" fillId="6" borderId="92" xfId="0" applyNumberFormat="1" applyFont="1" applyFill="1" applyBorder="1" applyAlignment="1">
      <alignment horizontal="center" vertical="center" wrapText="1"/>
    </xf>
    <xf numFmtId="166" fontId="13" fillId="6" borderId="127" xfId="0" applyNumberFormat="1" applyFont="1" applyFill="1" applyBorder="1" applyAlignment="1">
      <alignment horizontal="center" vertical="center" wrapText="1"/>
    </xf>
    <xf numFmtId="4" fontId="13" fillId="6" borderId="127" xfId="0" applyNumberFormat="1" applyFont="1" applyFill="1" applyBorder="1" applyAlignment="1">
      <alignment horizontal="center" vertical="center"/>
    </xf>
    <xf numFmtId="0" fontId="0" fillId="0" borderId="0" xfId="0" applyProtection="1">
      <protection locked="0"/>
    </xf>
    <xf numFmtId="0" fontId="13" fillId="3" borderId="25" xfId="0" applyFont="1" applyFill="1" applyBorder="1" applyAlignment="1">
      <alignment horizontal="center" vertical="center"/>
    </xf>
    <xf numFmtId="0" fontId="13" fillId="12" borderId="129" xfId="0" applyFont="1" applyFill="1" applyBorder="1" applyAlignment="1">
      <alignment horizontal="center" vertical="center"/>
    </xf>
    <xf numFmtId="4" fontId="13" fillId="3" borderId="28" xfId="0" applyNumberFormat="1" applyFont="1" applyFill="1" applyBorder="1" applyAlignment="1">
      <alignment horizontal="center" vertical="center"/>
    </xf>
    <xf numFmtId="4" fontId="13" fillId="3" borderId="129" xfId="0" applyNumberFormat="1" applyFont="1" applyFill="1" applyBorder="1" applyAlignment="1">
      <alignment horizontal="center" vertical="center"/>
    </xf>
    <xf numFmtId="9" fontId="0" fillId="0" borderId="49" xfId="0" applyNumberFormat="1" applyBorder="1" applyAlignment="1" applyProtection="1">
      <alignment horizontal="center" vertical="center"/>
      <protection locked="0"/>
    </xf>
    <xf numFmtId="0" fontId="41" fillId="10" borderId="0" xfId="1" applyFont="1" applyFill="1" applyAlignment="1">
      <alignment horizontal="left" vertical="center" wrapText="1"/>
    </xf>
    <xf numFmtId="0" fontId="33" fillId="10" borderId="0" xfId="1" applyFont="1" applyFill="1" applyAlignment="1">
      <alignment horizontal="left" vertical="center" wrapText="1"/>
    </xf>
    <xf numFmtId="0" fontId="33" fillId="10" borderId="0" xfId="1" applyFont="1" applyFill="1" applyAlignment="1">
      <alignment vertical="center"/>
    </xf>
    <xf numFmtId="0" fontId="42" fillId="10" borderId="0" xfId="1" applyFont="1" applyFill="1" applyAlignment="1">
      <alignment horizontal="center" vertical="center"/>
    </xf>
    <xf numFmtId="0" fontId="13" fillId="10" borderId="0" xfId="1" applyFont="1" applyFill="1" applyAlignment="1">
      <alignment horizontal="center" vertical="center"/>
    </xf>
    <xf numFmtId="0" fontId="44" fillId="10" borderId="0" xfId="1" applyFont="1" applyFill="1" applyAlignment="1">
      <alignment horizontal="center" vertical="center"/>
    </xf>
    <xf numFmtId="0" fontId="42" fillId="27" borderId="0" xfId="1" applyFont="1" applyFill="1" applyAlignment="1">
      <alignment horizontal="center" vertical="center"/>
    </xf>
    <xf numFmtId="0" fontId="7" fillId="27" borderId="35" xfId="1" applyFill="1" applyBorder="1"/>
    <xf numFmtId="0" fontId="7" fillId="27" borderId="0" xfId="1" applyFill="1"/>
    <xf numFmtId="0" fontId="7" fillId="27" borderId="39" xfId="1" applyFill="1" applyBorder="1"/>
    <xf numFmtId="0" fontId="13" fillId="27" borderId="35" xfId="1" applyFont="1" applyFill="1" applyBorder="1"/>
    <xf numFmtId="0" fontId="7" fillId="27" borderId="45" xfId="1" applyFill="1" applyBorder="1"/>
    <xf numFmtId="0" fontId="7" fillId="27" borderId="30" xfId="1" applyFill="1" applyBorder="1"/>
    <xf numFmtId="0" fontId="7" fillId="27" borderId="46" xfId="1" applyFill="1" applyBorder="1"/>
    <xf numFmtId="10" fontId="13" fillId="6" borderId="68" xfId="1" applyNumberFormat="1" applyFont="1" applyFill="1" applyBorder="1" applyAlignment="1">
      <alignment vertical="center"/>
    </xf>
    <xf numFmtId="0" fontId="13" fillId="6" borderId="17" xfId="1" applyFont="1" applyFill="1" applyBorder="1" applyAlignment="1">
      <alignment vertical="center"/>
    </xf>
    <xf numFmtId="0" fontId="13" fillId="6" borderId="53" xfId="1" applyFont="1" applyFill="1" applyBorder="1" applyAlignment="1">
      <alignment vertical="center"/>
    </xf>
    <xf numFmtId="0" fontId="18" fillId="6" borderId="67" xfId="1" applyFont="1" applyFill="1" applyBorder="1" applyAlignment="1">
      <alignment vertical="center" wrapText="1"/>
    </xf>
    <xf numFmtId="167" fontId="13" fillId="11" borderId="0" xfId="1" applyNumberFormat="1" applyFont="1" applyFill="1"/>
    <xf numFmtId="0" fontId="7" fillId="28" borderId="34" xfId="1" applyFill="1" applyBorder="1"/>
    <xf numFmtId="0" fontId="7" fillId="28" borderId="39" xfId="1" applyFill="1" applyBorder="1"/>
    <xf numFmtId="0" fontId="7" fillId="28" borderId="46" xfId="1" applyFill="1" applyBorder="1"/>
    <xf numFmtId="0" fontId="7" fillId="28" borderId="32" xfId="1" applyFill="1" applyBorder="1"/>
    <xf numFmtId="0" fontId="7" fillId="28" borderId="35" xfId="1" applyFill="1" applyBorder="1"/>
    <xf numFmtId="0" fontId="7" fillId="28" borderId="45" xfId="1" applyFill="1" applyBorder="1"/>
    <xf numFmtId="0" fontId="7" fillId="28" borderId="33" xfId="1" applyFill="1" applyBorder="1"/>
    <xf numFmtId="0" fontId="7" fillId="28" borderId="0" xfId="1" applyFill="1"/>
    <xf numFmtId="0" fontId="7" fillId="28" borderId="30" xfId="1" applyFill="1" applyBorder="1"/>
    <xf numFmtId="0" fontId="7" fillId="0" borderId="0" xfId="1" applyAlignment="1">
      <alignment vertical="center"/>
    </xf>
    <xf numFmtId="0" fontId="13" fillId="0" borderId="92" xfId="1" applyFont="1" applyBorder="1" applyAlignment="1" applyProtection="1">
      <alignment horizontal="center" vertical="center" wrapText="1"/>
      <protection locked="0"/>
    </xf>
    <xf numFmtId="0" fontId="11" fillId="3" borderId="39" xfId="1" applyFont="1" applyFill="1" applyBorder="1" applyAlignment="1">
      <alignment horizontal="center" vertical="center" wrapText="1"/>
    </xf>
    <xf numFmtId="14" fontId="13" fillId="0" borderId="39" xfId="1" applyNumberFormat="1" applyFont="1" applyBorder="1" applyAlignment="1" applyProtection="1">
      <alignment horizontal="left" vertical="center" wrapText="1"/>
      <protection locked="0"/>
    </xf>
    <xf numFmtId="14" fontId="40" fillId="0" borderId="83" xfId="1" applyNumberFormat="1" applyFont="1" applyBorder="1" applyAlignment="1" applyProtection="1">
      <alignment horizontal="center" vertical="center" wrapText="1"/>
      <protection locked="0"/>
    </xf>
    <xf numFmtId="0" fontId="40" fillId="0" borderId="47" xfId="1" applyFont="1" applyBorder="1" applyAlignment="1" applyProtection="1">
      <alignment horizontal="center" vertical="center" wrapText="1"/>
      <protection locked="0"/>
    </xf>
    <xf numFmtId="0" fontId="32" fillId="0" borderId="48" xfId="1" applyFont="1" applyBorder="1" applyAlignment="1" applyProtection="1">
      <alignment horizontal="center" vertical="center" wrapText="1"/>
      <protection locked="0"/>
    </xf>
    <xf numFmtId="0" fontId="32" fillId="0" borderId="49" xfId="1" applyFont="1" applyBorder="1" applyAlignment="1" applyProtection="1">
      <alignment horizontal="center" vertical="center" wrapText="1"/>
      <protection locked="0"/>
    </xf>
    <xf numFmtId="0" fontId="32" fillId="0" borderId="53" xfId="1" applyFont="1" applyBorder="1" applyAlignment="1" applyProtection="1">
      <alignment horizontal="center" vertical="center" wrapText="1"/>
      <protection locked="0"/>
    </xf>
    <xf numFmtId="0" fontId="32" fillId="3" borderId="49" xfId="1" applyFont="1" applyFill="1" applyBorder="1" applyAlignment="1">
      <alignment horizontal="center" vertical="center" wrapText="1"/>
    </xf>
    <xf numFmtId="0" fontId="32" fillId="3" borderId="54" xfId="1" applyFont="1" applyFill="1" applyBorder="1" applyAlignment="1">
      <alignment horizontal="center" vertical="center" wrapText="1"/>
    </xf>
    <xf numFmtId="0" fontId="66" fillId="30" borderId="17" xfId="1" applyFont="1" applyFill="1" applyBorder="1" applyAlignment="1" applyProtection="1">
      <alignment horizontal="left" vertical="center" wrapText="1"/>
      <protection locked="0"/>
    </xf>
    <xf numFmtId="0" fontId="66" fillId="30" borderId="17" xfId="1" applyFont="1" applyFill="1" applyBorder="1" applyAlignment="1" applyProtection="1">
      <alignment horizontal="left" vertical="justify" wrapText="1"/>
      <protection locked="0"/>
    </xf>
    <xf numFmtId="0" fontId="66" fillId="30" borderId="17" xfId="1" applyFont="1" applyFill="1" applyBorder="1" applyAlignment="1" applyProtection="1">
      <alignment horizontal="center" vertical="center" wrapText="1"/>
      <protection locked="0"/>
    </xf>
    <xf numFmtId="1" fontId="67" fillId="0" borderId="51" xfId="1" applyNumberFormat="1" applyFont="1" applyBorder="1" applyAlignment="1" applyProtection="1">
      <alignment horizontal="center" vertical="center" wrapText="1"/>
      <protection locked="0"/>
    </xf>
    <xf numFmtId="14" fontId="13" fillId="2" borderId="0" xfId="0" applyNumberFormat="1" applyFont="1" applyFill="1" applyAlignment="1" applyProtection="1">
      <alignment horizontal="center" vertical="center"/>
      <protection locked="0"/>
    </xf>
    <xf numFmtId="14" fontId="13" fillId="2" borderId="3" xfId="0" applyNumberFormat="1" applyFont="1" applyFill="1" applyBorder="1" applyAlignment="1" applyProtection="1">
      <alignment horizontal="center" vertical="center"/>
      <protection locked="0"/>
    </xf>
    <xf numFmtId="0" fontId="10" fillId="4" borderId="0" xfId="0" applyFont="1" applyFill="1" applyAlignment="1">
      <alignment horizontal="center" vertical="center"/>
    </xf>
    <xf numFmtId="0" fontId="9" fillId="4" borderId="0" xfId="0" applyFont="1" applyFill="1" applyAlignment="1">
      <alignment horizontal="center" vertical="center"/>
    </xf>
    <xf numFmtId="0" fontId="9" fillId="4" borderId="0" xfId="0" applyFont="1" applyFill="1"/>
    <xf numFmtId="0" fontId="9" fillId="4" borderId="0" xfId="0" applyFont="1" applyFill="1" applyAlignment="1" applyProtection="1">
      <alignment horizontal="left" vertical="center"/>
      <protection locked="0"/>
    </xf>
    <xf numFmtId="0" fontId="0" fillId="0" borderId="0" xfId="0" applyAlignment="1">
      <alignment horizontal="center" vertical="center"/>
    </xf>
    <xf numFmtId="0" fontId="0" fillId="0" borderId="0" xfId="0"/>
    <xf numFmtId="0" fontId="0" fillId="0" borderId="0" xfId="0" applyAlignment="1" applyProtection="1">
      <alignment horizontal="left" vertical="center"/>
      <protection locked="0"/>
    </xf>
    <xf numFmtId="0" fontId="9" fillId="0" borderId="0" xfId="0" applyFont="1" applyAlignment="1">
      <alignment horizontal="center" vertical="center"/>
    </xf>
    <xf numFmtId="0" fontId="9" fillId="0" borderId="0" xfId="0" applyFont="1"/>
    <xf numFmtId="0" fontId="9" fillId="0" borderId="0" xfId="0" applyFont="1" applyAlignment="1" applyProtection="1">
      <alignment horizontal="left" vertical="center"/>
      <protection locked="0"/>
    </xf>
    <xf numFmtId="0" fontId="8" fillId="2" borderId="0" xfId="0" applyFont="1" applyFill="1" applyAlignment="1">
      <alignment horizontal="left"/>
    </xf>
    <xf numFmtId="0" fontId="8" fillId="0" borderId="0" xfId="0" applyFont="1" applyAlignment="1">
      <alignment horizontal="left"/>
    </xf>
    <xf numFmtId="0" fontId="0" fillId="2" borderId="0" xfId="0" applyFill="1" applyAlignment="1" applyProtection="1">
      <alignment horizontal="center" vertical="center"/>
      <protection locked="0"/>
    </xf>
    <xf numFmtId="0" fontId="0" fillId="0" borderId="0" xfId="0" applyAlignment="1">
      <alignment horizontal="center" vertical="top"/>
    </xf>
    <xf numFmtId="0" fontId="24" fillId="2" borderId="0" xfId="0" applyFont="1" applyFill="1" applyAlignment="1">
      <alignment horizontal="left" vertical="center"/>
    </xf>
    <xf numFmtId="0" fontId="0" fillId="2" borderId="0" xfId="0" applyFill="1" applyAlignment="1">
      <alignment horizontal="center" vertical="top"/>
    </xf>
    <xf numFmtId="0" fontId="2" fillId="2" borderId="0" xfId="0" applyFont="1" applyFill="1" applyAlignment="1">
      <alignment horizontal="center" vertical="center"/>
    </xf>
    <xf numFmtId="0" fontId="3" fillId="2" borderId="0" xfId="0"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3" fillId="2" borderId="0" xfId="0" applyFont="1" applyFill="1" applyAlignment="1">
      <alignment horizontal="left" vertical="top"/>
    </xf>
    <xf numFmtId="0" fontId="0" fillId="0" borderId="0" xfId="0" applyAlignment="1">
      <alignment horizontal="left" vertical="top"/>
    </xf>
    <xf numFmtId="0" fontId="3"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12" fillId="2" borderId="2" xfId="0" applyFont="1" applyFill="1" applyBorder="1" applyAlignment="1">
      <alignment horizontal="left"/>
    </xf>
    <xf numFmtId="0" fontId="12" fillId="0" borderId="2" xfId="0" applyFont="1" applyBorder="1" applyAlignment="1">
      <alignment horizontal="left"/>
    </xf>
    <xf numFmtId="0" fontId="13" fillId="2" borderId="3" xfId="0" applyFont="1" applyFill="1" applyBorder="1" applyAlignment="1" applyProtection="1">
      <alignment horizontal="center" vertical="center"/>
      <protection locked="0"/>
    </xf>
    <xf numFmtId="0" fontId="13" fillId="2" borderId="6" xfId="0" applyFont="1" applyFill="1" applyBorder="1" applyAlignment="1">
      <alignment horizontal="center" vertical="top"/>
    </xf>
    <xf numFmtId="0" fontId="13" fillId="0" borderId="6" xfId="0" applyFont="1" applyBorder="1"/>
    <xf numFmtId="0" fontId="13" fillId="0" borderId="6" xfId="0" applyFont="1" applyBorder="1" applyAlignment="1">
      <alignment horizontal="center" vertical="top"/>
    </xf>
    <xf numFmtId="0" fontId="12" fillId="2" borderId="0" xfId="0" applyFont="1" applyFill="1" applyAlignment="1">
      <alignment horizontal="left"/>
    </xf>
    <xf numFmtId="0" fontId="12" fillId="0" borderId="0" xfId="0" applyFont="1" applyAlignment="1">
      <alignment horizontal="left"/>
    </xf>
    <xf numFmtId="0" fontId="13" fillId="2" borderId="8" xfId="0" applyFont="1" applyFill="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13" xfId="1" applyFont="1" applyBorder="1" applyAlignment="1">
      <alignment horizontal="center" vertical="center"/>
    </xf>
    <xf numFmtId="0" fontId="13" fillId="0" borderId="14" xfId="1" applyFont="1" applyBorder="1"/>
    <xf numFmtId="0" fontId="13" fillId="0" borderId="14" xfId="1" applyFont="1" applyBorder="1" applyAlignment="1">
      <alignment horizontal="center" vertical="center"/>
    </xf>
    <xf numFmtId="0" fontId="13" fillId="0" borderId="15" xfId="1" applyFont="1" applyBorder="1"/>
    <xf numFmtId="0" fontId="13" fillId="0" borderId="16" xfId="1" applyFont="1" applyBorder="1" applyAlignment="1">
      <alignment horizontal="center" vertical="center"/>
    </xf>
    <xf numFmtId="0" fontId="13" fillId="0" borderId="17" xfId="1" applyFont="1" applyBorder="1"/>
    <xf numFmtId="0" fontId="7" fillId="0" borderId="18" xfId="1" applyBorder="1" applyAlignment="1" applyProtection="1">
      <alignment horizontal="left" vertical="center" wrapText="1"/>
      <protection locked="0"/>
    </xf>
    <xf numFmtId="0" fontId="7" fillId="0" borderId="19" xfId="1" applyBorder="1" applyAlignment="1" applyProtection="1">
      <alignment horizontal="left" vertical="center" wrapText="1"/>
      <protection locked="0"/>
    </xf>
    <xf numFmtId="0" fontId="7" fillId="0" borderId="20" xfId="1" applyBorder="1" applyAlignment="1" applyProtection="1">
      <alignment horizontal="left" vertical="center" wrapText="1"/>
      <protection locked="0"/>
    </xf>
    <xf numFmtId="0" fontId="7" fillId="0" borderId="17" xfId="1" applyBorder="1" applyAlignment="1" applyProtection="1">
      <alignment horizontal="center" vertical="center"/>
      <protection locked="0"/>
    </xf>
    <xf numFmtId="0" fontId="7" fillId="0" borderId="21" xfId="1" applyBorder="1" applyAlignment="1" applyProtection="1">
      <alignment horizontal="center" vertical="center"/>
      <protection locked="0"/>
    </xf>
    <xf numFmtId="0" fontId="13" fillId="0" borderId="11" xfId="0" applyFont="1" applyBorder="1" applyAlignment="1">
      <alignment horizontal="center" vertical="top"/>
    </xf>
    <xf numFmtId="0" fontId="7" fillId="0" borderId="17" xfId="1" applyBorder="1" applyAlignment="1" applyProtection="1">
      <alignment horizontal="left" vertical="center" wrapText="1"/>
      <protection locked="0"/>
    </xf>
    <xf numFmtId="0" fontId="13" fillId="0" borderId="22" xfId="1" applyFont="1" applyBorder="1" applyAlignment="1">
      <alignment horizontal="center" vertical="center"/>
    </xf>
    <xf numFmtId="0" fontId="13" fillId="0" borderId="23" xfId="1" applyFont="1" applyBorder="1"/>
    <xf numFmtId="0" fontId="7" fillId="0" borderId="23" xfId="1" applyBorder="1" applyAlignment="1" applyProtection="1">
      <alignment horizontal="left" vertical="center" wrapText="1"/>
      <protection locked="0"/>
    </xf>
    <xf numFmtId="0" fontId="7" fillId="0" borderId="23" xfId="1" applyBorder="1" applyAlignment="1" applyProtection="1">
      <alignment horizontal="center" vertical="center"/>
      <protection locked="0"/>
    </xf>
    <xf numFmtId="0" fontId="7" fillId="0" borderId="24" xfId="1" applyBorder="1" applyAlignment="1" applyProtection="1">
      <alignment horizontal="center" vertical="center"/>
      <protection locked="0"/>
    </xf>
    <xf numFmtId="0" fontId="13" fillId="0" borderId="0" xfId="1" applyFont="1" applyAlignment="1">
      <alignment horizontal="center" vertical="center"/>
    </xf>
    <xf numFmtId="0" fontId="13" fillId="0" borderId="0" xfId="0" applyFont="1" applyAlignment="1">
      <alignment horizontal="center" vertical="center"/>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7" fillId="0" borderId="27" xfId="1" applyBorder="1" applyAlignment="1" applyProtection="1">
      <alignment horizontal="left" vertical="center" wrapText="1"/>
      <protection locked="0"/>
    </xf>
    <xf numFmtId="0" fontId="7" fillId="0" borderId="27" xfId="1" applyBorder="1" applyAlignment="1" applyProtection="1">
      <alignment horizontal="center" vertical="center"/>
      <protection locked="0"/>
    </xf>
    <xf numFmtId="0" fontId="7" fillId="0" borderId="28" xfId="1" applyBorder="1" applyAlignment="1" applyProtection="1">
      <alignment horizontal="center" vertical="center"/>
      <protection locked="0"/>
    </xf>
    <xf numFmtId="0" fontId="0" fillId="0" borderId="40" xfId="0" applyBorder="1" applyAlignment="1" applyProtection="1">
      <alignment horizontal="right" vertical="center"/>
      <protection locked="0"/>
    </xf>
    <xf numFmtId="0" fontId="0" fillId="0" borderId="19" xfId="0" applyBorder="1" applyAlignment="1" applyProtection="1">
      <alignment horizontal="right" vertical="center"/>
      <protection locked="0"/>
    </xf>
    <xf numFmtId="0" fontId="0" fillId="0" borderId="41" xfId="0" applyBorder="1" applyAlignment="1" applyProtection="1">
      <alignment horizontal="right" vertical="center"/>
      <protection locked="0"/>
    </xf>
    <xf numFmtId="0" fontId="0" fillId="0" borderId="42" xfId="0" applyBorder="1" applyAlignment="1" applyProtection="1">
      <alignment horizontal="right" vertical="center" wrapText="1"/>
      <protection locked="0"/>
    </xf>
    <xf numFmtId="0" fontId="0" fillId="0" borderId="43" xfId="0" applyBorder="1" applyAlignment="1" applyProtection="1">
      <alignment horizontal="right" vertical="center" wrapText="1"/>
      <protection locked="0"/>
    </xf>
    <xf numFmtId="0" fontId="0" fillId="0" borderId="44" xfId="0" applyBorder="1" applyAlignment="1" applyProtection="1">
      <alignment horizontal="right" vertical="center" wrapText="1"/>
      <protection locked="0"/>
    </xf>
    <xf numFmtId="0" fontId="20" fillId="5" borderId="29" xfId="0" applyFont="1" applyFill="1" applyBorder="1" applyAlignment="1">
      <alignment horizontal="center" vertical="center" wrapText="1"/>
    </xf>
    <xf numFmtId="0" fontId="20" fillId="5" borderId="61" xfId="0" applyFont="1" applyFill="1" applyBorder="1" applyAlignment="1">
      <alignment horizontal="center" vertical="center" wrapText="1"/>
    </xf>
    <xf numFmtId="0" fontId="20" fillId="5" borderId="31" xfId="0" applyFont="1" applyFill="1" applyBorder="1" applyAlignment="1">
      <alignment horizontal="center" vertical="center" wrapText="1"/>
    </xf>
    <xf numFmtId="0" fontId="0" fillId="0" borderId="36" xfId="0" applyBorder="1" applyAlignment="1" applyProtection="1">
      <alignment horizontal="right" vertical="center" wrapText="1"/>
      <protection locked="0"/>
    </xf>
    <xf numFmtId="0" fontId="0" fillId="0" borderId="37" xfId="0" applyBorder="1" applyAlignment="1" applyProtection="1">
      <alignment horizontal="right" vertical="center" wrapText="1"/>
      <protection locked="0"/>
    </xf>
    <xf numFmtId="0" fontId="0" fillId="0" borderId="38" xfId="0" applyBorder="1" applyAlignment="1" applyProtection="1">
      <alignment horizontal="right" vertical="center" wrapText="1"/>
      <protection locked="0"/>
    </xf>
    <xf numFmtId="0" fontId="0" fillId="0" borderId="40" xfId="0" applyBorder="1" applyAlignment="1" applyProtection="1">
      <alignment horizontal="right" vertical="center" wrapText="1"/>
      <protection locked="0"/>
    </xf>
    <xf numFmtId="0" fontId="0" fillId="0" borderId="19" xfId="0" applyBorder="1" applyAlignment="1" applyProtection="1">
      <alignment horizontal="right" vertical="center" wrapText="1"/>
      <protection locked="0"/>
    </xf>
    <xf numFmtId="0" fontId="0" fillId="0" borderId="41" xfId="0" applyBorder="1" applyAlignment="1" applyProtection="1">
      <alignment horizontal="right" vertical="center" wrapText="1"/>
      <protection locked="0"/>
    </xf>
    <xf numFmtId="0" fontId="0" fillId="0" borderId="36" xfId="0" applyBorder="1" applyAlignment="1" applyProtection="1">
      <alignment horizontal="right" vertical="center"/>
      <protection locked="0"/>
    </xf>
    <xf numFmtId="0" fontId="0" fillId="0" borderId="37" xfId="0" applyBorder="1" applyAlignment="1" applyProtection="1">
      <alignment horizontal="right" vertical="center"/>
      <protection locked="0"/>
    </xf>
    <xf numFmtId="0" fontId="0" fillId="0" borderId="38" xfId="0" applyBorder="1" applyAlignment="1" applyProtection="1">
      <alignment horizontal="right" vertical="center"/>
      <protection locked="0"/>
    </xf>
    <xf numFmtId="0" fontId="22" fillId="5" borderId="0" xfId="0" applyFont="1" applyFill="1" applyAlignment="1">
      <alignment horizontal="center" vertical="center" wrapText="1"/>
    </xf>
    <xf numFmtId="0" fontId="0" fillId="0" borderId="40" xfId="0" applyBorder="1" applyAlignment="1" applyProtection="1">
      <alignment horizontal="left" vertical="top" wrapText="1"/>
      <protection locked="0"/>
    </xf>
    <xf numFmtId="0" fontId="0" fillId="0" borderId="19" xfId="0" applyBorder="1" applyAlignment="1">
      <alignment horizontal="left" vertical="top" wrapText="1"/>
    </xf>
    <xf numFmtId="0" fontId="0" fillId="0" borderId="41" xfId="0" applyBorder="1" applyAlignment="1">
      <alignment horizontal="left" vertical="top" wrapText="1"/>
    </xf>
    <xf numFmtId="0" fontId="0" fillId="0" borderId="42" xfId="0" applyBorder="1" applyAlignment="1" applyProtection="1">
      <alignment horizontal="left" vertical="top" wrapText="1"/>
      <protection locked="0"/>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5" borderId="0" xfId="0" applyFill="1" applyAlignment="1">
      <alignment wrapText="1"/>
    </xf>
    <xf numFmtId="0" fontId="7" fillId="0" borderId="47"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7" fillId="0" borderId="49" xfId="0" applyFont="1" applyBorder="1" applyAlignment="1" applyProtection="1">
      <alignment horizontal="left" vertical="top" wrapText="1"/>
      <protection locked="0"/>
    </xf>
    <xf numFmtId="0" fontId="7" fillId="0" borderId="40" xfId="0" applyFont="1" applyBorder="1" applyAlignment="1" applyProtection="1">
      <alignment horizontal="left" vertical="top" wrapText="1"/>
      <protection locked="0"/>
    </xf>
    <xf numFmtId="0" fontId="7" fillId="0" borderId="19" xfId="0" applyFont="1" applyBorder="1" applyAlignment="1" applyProtection="1">
      <alignment horizontal="left" vertical="top" wrapText="1"/>
      <protection locked="0"/>
    </xf>
    <xf numFmtId="0" fontId="7" fillId="0" borderId="41"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43" xfId="0" applyFont="1" applyBorder="1" applyAlignment="1" applyProtection="1">
      <alignment horizontal="left" vertical="top" wrapText="1"/>
      <protection locked="0"/>
    </xf>
    <xf numFmtId="0" fontId="7" fillId="0" borderId="44" xfId="0" applyFont="1"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19" fillId="5" borderId="0" xfId="0" applyFont="1" applyFill="1"/>
    <xf numFmtId="0" fontId="0" fillId="5" borderId="0" xfId="0" applyFill="1"/>
    <xf numFmtId="0" fontId="0" fillId="5" borderId="0" xfId="0" applyFill="1" applyAlignment="1">
      <alignment horizontal="right" vertical="center"/>
    </xf>
    <xf numFmtId="0" fontId="0" fillId="5" borderId="35" xfId="0" applyFill="1" applyBorder="1" applyAlignment="1">
      <alignment horizontal="right" vertical="center"/>
    </xf>
    <xf numFmtId="0" fontId="0" fillId="5" borderId="39" xfId="0" applyFill="1" applyBorder="1" applyAlignment="1">
      <alignment horizontal="right" vertical="center"/>
    </xf>
    <xf numFmtId="0" fontId="7" fillId="0" borderId="32" xfId="0" applyFont="1"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5"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46" xfId="0" applyBorder="1" applyAlignment="1" applyProtection="1">
      <alignment horizontal="left" vertical="top" wrapText="1"/>
      <protection locked="0"/>
    </xf>
    <xf numFmtId="0" fontId="20" fillId="0" borderId="36" xfId="0" applyFont="1" applyBorder="1" applyAlignment="1" applyProtection="1">
      <alignment horizontal="left" vertical="top" wrapText="1"/>
      <protection locked="0"/>
    </xf>
    <xf numFmtId="0" fontId="20" fillId="0" borderId="37" xfId="0" applyFont="1" applyBorder="1" applyAlignment="1" applyProtection="1">
      <alignment horizontal="left" vertical="top" wrapText="1"/>
      <protection locked="0"/>
    </xf>
    <xf numFmtId="0" fontId="20" fillId="0" borderId="38" xfId="0" applyFont="1" applyBorder="1" applyAlignment="1" applyProtection="1">
      <alignment horizontal="left" vertical="top" wrapText="1"/>
      <protection locked="0"/>
    </xf>
    <xf numFmtId="0" fontId="20" fillId="0" borderId="42" xfId="0" applyFont="1" applyBorder="1" applyAlignment="1" applyProtection="1">
      <alignment horizontal="right" vertical="center" wrapText="1"/>
      <protection locked="0"/>
    </xf>
    <xf numFmtId="0" fontId="20" fillId="0" borderId="43" xfId="0" applyFont="1" applyBorder="1" applyAlignment="1" applyProtection="1">
      <alignment horizontal="right" vertical="center" wrapText="1"/>
      <protection locked="0"/>
    </xf>
    <xf numFmtId="0" fontId="16" fillId="5" borderId="0" xfId="0" applyFont="1" applyFill="1" applyAlignment="1">
      <alignment wrapText="1"/>
    </xf>
    <xf numFmtId="0" fontId="16" fillId="0" borderId="0" xfId="0" applyFont="1" applyAlignment="1">
      <alignment wrapText="1"/>
    </xf>
    <xf numFmtId="0" fontId="17" fillId="5" borderId="30" xfId="0" applyFont="1" applyFill="1" applyBorder="1" applyAlignment="1">
      <alignment wrapText="1"/>
    </xf>
    <xf numFmtId="0" fontId="17" fillId="0" borderId="30" xfId="0" applyFont="1" applyBorder="1" applyAlignment="1">
      <alignment wrapText="1"/>
    </xf>
    <xf numFmtId="0" fontId="18" fillId="6" borderId="36" xfId="0" applyFont="1" applyFill="1" applyBorder="1" applyAlignment="1" applyProtection="1">
      <alignment horizontal="right" vertical="center" wrapText="1"/>
      <protection locked="0"/>
    </xf>
    <xf numFmtId="0" fontId="18" fillId="6" borderId="37" xfId="0" applyFont="1" applyFill="1" applyBorder="1" applyAlignment="1" applyProtection="1">
      <alignment horizontal="right" vertical="center" wrapText="1"/>
      <protection locked="0"/>
    </xf>
    <xf numFmtId="0" fontId="18" fillId="6" borderId="57" xfId="0" applyFont="1" applyFill="1" applyBorder="1" applyAlignment="1" applyProtection="1">
      <alignment horizontal="right" vertical="center" wrapText="1"/>
      <protection locked="0"/>
    </xf>
    <xf numFmtId="0" fontId="18" fillId="6" borderId="40" xfId="0" applyFont="1" applyFill="1" applyBorder="1" applyAlignment="1" applyProtection="1">
      <alignment horizontal="right" vertical="center" wrapText="1"/>
      <protection locked="0"/>
    </xf>
    <xf numFmtId="0" fontId="18" fillId="6" borderId="19" xfId="0" applyFont="1" applyFill="1" applyBorder="1" applyAlignment="1" applyProtection="1">
      <alignment horizontal="right" vertical="center" wrapText="1"/>
      <protection locked="0"/>
    </xf>
    <xf numFmtId="0" fontId="18" fillId="6" borderId="20" xfId="0" applyFont="1" applyFill="1" applyBorder="1" applyAlignment="1" applyProtection="1">
      <alignment horizontal="right" vertical="center" wrapText="1"/>
      <protection locked="0"/>
    </xf>
    <xf numFmtId="0" fontId="13" fillId="0" borderId="19" xfId="0" applyFont="1" applyBorder="1" applyAlignment="1" applyProtection="1">
      <alignment horizontal="right" vertical="center" wrapText="1"/>
      <protection locked="0"/>
    </xf>
    <xf numFmtId="0" fontId="13" fillId="0" borderId="20" xfId="0" applyFont="1" applyBorder="1" applyAlignment="1" applyProtection="1">
      <alignment horizontal="right" vertical="center" wrapText="1"/>
      <protection locked="0"/>
    </xf>
    <xf numFmtId="0" fontId="18" fillId="6" borderId="42" xfId="0" applyFont="1" applyFill="1" applyBorder="1" applyAlignment="1" applyProtection="1">
      <alignment horizontal="right" vertical="center" wrapText="1"/>
      <protection locked="0"/>
    </xf>
    <xf numFmtId="0" fontId="18" fillId="6" borderId="43" xfId="0" applyFont="1" applyFill="1" applyBorder="1" applyAlignment="1" applyProtection="1">
      <alignment horizontal="right" vertical="center" wrapText="1"/>
      <protection locked="0"/>
    </xf>
    <xf numFmtId="0" fontId="18" fillId="6" borderId="59" xfId="0" applyFont="1" applyFill="1" applyBorder="1" applyAlignment="1" applyProtection="1">
      <alignment horizontal="right" vertical="center" wrapText="1"/>
      <protection locked="0"/>
    </xf>
    <xf numFmtId="0" fontId="20" fillId="0" borderId="36" xfId="0" applyFont="1" applyBorder="1" applyAlignment="1" applyProtection="1">
      <alignment horizontal="right" vertical="center" wrapText="1"/>
      <protection locked="0"/>
    </xf>
    <xf numFmtId="0" fontId="20" fillId="0" borderId="37" xfId="0" applyFont="1" applyBorder="1" applyAlignment="1" applyProtection="1">
      <alignment horizontal="right" vertical="center" wrapText="1"/>
      <protection locked="0"/>
    </xf>
    <xf numFmtId="0" fontId="20" fillId="0" borderId="40" xfId="0" applyFont="1" applyBorder="1" applyAlignment="1" applyProtection="1">
      <alignment horizontal="right" vertical="center" wrapText="1"/>
      <protection locked="0"/>
    </xf>
    <xf numFmtId="0" fontId="20" fillId="0" borderId="19" xfId="0" applyFont="1" applyBorder="1" applyAlignment="1" applyProtection="1">
      <alignment horizontal="right" vertical="center" wrapText="1"/>
      <protection locked="0"/>
    </xf>
    <xf numFmtId="0" fontId="13" fillId="5" borderId="0" xfId="0" applyFont="1" applyFill="1" applyAlignment="1">
      <alignment horizontal="right" vertical="center" wrapText="1"/>
    </xf>
    <xf numFmtId="0" fontId="13" fillId="0" borderId="0" xfId="0" applyFont="1" applyAlignment="1">
      <alignment wrapText="1"/>
    </xf>
    <xf numFmtId="0" fontId="66" fillId="0" borderId="36" xfId="0" applyFont="1" applyBorder="1" applyAlignment="1" applyProtection="1">
      <alignment horizontal="right" vertical="center"/>
      <protection locked="0"/>
    </xf>
    <xf numFmtId="0" fontId="66" fillId="0" borderId="37" xfId="0" applyFont="1" applyBorder="1" applyAlignment="1" applyProtection="1">
      <alignment horizontal="right" vertical="center"/>
      <protection locked="0"/>
    </xf>
    <xf numFmtId="0" fontId="66" fillId="0" borderId="38" xfId="0" applyFont="1" applyBorder="1" applyAlignment="1" applyProtection="1">
      <alignment horizontal="right" vertical="center"/>
      <protection locked="0"/>
    </xf>
    <xf numFmtId="0" fontId="66" fillId="0" borderId="40" xfId="0" applyFont="1" applyBorder="1" applyAlignment="1" applyProtection="1">
      <alignment horizontal="right" vertical="center"/>
      <protection locked="0"/>
    </xf>
    <xf numFmtId="0" fontId="66" fillId="0" borderId="19" xfId="0" applyFont="1" applyBorder="1" applyAlignment="1" applyProtection="1">
      <alignment horizontal="right" vertical="center"/>
      <protection locked="0"/>
    </xf>
    <xf numFmtId="0" fontId="66" fillId="0" borderId="41" xfId="0" applyFont="1" applyBorder="1" applyAlignment="1" applyProtection="1">
      <alignment horizontal="right" vertical="center"/>
      <protection locked="0"/>
    </xf>
    <xf numFmtId="0" fontId="13" fillId="5" borderId="35" xfId="0" applyFont="1" applyFill="1" applyBorder="1" applyAlignment="1">
      <alignment horizontal="right" vertical="center"/>
    </xf>
    <xf numFmtId="0" fontId="13" fillId="5" borderId="0" xfId="0" applyFont="1" applyFill="1" applyAlignment="1">
      <alignment horizontal="right" vertical="center"/>
    </xf>
    <xf numFmtId="0" fontId="66" fillId="0" borderId="42" xfId="0" applyFont="1" applyBorder="1" applyAlignment="1" applyProtection="1">
      <alignment horizontal="right" vertical="center"/>
      <protection locked="0"/>
    </xf>
    <xf numFmtId="0" fontId="66" fillId="0" borderId="43" xfId="0" applyFont="1" applyBorder="1" applyAlignment="1" applyProtection="1">
      <alignment horizontal="right" vertical="center"/>
      <protection locked="0"/>
    </xf>
    <xf numFmtId="0" fontId="66" fillId="0" borderId="44" xfId="0" applyFont="1" applyBorder="1" applyAlignment="1" applyProtection="1">
      <alignment horizontal="right" vertical="center"/>
      <protection locked="0"/>
    </xf>
    <xf numFmtId="0" fontId="13" fillId="0" borderId="0" xfId="0" applyFont="1" applyAlignment="1">
      <alignment horizontal="right" vertical="center" wrapText="1"/>
    </xf>
    <xf numFmtId="0" fontId="13" fillId="0" borderId="50" xfId="0" applyFont="1" applyBorder="1" applyAlignment="1" applyProtection="1">
      <alignment horizontal="right" vertical="center"/>
      <protection locked="0"/>
    </xf>
    <xf numFmtId="0" fontId="13" fillId="0" borderId="17" xfId="0" applyFont="1" applyBorder="1" applyAlignment="1" applyProtection="1">
      <alignment horizontal="right" vertical="center"/>
      <protection locked="0"/>
    </xf>
    <xf numFmtId="0" fontId="13" fillId="0" borderId="51" xfId="0" applyFont="1" applyBorder="1" applyAlignment="1" applyProtection="1">
      <alignment horizontal="right" vertical="center"/>
      <protection locked="0"/>
    </xf>
    <xf numFmtId="0" fontId="13" fillId="0" borderId="52" xfId="0" applyFont="1" applyBorder="1" applyAlignment="1" applyProtection="1">
      <alignment horizontal="right" vertical="center"/>
      <protection locked="0"/>
    </xf>
    <xf numFmtId="0" fontId="13" fillId="0" borderId="53" xfId="0" applyFont="1" applyBorder="1" applyAlignment="1" applyProtection="1">
      <alignment horizontal="right" vertical="center"/>
      <protection locked="0"/>
    </xf>
    <xf numFmtId="0" fontId="13" fillId="0" borderId="54" xfId="0" applyFont="1" applyBorder="1" applyAlignment="1" applyProtection="1">
      <alignment horizontal="right" vertical="center"/>
      <protection locked="0"/>
    </xf>
    <xf numFmtId="0" fontId="66" fillId="0" borderId="59" xfId="0" applyFont="1" applyBorder="1" applyAlignment="1" applyProtection="1">
      <alignment horizontal="right" vertical="center"/>
      <protection locked="0"/>
    </xf>
    <xf numFmtId="3" fontId="66" fillId="0" borderId="40" xfId="0" applyNumberFormat="1" applyFont="1" applyBorder="1" applyAlignment="1" applyProtection="1">
      <alignment horizontal="right" vertical="center"/>
      <protection locked="0"/>
    </xf>
    <xf numFmtId="3" fontId="66" fillId="0" borderId="19" xfId="0" applyNumberFormat="1" applyFont="1" applyBorder="1" applyAlignment="1" applyProtection="1">
      <alignment horizontal="right" vertical="center"/>
      <protection locked="0"/>
    </xf>
    <xf numFmtId="3" fontId="66" fillId="0" borderId="41" xfId="0" applyNumberFormat="1" applyFont="1" applyBorder="1" applyAlignment="1" applyProtection="1">
      <alignment horizontal="right" vertical="center"/>
      <protection locked="0"/>
    </xf>
    <xf numFmtId="164" fontId="66" fillId="0" borderId="40" xfId="0" applyNumberFormat="1" applyFont="1" applyBorder="1" applyAlignment="1" applyProtection="1">
      <alignment horizontal="right" vertical="center"/>
      <protection locked="0"/>
    </xf>
    <xf numFmtId="164" fontId="66" fillId="0" borderId="19" xfId="0" applyNumberFormat="1" applyFont="1" applyBorder="1" applyAlignment="1" applyProtection="1">
      <alignment horizontal="right" vertical="center"/>
      <protection locked="0"/>
    </xf>
    <xf numFmtId="164" fontId="66" fillId="0" borderId="41" xfId="0" applyNumberFormat="1" applyFont="1" applyBorder="1" applyAlignment="1" applyProtection="1">
      <alignment horizontal="right" vertical="center"/>
      <protection locked="0"/>
    </xf>
    <xf numFmtId="2" fontId="66" fillId="0" borderId="42" xfId="0" applyNumberFormat="1" applyFont="1" applyBorder="1" applyAlignment="1" applyProtection="1">
      <alignment horizontal="right" vertical="center"/>
      <protection locked="0"/>
    </xf>
    <xf numFmtId="2" fontId="66" fillId="0" borderId="43" xfId="0" applyNumberFormat="1" applyFont="1" applyBorder="1" applyAlignment="1" applyProtection="1">
      <alignment horizontal="right" vertical="center"/>
      <protection locked="0"/>
    </xf>
    <xf numFmtId="2" fontId="66" fillId="0" borderId="44" xfId="0" applyNumberFormat="1" applyFont="1" applyBorder="1" applyAlignment="1" applyProtection="1">
      <alignment horizontal="right" vertical="center"/>
      <protection locked="0"/>
    </xf>
    <xf numFmtId="14" fontId="66" fillId="0" borderId="36" xfId="0" applyNumberFormat="1" applyFont="1" applyBorder="1" applyAlignment="1" applyProtection="1">
      <alignment horizontal="right" vertical="center"/>
      <protection locked="0"/>
    </xf>
    <xf numFmtId="14" fontId="66" fillId="0" borderId="38" xfId="0" applyNumberFormat="1" applyFont="1" applyBorder="1" applyAlignment="1" applyProtection="1">
      <alignment horizontal="right" vertical="center"/>
      <protection locked="0"/>
    </xf>
    <xf numFmtId="14" fontId="66" fillId="0" borderId="42" xfId="0" applyNumberFormat="1" applyFont="1" applyBorder="1" applyAlignment="1" applyProtection="1">
      <alignment horizontal="right" vertical="center"/>
      <protection locked="0"/>
    </xf>
    <xf numFmtId="14" fontId="66" fillId="0" borderId="44" xfId="0" applyNumberFormat="1" applyFont="1" applyBorder="1" applyAlignment="1" applyProtection="1">
      <alignment horizontal="right" vertical="center"/>
      <protection locked="0"/>
    </xf>
    <xf numFmtId="0" fontId="66" fillId="0" borderId="57" xfId="0" applyFont="1" applyBorder="1" applyAlignment="1" applyProtection="1">
      <alignment horizontal="right" vertical="center"/>
      <protection locked="0"/>
    </xf>
    <xf numFmtId="0" fontId="13" fillId="0" borderId="48" xfId="0" applyFont="1" applyBorder="1" applyAlignment="1" applyProtection="1">
      <alignment horizontal="right" vertical="center"/>
      <protection locked="0"/>
    </xf>
    <xf numFmtId="0" fontId="13" fillId="0" borderId="49" xfId="0" applyFont="1" applyBorder="1" applyAlignment="1" applyProtection="1">
      <alignment horizontal="right" vertical="center"/>
      <protection locked="0"/>
    </xf>
    <xf numFmtId="0" fontId="11"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11" fillId="5" borderId="30" xfId="0" applyFont="1" applyFill="1" applyBorder="1" applyAlignment="1">
      <alignment horizontal="center" vertical="center" wrapText="1"/>
    </xf>
    <xf numFmtId="0" fontId="66" fillId="0" borderId="20" xfId="0" applyFont="1" applyBorder="1" applyAlignment="1" applyProtection="1">
      <alignment horizontal="right" vertical="center"/>
      <protection locked="0"/>
    </xf>
    <xf numFmtId="0" fontId="33" fillId="3" borderId="32" xfId="1" applyFont="1" applyFill="1" applyBorder="1" applyAlignment="1">
      <alignment horizontal="left" vertical="center"/>
    </xf>
    <xf numFmtId="0" fontId="13" fillId="3" borderId="33" xfId="1" applyFont="1" applyFill="1" applyBorder="1" applyAlignment="1">
      <alignment horizontal="left" vertical="center"/>
    </xf>
    <xf numFmtId="0" fontId="13" fillId="3" borderId="33" xfId="1" applyFont="1" applyFill="1" applyBorder="1"/>
    <xf numFmtId="0" fontId="33" fillId="3" borderId="33" xfId="1" applyFont="1" applyFill="1" applyBorder="1" applyAlignment="1">
      <alignment horizontal="left" vertical="center"/>
    </xf>
    <xf numFmtId="0" fontId="13" fillId="5" borderId="0" xfId="1" applyFont="1" applyFill="1" applyAlignment="1">
      <alignment wrapText="1"/>
    </xf>
    <xf numFmtId="0" fontId="7" fillId="0" borderId="67" xfId="1" applyBorder="1" applyAlignment="1">
      <alignment horizontal="left" vertical="center" wrapText="1"/>
    </xf>
    <xf numFmtId="0" fontId="7" fillId="0" borderId="71" xfId="1" applyBorder="1" applyAlignment="1">
      <alignment horizontal="left" vertical="center" wrapText="1"/>
    </xf>
    <xf numFmtId="0" fontId="7" fillId="0" borderId="73" xfId="1" applyBorder="1" applyAlignment="1">
      <alignment horizontal="left" vertical="center" wrapText="1"/>
    </xf>
    <xf numFmtId="166" fontId="7" fillId="0" borderId="68" xfId="1" applyNumberFormat="1" applyBorder="1" applyAlignment="1">
      <alignment horizontal="center" vertical="center"/>
    </xf>
    <xf numFmtId="0" fontId="7" fillId="0" borderId="72" xfId="1" applyBorder="1" applyAlignment="1">
      <alignment horizontal="center" vertical="center"/>
    </xf>
    <xf numFmtId="0" fontId="7" fillId="0" borderId="63" xfId="1" applyBorder="1" applyAlignment="1">
      <alignment horizontal="center" vertical="center"/>
    </xf>
    <xf numFmtId="0" fontId="7" fillId="0" borderId="40" xfId="1" applyBorder="1" applyAlignment="1">
      <alignment horizontal="left" vertical="center" wrapText="1"/>
    </xf>
    <xf numFmtId="166" fontId="7" fillId="0" borderId="17" xfId="1" applyNumberFormat="1" applyBorder="1" applyAlignment="1">
      <alignment horizontal="center" vertical="center" wrapText="1"/>
    </xf>
    <xf numFmtId="0" fontId="7" fillId="0" borderId="77" xfId="1" applyBorder="1" applyAlignment="1">
      <alignment horizontal="left" vertical="center" wrapText="1"/>
    </xf>
    <xf numFmtId="166" fontId="7" fillId="0" borderId="23" xfId="1" applyNumberFormat="1" applyBorder="1" applyAlignment="1">
      <alignment horizontal="center" vertical="center" wrapText="1"/>
    </xf>
    <xf numFmtId="0" fontId="7" fillId="0" borderId="35" xfId="1" applyBorder="1" applyAlignment="1">
      <alignment wrapText="1"/>
    </xf>
    <xf numFmtId="0" fontId="7" fillId="0" borderId="45" xfId="1" applyBorder="1" applyAlignment="1">
      <alignment wrapText="1"/>
    </xf>
    <xf numFmtId="166" fontId="7" fillId="0" borderId="78" xfId="1" applyNumberFormat="1" applyBorder="1" applyAlignment="1">
      <alignment horizontal="center" vertical="center" wrapText="1"/>
    </xf>
    <xf numFmtId="0" fontId="7" fillId="0" borderId="85" xfId="1" applyBorder="1" applyAlignment="1">
      <alignment horizontal="center" vertical="center"/>
    </xf>
    <xf numFmtId="0" fontId="7" fillId="0" borderId="86" xfId="1" applyBorder="1" applyAlignment="1">
      <alignment horizontal="center" vertical="center"/>
    </xf>
    <xf numFmtId="0" fontId="7" fillId="0" borderId="79" xfId="1" applyBorder="1" applyAlignment="1">
      <alignment horizontal="left" vertical="center" wrapText="1"/>
    </xf>
    <xf numFmtId="0" fontId="7" fillId="0" borderId="82" xfId="1" applyBorder="1" applyAlignment="1">
      <alignment horizontal="left" vertical="center" wrapText="1"/>
    </xf>
    <xf numFmtId="166" fontId="7" fillId="0" borderId="23" xfId="1" applyNumberFormat="1" applyBorder="1" applyAlignment="1">
      <alignment horizontal="center" vertical="center"/>
    </xf>
    <xf numFmtId="166" fontId="7" fillId="0" borderId="72" xfId="1" applyNumberFormat="1" applyBorder="1" applyAlignment="1">
      <alignment horizontal="center" vertical="center"/>
    </xf>
    <xf numFmtId="166" fontId="7" fillId="0" borderId="75" xfId="1" applyNumberFormat="1" applyBorder="1" applyAlignment="1">
      <alignment horizontal="center" vertical="center"/>
    </xf>
    <xf numFmtId="0" fontId="7" fillId="0" borderId="75" xfId="1" applyBorder="1" applyAlignment="1">
      <alignment horizontal="center" vertical="center"/>
    </xf>
    <xf numFmtId="0" fontId="7" fillId="0" borderId="71" xfId="1" applyBorder="1"/>
    <xf numFmtId="0" fontId="7" fillId="0" borderId="73" xfId="1" applyBorder="1"/>
    <xf numFmtId="166" fontId="7" fillId="0" borderId="63" xfId="1" applyNumberFormat="1" applyBorder="1" applyAlignment="1">
      <alignment horizontal="center" vertical="center"/>
    </xf>
    <xf numFmtId="0" fontId="7" fillId="0" borderId="82" xfId="1" applyBorder="1"/>
    <xf numFmtId="166" fontId="25" fillId="0" borderId="23" xfId="2" applyNumberFormat="1" applyBorder="1" applyAlignment="1">
      <alignment horizontal="center" vertical="center"/>
    </xf>
    <xf numFmtId="166" fontId="25" fillId="0" borderId="72" xfId="2" applyNumberFormat="1" applyBorder="1" applyAlignment="1">
      <alignment horizontal="center" vertical="center"/>
    </xf>
    <xf numFmtId="166" fontId="25" fillId="0" borderId="75" xfId="2" applyNumberFormat="1" applyBorder="1" applyAlignment="1">
      <alignment horizontal="center" vertical="center"/>
    </xf>
    <xf numFmtId="0" fontId="38" fillId="0" borderId="0" xfId="1" applyFont="1" applyAlignment="1">
      <alignment horizontal="center" vertical="center"/>
    </xf>
    <xf numFmtId="4" fontId="38" fillId="0" borderId="0" xfId="1" applyNumberFormat="1" applyFont="1" applyAlignment="1">
      <alignment horizontal="center" vertical="center"/>
    </xf>
    <xf numFmtId="0" fontId="7" fillId="0" borderId="0" xfId="1" applyAlignment="1">
      <alignment horizontal="center" vertical="center"/>
    </xf>
    <xf numFmtId="0" fontId="19" fillId="0" borderId="68" xfId="1" applyFont="1" applyBorder="1" applyAlignment="1">
      <alignment horizontal="center" vertical="center" wrapText="1"/>
    </xf>
    <xf numFmtId="0" fontId="7" fillId="0" borderId="63" xfId="1" applyBorder="1" applyAlignment="1">
      <alignment horizontal="center" vertical="center" wrapText="1"/>
    </xf>
    <xf numFmtId="0" fontId="19" fillId="0" borderId="68" xfId="1" applyFont="1" applyBorder="1" applyAlignment="1">
      <alignment horizontal="center" vertical="center"/>
    </xf>
    <xf numFmtId="0" fontId="19" fillId="0" borderId="63" xfId="1" applyFont="1" applyBorder="1" applyAlignment="1">
      <alignment horizontal="center" vertical="center"/>
    </xf>
    <xf numFmtId="0" fontId="19" fillId="0" borderId="63" xfId="1" applyFont="1" applyBorder="1" applyAlignment="1">
      <alignment horizontal="center" vertical="center" wrapText="1"/>
    </xf>
    <xf numFmtId="0" fontId="19" fillId="0" borderId="47" xfId="1" applyFont="1" applyBorder="1" applyAlignment="1" applyProtection="1">
      <alignment horizontal="center" vertical="center" wrapText="1"/>
      <protection locked="0"/>
    </xf>
    <xf numFmtId="0" fontId="7" fillId="0" borderId="50" xfId="1" applyBorder="1" applyAlignment="1">
      <alignment horizontal="center" vertical="center" wrapText="1"/>
    </xf>
    <xf numFmtId="0" fontId="36" fillId="0" borderId="0" xfId="1" applyFont="1" applyAlignment="1">
      <alignment horizontal="left" vertical="center"/>
    </xf>
    <xf numFmtId="0" fontId="19" fillId="0" borderId="67" xfId="1" applyFont="1" applyBorder="1" applyAlignment="1">
      <alignment horizontal="left" vertical="center" wrapText="1"/>
    </xf>
    <xf numFmtId="0" fontId="19" fillId="0" borderId="71" xfId="1" applyFont="1" applyBorder="1" applyAlignment="1">
      <alignment horizontal="left" vertical="center" wrapText="1"/>
    </xf>
    <xf numFmtId="0" fontId="19" fillId="0" borderId="72" xfId="1" applyFont="1" applyBorder="1" applyAlignment="1">
      <alignment horizontal="center" vertical="center" wrapText="1"/>
    </xf>
    <xf numFmtId="0" fontId="19" fillId="0" borderId="69" xfId="1" applyFont="1" applyBorder="1" applyAlignment="1">
      <alignment horizontal="center" vertical="center" wrapText="1"/>
    </xf>
    <xf numFmtId="0" fontId="19" fillId="0" borderId="70" xfId="1" applyFont="1" applyBorder="1" applyAlignment="1">
      <alignment horizontal="center" vertical="center" wrapText="1"/>
    </xf>
    <xf numFmtId="0" fontId="19" fillId="0" borderId="67" xfId="1" applyFont="1" applyBorder="1" applyAlignment="1">
      <alignment horizontal="center" vertical="center" wrapText="1"/>
    </xf>
    <xf numFmtId="0" fontId="7" fillId="0" borderId="73" xfId="1" applyBorder="1" applyAlignment="1">
      <alignment horizontal="center" vertical="center" wrapText="1"/>
    </xf>
    <xf numFmtId="0" fontId="32" fillId="3" borderId="18" xfId="1" applyFont="1" applyFill="1" applyBorder="1" applyAlignment="1">
      <alignment horizontal="center" vertical="center" wrapText="1"/>
    </xf>
    <xf numFmtId="0" fontId="32" fillId="3" borderId="19" xfId="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13" fillId="13" borderId="18" xfId="1" applyFont="1" applyFill="1" applyBorder="1" applyAlignment="1">
      <alignment horizontal="center" vertical="center"/>
    </xf>
    <xf numFmtId="0" fontId="13" fillId="13" borderId="19" xfId="1" applyFont="1" applyFill="1" applyBorder="1" applyAlignment="1">
      <alignment horizontal="center" vertical="center"/>
    </xf>
    <xf numFmtId="0" fontId="13" fillId="13" borderId="20" xfId="1" applyFont="1" applyFill="1" applyBorder="1" applyAlignment="1">
      <alignment horizontal="center" vertical="center"/>
    </xf>
    <xf numFmtId="0" fontId="40" fillId="0" borderId="18" xfId="1" applyFont="1" applyBorder="1" applyAlignment="1" applyProtection="1">
      <alignment horizontal="center" vertical="center" wrapText="1"/>
      <protection locked="0"/>
    </xf>
    <xf numFmtId="0" fontId="40" fillId="0" borderId="19" xfId="1" applyFont="1" applyBorder="1" applyAlignment="1" applyProtection="1">
      <alignment horizontal="center" vertical="center" wrapText="1"/>
      <protection locked="0"/>
    </xf>
    <xf numFmtId="0" fontId="13" fillId="13" borderId="83" xfId="1" applyFont="1" applyFill="1" applyBorder="1" applyAlignment="1">
      <alignment horizontal="center" vertical="center"/>
    </xf>
    <xf numFmtId="0" fontId="13" fillId="13" borderId="43" xfId="1" applyFont="1" applyFill="1" applyBorder="1" applyAlignment="1">
      <alignment horizontal="center" vertical="center"/>
    </xf>
    <xf numFmtId="0" fontId="13" fillId="13" borderId="59" xfId="1" applyFont="1" applyFill="1" applyBorder="1" applyAlignment="1">
      <alignment horizontal="center" vertical="center"/>
    </xf>
    <xf numFmtId="0" fontId="40" fillId="0" borderId="83" xfId="1" applyFont="1" applyBorder="1" applyAlignment="1" applyProtection="1">
      <alignment horizontal="center" vertical="center" wrapText="1"/>
      <protection locked="0"/>
    </xf>
    <xf numFmtId="0" fontId="40" fillId="0" borderId="43" xfId="1" applyFont="1" applyBorder="1" applyAlignment="1" applyProtection="1">
      <alignment horizontal="center" vertical="center" wrapText="1"/>
      <protection locked="0"/>
    </xf>
    <xf numFmtId="0" fontId="12" fillId="13" borderId="74" xfId="1" applyFont="1" applyFill="1" applyBorder="1" applyAlignment="1">
      <alignment horizontal="left" vertical="center"/>
    </xf>
    <xf numFmtId="0" fontId="12" fillId="13" borderId="37" xfId="1" applyFont="1" applyFill="1" applyBorder="1" applyAlignment="1">
      <alignment horizontal="left" vertical="center"/>
    </xf>
    <xf numFmtId="0" fontId="12" fillId="13" borderId="57" xfId="1" applyFont="1" applyFill="1" applyBorder="1" applyAlignment="1">
      <alignment horizontal="left" vertical="center"/>
    </xf>
    <xf numFmtId="0" fontId="40" fillId="0" borderId="74" xfId="1" applyFont="1" applyBorder="1" applyAlignment="1" applyProtection="1">
      <alignment horizontal="center" vertical="center" wrapText="1"/>
      <protection locked="0"/>
    </xf>
    <xf numFmtId="0" fontId="40" fillId="0" borderId="37" xfId="1" applyFont="1" applyBorder="1" applyAlignment="1" applyProtection="1">
      <alignment horizontal="center" vertical="center" wrapText="1"/>
      <protection locked="0"/>
    </xf>
    <xf numFmtId="0" fontId="11" fillId="3" borderId="32" xfId="1" applyFont="1" applyFill="1" applyBorder="1" applyAlignment="1">
      <alignment horizontal="center" vertical="center"/>
    </xf>
    <xf numFmtId="0" fontId="11" fillId="3" borderId="33" xfId="1" applyFont="1" applyFill="1" applyBorder="1"/>
    <xf numFmtId="0" fontId="11" fillId="3" borderId="34" xfId="1" applyFont="1" applyFill="1" applyBorder="1"/>
    <xf numFmtId="0" fontId="11" fillId="3" borderId="100" xfId="1" applyFont="1" applyFill="1" applyBorder="1"/>
    <xf numFmtId="0" fontId="11" fillId="3" borderId="81" xfId="1" applyFont="1" applyFill="1" applyBorder="1"/>
    <xf numFmtId="0" fontId="11" fillId="3" borderId="101" xfId="1" applyFont="1" applyFill="1" applyBorder="1"/>
    <xf numFmtId="0" fontId="32" fillId="3" borderId="48" xfId="1" applyFont="1" applyFill="1" applyBorder="1" applyAlignment="1">
      <alignment horizontal="center" vertical="center" wrapText="1"/>
    </xf>
    <xf numFmtId="0" fontId="32" fillId="3" borderId="53" xfId="1" applyFont="1" applyFill="1" applyBorder="1" applyAlignment="1">
      <alignment horizontal="center" vertical="center" wrapText="1"/>
    </xf>
    <xf numFmtId="0" fontId="41" fillId="10" borderId="0" xfId="1" applyFont="1" applyFill="1" applyAlignment="1">
      <alignment horizontal="left" vertical="center" wrapText="1"/>
    </xf>
    <xf numFmtId="0" fontId="33" fillId="10" borderId="0" xfId="1" applyFont="1" applyFill="1" applyAlignment="1">
      <alignment horizontal="left" vertical="center" wrapText="1"/>
    </xf>
    <xf numFmtId="0" fontId="33" fillId="10" borderId="0" xfId="1" applyFont="1" applyFill="1" applyAlignment="1">
      <alignment vertical="center"/>
    </xf>
    <xf numFmtId="0" fontId="13" fillId="0" borderId="0" xfId="1" applyFont="1"/>
    <xf numFmtId="0" fontId="32" fillId="3" borderId="47" xfId="1" applyFont="1" applyFill="1" applyBorder="1" applyAlignment="1">
      <alignment horizontal="center" vertical="center" wrapText="1"/>
    </xf>
    <xf numFmtId="0" fontId="32" fillId="3" borderId="52" xfId="1" applyFont="1" applyFill="1" applyBorder="1" applyAlignment="1">
      <alignment horizontal="center" vertical="center" wrapText="1"/>
    </xf>
    <xf numFmtId="0" fontId="32" fillId="3" borderId="47" xfId="1" applyFont="1" applyFill="1" applyBorder="1" applyAlignment="1">
      <alignment horizontal="center" vertical="center"/>
    </xf>
    <xf numFmtId="0" fontId="32" fillId="3" borderId="79" xfId="1" applyFont="1" applyFill="1" applyBorder="1" applyAlignment="1">
      <alignment horizontal="center" vertical="center"/>
    </xf>
    <xf numFmtId="0" fontId="32" fillId="3" borderId="23" xfId="1" applyFont="1" applyFill="1" applyBorder="1" applyAlignment="1">
      <alignment horizontal="center" vertical="center" wrapText="1"/>
    </xf>
    <xf numFmtId="0" fontId="32" fillId="3" borderId="69" xfId="1" applyFont="1" applyFill="1" applyBorder="1" applyAlignment="1">
      <alignment horizontal="center" vertical="center" wrapText="1"/>
    </xf>
    <xf numFmtId="0" fontId="32" fillId="3" borderId="102" xfId="1" applyFont="1" applyFill="1" applyBorder="1" applyAlignment="1">
      <alignment horizontal="center" vertical="center" wrapText="1"/>
    </xf>
    <xf numFmtId="0" fontId="11" fillId="10" borderId="95" xfId="1" applyFont="1" applyFill="1" applyBorder="1" applyAlignment="1">
      <alignment horizontal="center" vertical="center"/>
    </xf>
    <xf numFmtId="0" fontId="11" fillId="10" borderId="76" xfId="1" applyFont="1" applyFill="1" applyBorder="1" applyAlignment="1">
      <alignment horizontal="center" vertical="center"/>
    </xf>
    <xf numFmtId="0" fontId="11" fillId="10" borderId="93" xfId="1" applyFont="1" applyFill="1" applyBorder="1" applyAlignment="1">
      <alignment horizontal="center" vertical="center"/>
    </xf>
    <xf numFmtId="0" fontId="11" fillId="10" borderId="78" xfId="1" applyFont="1" applyFill="1" applyBorder="1" applyAlignment="1">
      <alignment horizontal="center" vertical="center"/>
    </xf>
    <xf numFmtId="0" fontId="11" fillId="3" borderId="33" xfId="1" applyFont="1" applyFill="1" applyBorder="1" applyAlignment="1">
      <alignment horizontal="center" vertical="center"/>
    </xf>
    <xf numFmtId="0" fontId="11" fillId="3" borderId="100" xfId="1" applyFont="1" applyFill="1" applyBorder="1" applyAlignment="1">
      <alignment horizontal="center" vertical="center"/>
    </xf>
    <xf numFmtId="0" fontId="11" fillId="3" borderId="81" xfId="1" applyFont="1" applyFill="1" applyBorder="1" applyAlignment="1">
      <alignment horizontal="center" vertical="center"/>
    </xf>
    <xf numFmtId="0" fontId="11" fillId="3" borderId="34" xfId="1" applyFont="1" applyFill="1" applyBorder="1" applyAlignment="1">
      <alignment horizontal="center" vertical="center"/>
    </xf>
    <xf numFmtId="0" fontId="11" fillId="3" borderId="45" xfId="1" applyFont="1" applyFill="1" applyBorder="1" applyAlignment="1">
      <alignment horizontal="center" vertical="center"/>
    </xf>
    <xf numFmtId="0" fontId="11" fillId="3" borderId="30" xfId="1" applyFont="1" applyFill="1" applyBorder="1" applyAlignment="1">
      <alignment horizontal="center" vertical="center"/>
    </xf>
    <xf numFmtId="0" fontId="11" fillId="3" borderId="46" xfId="1" applyFont="1" applyFill="1" applyBorder="1" applyAlignment="1">
      <alignment horizontal="center" vertical="center"/>
    </xf>
    <xf numFmtId="0" fontId="11" fillId="4" borderId="61" xfId="1" applyFont="1" applyFill="1" applyBorder="1" applyAlignment="1">
      <alignment horizontal="center" vertical="center" wrapText="1"/>
    </xf>
    <xf numFmtId="0" fontId="11" fillId="4" borderId="103" xfId="1" applyFont="1" applyFill="1" applyBorder="1" applyAlignment="1">
      <alignment horizontal="center" vertical="center" wrapText="1"/>
    </xf>
    <xf numFmtId="0" fontId="11" fillId="3" borderId="104" xfId="1" applyFont="1" applyFill="1" applyBorder="1" applyAlignment="1">
      <alignment horizontal="center" vertical="center" wrapText="1"/>
    </xf>
    <xf numFmtId="0" fontId="11" fillId="3" borderId="33" xfId="1" applyFont="1" applyFill="1" applyBorder="1" applyAlignment="1">
      <alignment horizontal="center" vertical="center" wrapText="1"/>
    </xf>
    <xf numFmtId="0" fontId="32" fillId="3" borderId="51" xfId="1" applyFont="1" applyFill="1" applyBorder="1" applyAlignment="1">
      <alignment horizontal="center" vertical="center" wrapText="1"/>
    </xf>
    <xf numFmtId="0" fontId="32" fillId="3" borderId="50" xfId="1" applyFont="1" applyFill="1" applyBorder="1" applyAlignment="1">
      <alignment horizontal="center" vertical="center" wrapText="1"/>
    </xf>
    <xf numFmtId="0" fontId="32" fillId="3" borderId="17" xfId="1" applyFont="1" applyFill="1" applyBorder="1" applyAlignment="1">
      <alignment horizontal="center" vertical="center" wrapText="1"/>
    </xf>
    <xf numFmtId="0" fontId="32" fillId="3" borderId="87" xfId="1" applyFont="1" applyFill="1" applyBorder="1" applyAlignment="1">
      <alignment vertical="center"/>
    </xf>
    <xf numFmtId="0" fontId="40" fillId="0" borderId="88" xfId="1" applyFont="1" applyBorder="1" applyAlignment="1">
      <alignment vertical="center"/>
    </xf>
    <xf numFmtId="0" fontId="13" fillId="0" borderId="89" xfId="1" applyFont="1" applyBorder="1" applyAlignment="1">
      <alignment vertical="center"/>
    </xf>
    <xf numFmtId="0" fontId="13" fillId="11" borderId="90" xfId="1" applyFont="1" applyFill="1" applyBorder="1" applyAlignment="1">
      <alignment horizontal="left" vertical="center"/>
    </xf>
    <xf numFmtId="0" fontId="13" fillId="11" borderId="88" xfId="1" applyFont="1" applyFill="1" applyBorder="1" applyAlignment="1">
      <alignment horizontal="left" vertical="center"/>
    </xf>
    <xf numFmtId="0" fontId="13" fillId="0" borderId="88" xfId="1" applyFont="1" applyBorder="1" applyAlignment="1">
      <alignment horizontal="left" vertical="center"/>
    </xf>
    <xf numFmtId="0" fontId="13" fillId="0" borderId="91" xfId="1" applyFont="1" applyBorder="1" applyAlignment="1">
      <alignment horizontal="left" vertical="center"/>
    </xf>
    <xf numFmtId="0" fontId="32" fillId="3" borderId="92" xfId="1" applyFont="1" applyFill="1" applyBorder="1" applyAlignment="1">
      <alignment vertical="center"/>
    </xf>
    <xf numFmtId="0" fontId="40" fillId="0" borderId="19" xfId="1" applyFont="1" applyBorder="1" applyAlignment="1">
      <alignment vertical="center"/>
    </xf>
    <xf numFmtId="0" fontId="13" fillId="0" borderId="20" xfId="1" applyFont="1" applyBorder="1" applyAlignment="1">
      <alignment vertical="center"/>
    </xf>
    <xf numFmtId="0" fontId="13" fillId="11" borderId="19" xfId="1" applyFont="1" applyFill="1" applyBorder="1" applyAlignment="1">
      <alignment horizontal="left" vertical="center"/>
    </xf>
    <xf numFmtId="0" fontId="13" fillId="0" borderId="19" xfId="1" applyFont="1" applyBorder="1" applyAlignment="1">
      <alignment horizontal="left" vertical="center"/>
    </xf>
    <xf numFmtId="0" fontId="32" fillId="3" borderId="78" xfId="1" applyFont="1" applyFill="1" applyBorder="1" applyAlignment="1">
      <alignment horizontal="left" vertical="center"/>
    </xf>
    <xf numFmtId="0" fontId="32" fillId="3" borderId="93" xfId="1" applyFont="1" applyFill="1" applyBorder="1" applyAlignment="1">
      <alignment horizontal="left" vertical="center"/>
    </xf>
    <xf numFmtId="0" fontId="7" fillId="0" borderId="76" xfId="1" applyBorder="1" applyAlignment="1">
      <alignment horizontal="left" vertical="center"/>
    </xf>
    <xf numFmtId="0" fontId="7" fillId="0" borderId="95" xfId="1" applyBorder="1" applyAlignment="1">
      <alignment horizontal="left" vertical="center"/>
    </xf>
    <xf numFmtId="0" fontId="13" fillId="11" borderId="78" xfId="1" applyFont="1" applyFill="1" applyBorder="1" applyAlignment="1">
      <alignment horizontal="left" vertical="center"/>
    </xf>
    <xf numFmtId="0" fontId="13" fillId="11" borderId="84" xfId="1" applyFont="1" applyFill="1" applyBorder="1" applyAlignment="1">
      <alignment horizontal="left" vertical="center"/>
    </xf>
    <xf numFmtId="0" fontId="13" fillId="11" borderId="94" xfId="1" applyFont="1" applyFill="1" applyBorder="1" applyAlignment="1">
      <alignment horizontal="left" vertical="center"/>
    </xf>
    <xf numFmtId="0" fontId="7" fillId="0" borderId="81" xfId="1" applyBorder="1" applyAlignment="1">
      <alignment horizontal="left" vertical="center"/>
    </xf>
    <xf numFmtId="0" fontId="7" fillId="0" borderId="96" xfId="1" applyBorder="1" applyAlignment="1">
      <alignment horizontal="left" vertical="center"/>
    </xf>
    <xf numFmtId="14" fontId="13" fillId="11" borderId="19" xfId="1" applyNumberFormat="1" applyFont="1" applyFill="1" applyBorder="1" applyAlignment="1">
      <alignment horizontal="left" vertical="center"/>
    </xf>
    <xf numFmtId="0" fontId="32" fillId="3" borderId="25" xfId="1" applyFont="1" applyFill="1" applyBorder="1" applyAlignment="1">
      <alignment horizontal="left" vertical="center"/>
    </xf>
    <xf numFmtId="0" fontId="40" fillId="0" borderId="97" xfId="1" applyFont="1" applyBorder="1" applyAlignment="1">
      <alignment horizontal="left" vertical="center"/>
    </xf>
    <xf numFmtId="0" fontId="13" fillId="0" borderId="26" xfId="1" applyFont="1" applyBorder="1" applyAlignment="1">
      <alignment horizontal="left" vertical="center"/>
    </xf>
    <xf numFmtId="0" fontId="13" fillId="11" borderId="97" xfId="1" applyFont="1" applyFill="1" applyBorder="1" applyAlignment="1">
      <alignment horizontal="left" vertical="center"/>
    </xf>
    <xf numFmtId="0" fontId="13" fillId="0" borderId="97" xfId="1" applyFont="1" applyBorder="1" applyAlignment="1">
      <alignment horizontal="left" vertical="center"/>
    </xf>
    <xf numFmtId="0" fontId="32" fillId="3" borderId="98" xfId="1" applyFont="1" applyFill="1" applyBorder="1" applyAlignment="1">
      <alignment horizontal="left" vertical="center"/>
    </xf>
    <xf numFmtId="0" fontId="32" fillId="3" borderId="26" xfId="1" applyFont="1" applyFill="1" applyBorder="1" applyAlignment="1">
      <alignment horizontal="left" vertical="center"/>
    </xf>
    <xf numFmtId="0" fontId="13" fillId="11" borderId="99" xfId="1" applyFont="1" applyFill="1" applyBorder="1" applyAlignment="1">
      <alignment horizontal="left" vertical="center"/>
    </xf>
    <xf numFmtId="0" fontId="13" fillId="10" borderId="37" xfId="1" applyFont="1" applyFill="1" applyBorder="1" applyAlignment="1">
      <alignment horizontal="center" vertical="center"/>
    </xf>
    <xf numFmtId="49" fontId="38" fillId="0" borderId="0" xfId="1" applyNumberFormat="1" applyFont="1" applyAlignment="1">
      <alignment horizontal="center" vertical="center"/>
    </xf>
    <xf numFmtId="0" fontId="7" fillId="0" borderId="32" xfId="1" applyBorder="1" applyAlignment="1">
      <alignment horizontal="center" vertical="center" wrapText="1"/>
    </xf>
    <xf numFmtId="0" fontId="7" fillId="0" borderId="33" xfId="1" applyBorder="1" applyAlignment="1">
      <alignment horizontal="center" vertical="center" wrapText="1"/>
    </xf>
    <xf numFmtId="0" fontId="7" fillId="0" borderId="34" xfId="1" applyBorder="1" applyAlignment="1">
      <alignment horizontal="center" vertical="center" wrapText="1"/>
    </xf>
    <xf numFmtId="0" fontId="7" fillId="0" borderId="45" xfId="1" applyBorder="1" applyAlignment="1">
      <alignment horizontal="center" vertical="center" wrapText="1"/>
    </xf>
    <xf numFmtId="0" fontId="7" fillId="0" borderId="30" xfId="1" applyBorder="1" applyAlignment="1">
      <alignment horizontal="center" vertical="center" wrapText="1"/>
    </xf>
    <xf numFmtId="0" fontId="7" fillId="0" borderId="46" xfId="1" applyBorder="1" applyAlignment="1">
      <alignment horizontal="center" vertical="center" wrapText="1"/>
    </xf>
    <xf numFmtId="0" fontId="7" fillId="0" borderId="80" xfId="1" applyBorder="1" applyAlignment="1">
      <alignment horizontal="center" vertical="center" wrapText="1"/>
    </xf>
    <xf numFmtId="0" fontId="7" fillId="0" borderId="114" xfId="1" applyBorder="1" applyAlignment="1">
      <alignment horizontal="center" vertical="center" wrapText="1"/>
    </xf>
    <xf numFmtId="0" fontId="7" fillId="29" borderId="32" xfId="1" applyFill="1" applyBorder="1" applyAlignment="1">
      <alignment horizontal="left" vertical="center" wrapText="1"/>
    </xf>
    <xf numFmtId="0" fontId="7" fillId="29" borderId="34" xfId="1" applyFill="1" applyBorder="1" applyAlignment="1">
      <alignment horizontal="left" vertical="center" wrapText="1"/>
    </xf>
    <xf numFmtId="0" fontId="7" fillId="29" borderId="35" xfId="1" applyFill="1" applyBorder="1" applyAlignment="1">
      <alignment horizontal="left" vertical="center" wrapText="1"/>
    </xf>
    <xf numFmtId="0" fontId="7" fillId="29" borderId="39" xfId="1" applyFill="1" applyBorder="1" applyAlignment="1">
      <alignment horizontal="left" vertical="center" wrapText="1"/>
    </xf>
    <xf numFmtId="0" fontId="7" fillId="29" borderId="45" xfId="1" applyFill="1" applyBorder="1" applyAlignment="1">
      <alignment horizontal="left" vertical="center" wrapText="1"/>
    </xf>
    <xf numFmtId="0" fontId="7" fillId="29" borderId="46" xfId="1" applyFill="1" applyBorder="1" applyAlignment="1">
      <alignment horizontal="left" vertical="center" wrapText="1"/>
    </xf>
    <xf numFmtId="0" fontId="13" fillId="5" borderId="0" xfId="1" applyFont="1" applyFill="1"/>
    <xf numFmtId="0" fontId="13" fillId="5" borderId="110" xfId="1" applyFont="1" applyFill="1" applyBorder="1"/>
    <xf numFmtId="0" fontId="11" fillId="5" borderId="0" xfId="1" applyFont="1" applyFill="1" applyAlignment="1">
      <alignment horizontal="center" vertical="center"/>
    </xf>
    <xf numFmtId="0" fontId="16" fillId="5" borderId="0" xfId="1" applyFont="1" applyFill="1"/>
    <xf numFmtId="0" fontId="32" fillId="5" borderId="39" xfId="1" applyFont="1" applyFill="1" applyBorder="1" applyAlignment="1">
      <alignment horizontal="left" vertical="center"/>
    </xf>
    <xf numFmtId="0" fontId="32" fillId="5" borderId="46" xfId="1" applyFont="1" applyFill="1" applyBorder="1" applyAlignment="1">
      <alignment horizontal="left" vertical="center"/>
    </xf>
    <xf numFmtId="0" fontId="16" fillId="3" borderId="67" xfId="1" applyFont="1" applyFill="1" applyBorder="1" applyAlignment="1">
      <alignment horizontal="center" vertical="center"/>
    </xf>
    <xf numFmtId="0" fontId="13" fillId="3" borderId="82" xfId="1" applyFont="1" applyFill="1" applyBorder="1" applyAlignment="1">
      <alignment horizontal="center" vertical="center"/>
    </xf>
    <xf numFmtId="0" fontId="16" fillId="3" borderId="69" xfId="1" applyFont="1" applyFill="1" applyBorder="1" applyAlignment="1">
      <alignment horizontal="center" vertical="center"/>
    </xf>
    <xf numFmtId="0" fontId="13" fillId="3" borderId="102" xfId="1" applyFont="1" applyFill="1" applyBorder="1" applyAlignment="1">
      <alignment horizontal="center" vertical="center"/>
    </xf>
    <xf numFmtId="0" fontId="47" fillId="17" borderId="29" xfId="1" applyFont="1" applyFill="1" applyBorder="1" applyAlignment="1">
      <alignment horizontal="left" vertical="center" wrapText="1"/>
    </xf>
    <xf numFmtId="0" fontId="42" fillId="17" borderId="31" xfId="1" applyFont="1" applyFill="1" applyBorder="1" applyAlignment="1">
      <alignment horizontal="left"/>
    </xf>
    <xf numFmtId="0" fontId="32" fillId="5" borderId="0" xfId="1" applyFont="1" applyFill="1" applyAlignment="1">
      <alignment horizontal="left" vertical="center"/>
    </xf>
    <xf numFmtId="0" fontId="13" fillId="5" borderId="0" xfId="1" applyFont="1" applyFill="1" applyAlignment="1">
      <alignment horizontal="left" vertical="center"/>
    </xf>
    <xf numFmtId="0" fontId="32" fillId="5" borderId="0" xfId="1" applyFont="1" applyFill="1" applyAlignment="1">
      <alignment horizontal="left" vertical="center" wrapText="1"/>
    </xf>
    <xf numFmtId="0" fontId="13" fillId="5" borderId="0" xfId="1" applyFont="1" applyFill="1" applyAlignment="1">
      <alignment horizontal="left" vertical="center" wrapText="1"/>
    </xf>
    <xf numFmtId="0" fontId="16" fillId="3" borderId="80" xfId="1" applyFont="1" applyFill="1" applyBorder="1" applyAlignment="1">
      <alignment horizontal="center" vertical="center" wrapText="1"/>
    </xf>
    <xf numFmtId="0" fontId="13" fillId="3" borderId="80" xfId="1" applyFont="1" applyFill="1" applyBorder="1"/>
    <xf numFmtId="0" fontId="16" fillId="3" borderId="114" xfId="1" applyFont="1" applyFill="1" applyBorder="1" applyAlignment="1">
      <alignment horizontal="center" vertical="center" wrapText="1"/>
    </xf>
    <xf numFmtId="0" fontId="13" fillId="3" borderId="114" xfId="1" applyFont="1" applyFill="1" applyBorder="1"/>
    <xf numFmtId="166" fontId="13" fillId="0" borderId="29" xfId="1" applyNumberFormat="1" applyFont="1" applyBorder="1" applyAlignment="1" applyProtection="1">
      <alignment horizontal="left" vertical="center" wrapText="1"/>
      <protection locked="0"/>
    </xf>
    <xf numFmtId="0" fontId="13" fillId="0" borderId="61" xfId="1" applyFont="1" applyBorder="1" applyAlignment="1" applyProtection="1">
      <alignment wrapText="1"/>
      <protection locked="0"/>
    </xf>
    <xf numFmtId="0" fontId="13" fillId="0" borderId="31" xfId="1" applyFont="1" applyBorder="1" applyAlignment="1" applyProtection="1">
      <alignment wrapText="1"/>
      <protection locked="0"/>
    </xf>
    <xf numFmtId="0" fontId="16" fillId="3" borderId="32" xfId="1" applyFont="1" applyFill="1" applyBorder="1" applyAlignment="1">
      <alignment horizontal="left" vertical="center"/>
    </xf>
    <xf numFmtId="0" fontId="13" fillId="3" borderId="34" xfId="1" applyFont="1" applyFill="1" applyBorder="1"/>
    <xf numFmtId="0" fontId="16" fillId="3" borderId="35" xfId="1" applyFont="1" applyFill="1" applyBorder="1" applyAlignment="1">
      <alignment horizontal="left" vertical="center"/>
    </xf>
    <xf numFmtId="0" fontId="13" fillId="3" borderId="0" xfId="1" applyFont="1" applyFill="1"/>
    <xf numFmtId="0" fontId="13" fillId="3" borderId="39" xfId="1" applyFont="1" applyFill="1" applyBorder="1"/>
    <xf numFmtId="0" fontId="13" fillId="3" borderId="45" xfId="1" applyFont="1" applyFill="1" applyBorder="1"/>
    <xf numFmtId="0" fontId="13" fillId="3" borderId="30" xfId="1" applyFont="1" applyFill="1" applyBorder="1"/>
    <xf numFmtId="0" fontId="13" fillId="3" borderId="46" xfId="1" applyFont="1" applyFill="1" applyBorder="1"/>
    <xf numFmtId="0" fontId="16" fillId="3" borderId="80" xfId="1" applyFont="1" applyFill="1" applyBorder="1" applyAlignment="1">
      <alignment horizontal="center" vertical="center"/>
    </xf>
    <xf numFmtId="0" fontId="16" fillId="3" borderId="115" xfId="1" applyFont="1" applyFill="1" applyBorder="1" applyAlignment="1">
      <alignment horizontal="center" vertical="center"/>
    </xf>
    <xf numFmtId="0" fontId="13" fillId="3" borderId="114" xfId="1" applyFont="1" applyFill="1" applyBorder="1" applyAlignment="1">
      <alignment horizontal="center" vertical="center"/>
    </xf>
    <xf numFmtId="0" fontId="13" fillId="3" borderId="114" xfId="1" applyFont="1" applyFill="1" applyBorder="1" applyAlignment="1">
      <alignment horizontal="center" vertical="center" wrapText="1"/>
    </xf>
    <xf numFmtId="0" fontId="18" fillId="3" borderId="42" xfId="1" applyFont="1" applyFill="1" applyBorder="1" applyAlignment="1">
      <alignment horizontal="left" vertical="center"/>
    </xf>
    <xf numFmtId="0" fontId="18" fillId="3" borderId="44" xfId="1" applyFont="1" applyFill="1" applyBorder="1" applyAlignment="1">
      <alignment horizontal="left" vertical="center"/>
    </xf>
    <xf numFmtId="0" fontId="18" fillId="3" borderId="36" xfId="1" applyFont="1" applyFill="1" applyBorder="1" applyAlignment="1">
      <alignment horizontal="left" vertical="center"/>
    </xf>
    <xf numFmtId="0" fontId="18" fillId="3" borderId="38" xfId="1" applyFont="1" applyFill="1" applyBorder="1" applyAlignment="1">
      <alignment horizontal="left" vertical="center"/>
    </xf>
    <xf numFmtId="0" fontId="18" fillId="3" borderId="40" xfId="1" applyFont="1" applyFill="1" applyBorder="1" applyAlignment="1">
      <alignment horizontal="left" vertical="center"/>
    </xf>
    <xf numFmtId="0" fontId="18" fillId="3" borderId="41" xfId="1" applyFont="1" applyFill="1" applyBorder="1" applyAlignment="1">
      <alignment horizontal="left" vertical="center"/>
    </xf>
    <xf numFmtId="0" fontId="18" fillId="3" borderId="40" xfId="1" applyFont="1" applyFill="1" applyBorder="1" applyAlignment="1">
      <alignment horizontal="left" vertical="center" wrapText="1"/>
    </xf>
    <xf numFmtId="0" fontId="16" fillId="3" borderId="60" xfId="1" applyFont="1" applyFill="1" applyBorder="1" applyAlignment="1">
      <alignment horizontal="center" vertical="center" wrapText="1"/>
    </xf>
    <xf numFmtId="0" fontId="16" fillId="3" borderId="29" xfId="1" applyFont="1" applyFill="1" applyBorder="1" applyAlignment="1">
      <alignment horizontal="center" vertical="center" wrapText="1"/>
    </xf>
    <xf numFmtId="0" fontId="16" fillId="3" borderId="115" xfId="1" applyFont="1" applyFill="1" applyBorder="1" applyAlignment="1">
      <alignment horizontal="left" vertical="center"/>
    </xf>
    <xf numFmtId="0" fontId="13" fillId="3" borderId="115" xfId="1" applyFont="1" applyFill="1" applyBorder="1" applyAlignment="1">
      <alignment horizontal="left" vertical="center"/>
    </xf>
    <xf numFmtId="0" fontId="16" fillId="3" borderId="29" xfId="1" applyFont="1" applyFill="1" applyBorder="1" applyAlignment="1">
      <alignment horizontal="left" vertical="center"/>
    </xf>
    <xf numFmtId="0" fontId="13" fillId="3" borderId="31" xfId="1" applyFont="1" applyFill="1" applyBorder="1"/>
    <xf numFmtId="0" fontId="16" fillId="3" borderId="45" xfId="1" applyFont="1" applyFill="1" applyBorder="1" applyAlignment="1">
      <alignment horizontal="left" vertical="center"/>
    </xf>
    <xf numFmtId="0" fontId="16" fillId="3" borderId="36" xfId="1" applyFont="1" applyFill="1" applyBorder="1" applyAlignment="1">
      <alignment horizontal="center" vertical="center"/>
    </xf>
    <xf numFmtId="0" fontId="16" fillId="3" borderId="38" xfId="1" applyFont="1" applyFill="1" applyBorder="1" applyAlignment="1">
      <alignment horizontal="center" vertical="center"/>
    </xf>
    <xf numFmtId="0" fontId="16" fillId="3" borderId="32" xfId="1" applyFont="1" applyFill="1" applyBorder="1" applyAlignment="1">
      <alignment horizontal="center" vertical="center" wrapText="1"/>
    </xf>
    <xf numFmtId="0" fontId="13" fillId="3" borderId="34" xfId="1" applyFont="1" applyFill="1" applyBorder="1" applyAlignment="1">
      <alignment horizontal="center" vertical="center" wrapText="1"/>
    </xf>
    <xf numFmtId="0" fontId="16" fillId="3" borderId="45" xfId="1" applyFont="1" applyFill="1" applyBorder="1" applyAlignment="1">
      <alignment horizontal="center" vertical="center" wrapText="1"/>
    </xf>
    <xf numFmtId="0" fontId="13" fillId="3" borderId="46" xfId="1" applyFont="1" applyFill="1" applyBorder="1" applyAlignment="1">
      <alignment horizontal="center" vertical="center" wrapText="1"/>
    </xf>
    <xf numFmtId="0" fontId="13" fillId="3" borderId="45" xfId="1" applyFont="1" applyFill="1" applyBorder="1" applyAlignment="1">
      <alignment horizontal="center" vertical="center" wrapText="1"/>
    </xf>
    <xf numFmtId="0" fontId="16" fillId="3" borderId="34" xfId="1" applyFont="1" applyFill="1" applyBorder="1" applyAlignment="1">
      <alignment horizontal="center" vertical="center" wrapText="1"/>
    </xf>
    <xf numFmtId="0" fontId="16" fillId="3" borderId="46" xfId="1" applyFont="1" applyFill="1" applyBorder="1" applyAlignment="1">
      <alignment horizontal="center" vertical="center" wrapText="1"/>
    </xf>
    <xf numFmtId="0" fontId="16" fillId="5" borderId="0" xfId="1" applyFont="1" applyFill="1" applyAlignment="1">
      <alignment horizontal="left" vertical="center"/>
    </xf>
    <xf numFmtId="0" fontId="16" fillId="0" borderId="39" xfId="1" applyFont="1" applyBorder="1" applyAlignment="1">
      <alignment horizontal="left" vertical="center"/>
    </xf>
    <xf numFmtId="0" fontId="16" fillId="3" borderId="80" xfId="1" applyFont="1" applyFill="1" applyBorder="1" applyAlignment="1">
      <alignment horizontal="left" vertical="center"/>
    </xf>
    <xf numFmtId="0" fontId="16" fillId="3" borderId="114" xfId="1" applyFont="1" applyFill="1" applyBorder="1" applyAlignment="1">
      <alignment horizontal="left" vertical="center"/>
    </xf>
    <xf numFmtId="0" fontId="13" fillId="0" borderId="38" xfId="1" applyFont="1" applyBorder="1" applyAlignment="1">
      <alignment horizontal="center" vertical="center"/>
    </xf>
    <xf numFmtId="0" fontId="13" fillId="0" borderId="34" xfId="1" applyFont="1" applyBorder="1" applyAlignment="1">
      <alignment horizontal="center" vertical="center"/>
    </xf>
    <xf numFmtId="0" fontId="13" fillId="0" borderId="45" xfId="1" applyFont="1" applyBorder="1" applyAlignment="1">
      <alignment horizontal="center" vertical="center"/>
    </xf>
    <xf numFmtId="0" fontId="13" fillId="0" borderId="46" xfId="1" applyFont="1" applyBorder="1" applyAlignment="1">
      <alignment horizontal="center" vertical="center"/>
    </xf>
    <xf numFmtId="0" fontId="16" fillId="3" borderId="33" xfId="1" applyFont="1" applyFill="1" applyBorder="1" applyAlignment="1">
      <alignment horizontal="center" vertical="center" wrapText="1"/>
    </xf>
    <xf numFmtId="0" fontId="16" fillId="3" borderId="30" xfId="1" applyFont="1" applyFill="1" applyBorder="1" applyAlignment="1">
      <alignment horizontal="center" vertical="center" wrapText="1"/>
    </xf>
    <xf numFmtId="0" fontId="59" fillId="21" borderId="23" xfId="1" applyFont="1" applyFill="1" applyBorder="1" applyAlignment="1">
      <alignment horizontal="center" vertical="center" wrapText="1"/>
    </xf>
    <xf numFmtId="0" fontId="59" fillId="21" borderId="75" xfId="1" applyFont="1" applyFill="1" applyBorder="1" applyAlignment="1">
      <alignment horizontal="center" vertical="center" wrapText="1"/>
    </xf>
    <xf numFmtId="0" fontId="58" fillId="22" borderId="132" xfId="1" applyFont="1" applyFill="1" applyBorder="1" applyAlignment="1">
      <alignment vertical="center"/>
    </xf>
    <xf numFmtId="0" fontId="58" fillId="22" borderId="133" xfId="1" applyFont="1" applyFill="1" applyBorder="1" applyAlignment="1">
      <alignment vertical="center"/>
    </xf>
    <xf numFmtId="0" fontId="7" fillId="0" borderId="133" xfId="1" applyBorder="1"/>
    <xf numFmtId="171" fontId="7" fillId="0" borderId="0" xfId="1" applyNumberFormat="1"/>
    <xf numFmtId="0" fontId="7" fillId="0" borderId="0" xfId="1"/>
    <xf numFmtId="0" fontId="7" fillId="0" borderId="40" xfId="1" applyBorder="1"/>
    <xf numFmtId="0" fontId="7" fillId="0" borderId="19" xfId="1" applyBorder="1"/>
    <xf numFmtId="0" fontId="7" fillId="0" borderId="47" xfId="1" applyBorder="1" applyAlignment="1">
      <alignment horizontal="left" vertical="center" wrapText="1"/>
    </xf>
    <xf numFmtId="0" fontId="7" fillId="0" borderId="50" xfId="1" applyBorder="1" applyAlignment="1">
      <alignment horizontal="left" vertical="center" wrapText="1"/>
    </xf>
    <xf numFmtId="0" fontId="7" fillId="0" borderId="52" xfId="1" applyBorder="1" applyAlignment="1">
      <alignment horizontal="left" vertical="center" wrapText="1"/>
    </xf>
    <xf numFmtId="166" fontId="7" fillId="0" borderId="48" xfId="1" applyNumberFormat="1" applyBorder="1" applyAlignment="1">
      <alignment horizontal="center" vertical="center"/>
    </xf>
    <xf numFmtId="166" fontId="7" fillId="0" borderId="17" xfId="1" applyNumberFormat="1" applyBorder="1" applyAlignment="1">
      <alignment horizontal="center" vertical="center"/>
    </xf>
    <xf numFmtId="166" fontId="7" fillId="0" borderId="53" xfId="1" applyNumberFormat="1" applyBorder="1" applyAlignment="1">
      <alignment horizontal="center" vertical="center"/>
    </xf>
    <xf numFmtId="0" fontId="7" fillId="0" borderId="36" xfId="1" applyBorder="1"/>
    <xf numFmtId="0" fontId="7" fillId="0" borderId="37" xfId="1" applyBorder="1"/>
    <xf numFmtId="0" fontId="7" fillId="0" borderId="50" xfId="1" applyBorder="1" applyAlignment="1">
      <alignment wrapText="1"/>
    </xf>
    <xf numFmtId="0" fontId="7" fillId="0" borderId="52" xfId="1" applyBorder="1" applyAlignment="1">
      <alignment wrapText="1"/>
    </xf>
    <xf numFmtId="0" fontId="7" fillId="0" borderId="17" xfId="1" applyBorder="1" applyAlignment="1">
      <alignment horizontal="center" vertical="center"/>
    </xf>
    <xf numFmtId="0" fontId="7" fillId="0" borderId="53" xfId="1" applyBorder="1" applyAlignment="1">
      <alignment horizontal="center" vertical="center"/>
    </xf>
    <xf numFmtId="0" fontId="7" fillId="0" borderId="55" xfId="1" applyBorder="1" applyAlignment="1">
      <alignment horizontal="left" vertical="center" wrapText="1"/>
    </xf>
    <xf numFmtId="0" fontId="7" fillId="0" borderId="117" xfId="1" applyBorder="1"/>
    <xf numFmtId="0" fontId="7" fillId="0" borderId="56" xfId="1" applyBorder="1"/>
    <xf numFmtId="166" fontId="7" fillId="0" borderId="47" xfId="1" applyNumberFormat="1" applyBorder="1" applyAlignment="1" applyProtection="1">
      <alignment horizontal="center" vertical="center"/>
      <protection locked="0"/>
    </xf>
    <xf numFmtId="166" fontId="7" fillId="0" borderId="50" xfId="1" applyNumberFormat="1" applyBorder="1" applyAlignment="1">
      <alignment horizontal="center" vertical="center"/>
    </xf>
    <xf numFmtId="166" fontId="7" fillId="0" borderId="52" xfId="1" applyNumberFormat="1" applyBorder="1" applyAlignment="1">
      <alignment horizontal="center" vertical="center"/>
    </xf>
    <xf numFmtId="0" fontId="11" fillId="3" borderId="120" xfId="1" applyFont="1" applyFill="1" applyBorder="1" applyAlignment="1">
      <alignment horizontal="center" vertical="center" wrapText="1"/>
    </xf>
    <xf numFmtId="0" fontId="11" fillId="3" borderId="124" xfId="1" applyFont="1" applyFill="1" applyBorder="1" applyAlignment="1">
      <alignment horizontal="center" vertical="center" wrapText="1"/>
    </xf>
    <xf numFmtId="0" fontId="5" fillId="0" borderId="0" xfId="1" applyFont="1" applyAlignment="1" applyProtection="1">
      <alignment horizontal="left" vertical="center"/>
      <protection locked="0"/>
    </xf>
    <xf numFmtId="0" fontId="6" fillId="0" borderId="0" xfId="1" applyFont="1"/>
    <xf numFmtId="0" fontId="6" fillId="0" borderId="0" xfId="1" applyFont="1" applyAlignment="1">
      <alignment horizontal="left" vertical="center"/>
    </xf>
    <xf numFmtId="0" fontId="19" fillId="0" borderId="48" xfId="1" applyFont="1" applyBorder="1" applyAlignment="1">
      <alignment horizontal="center" vertical="center" wrapText="1"/>
    </xf>
    <xf numFmtId="0" fontId="7" fillId="0" borderId="17" xfId="1" applyBorder="1"/>
    <xf numFmtId="0" fontId="19" fillId="0" borderId="48" xfId="1" applyFont="1" applyBorder="1" applyAlignment="1">
      <alignment horizontal="center" vertical="center"/>
    </xf>
    <xf numFmtId="0" fontId="19" fillId="0" borderId="17" xfId="1" applyFont="1" applyBorder="1" applyAlignment="1">
      <alignment horizontal="center" vertical="center"/>
    </xf>
    <xf numFmtId="0" fontId="19" fillId="0" borderId="17" xfId="1" applyFont="1" applyBorder="1" applyAlignment="1">
      <alignment horizontal="center" vertical="center" wrapText="1"/>
    </xf>
    <xf numFmtId="0" fontId="19" fillId="0" borderId="49" xfId="1" applyFont="1" applyBorder="1" applyAlignment="1">
      <alignment horizontal="center" vertical="center" wrapText="1"/>
    </xf>
    <xf numFmtId="0" fontId="19" fillId="0" borderId="51" xfId="1" applyFont="1" applyBorder="1" applyAlignment="1">
      <alignment horizontal="center" vertical="center" wrapText="1"/>
    </xf>
    <xf numFmtId="0" fontId="32" fillId="3" borderId="121" xfId="1" applyFont="1" applyFill="1" applyBorder="1" applyAlignment="1">
      <alignment horizontal="center" vertical="center" wrapText="1"/>
    </xf>
    <xf numFmtId="0" fontId="40" fillId="0" borderId="122" xfId="1" applyFont="1" applyBorder="1" applyAlignment="1">
      <alignment horizontal="center" vertical="center" wrapText="1"/>
    </xf>
    <xf numFmtId="0" fontId="40" fillId="0" borderId="123" xfId="1" applyFont="1" applyBorder="1" applyAlignment="1">
      <alignment horizontal="center" vertical="center" wrapText="1"/>
    </xf>
    <xf numFmtId="0" fontId="19" fillId="0" borderId="47" xfId="1" applyFont="1" applyBorder="1" applyAlignment="1">
      <alignment horizontal="left" vertical="center" wrapText="1"/>
    </xf>
    <xf numFmtId="0" fontId="7" fillId="0" borderId="50" xfId="1" applyBorder="1"/>
    <xf numFmtId="0" fontId="11" fillId="3" borderId="1" xfId="1" applyFont="1" applyFill="1" applyBorder="1" applyAlignment="1">
      <alignment horizontal="center" vertical="center" wrapText="1"/>
    </xf>
    <xf numFmtId="0" fontId="11" fillId="3" borderId="5" xfId="1" applyFont="1" applyFill="1" applyBorder="1" applyAlignment="1">
      <alignment horizontal="center" vertical="center" wrapText="1"/>
    </xf>
    <xf numFmtId="0" fontId="13" fillId="0" borderId="125" xfId="1" applyFont="1" applyBorder="1" applyAlignment="1">
      <alignment horizontal="center" vertical="center" wrapText="1"/>
    </xf>
    <xf numFmtId="0" fontId="11" fillId="3" borderId="2" xfId="1" applyFont="1" applyFill="1" applyBorder="1" applyAlignment="1">
      <alignment horizontal="center" vertical="center" wrapText="1"/>
    </xf>
    <xf numFmtId="0" fontId="11" fillId="3" borderId="0" xfId="1" applyFont="1" applyFill="1" applyAlignment="1">
      <alignment horizontal="center" vertical="center" wrapText="1"/>
    </xf>
    <xf numFmtId="0" fontId="16" fillId="3" borderId="120" xfId="1" applyFont="1" applyFill="1" applyBorder="1" applyAlignment="1">
      <alignment horizontal="center" vertical="center"/>
    </xf>
    <xf numFmtId="0" fontId="16" fillId="3" borderId="124" xfId="1" applyFont="1" applyFill="1" applyBorder="1" applyAlignment="1">
      <alignment horizontal="center" vertical="center"/>
    </xf>
    <xf numFmtId="0" fontId="13" fillId="0" borderId="124" xfId="1" applyFont="1" applyBorder="1"/>
    <xf numFmtId="0" fontId="16" fillId="3" borderId="120" xfId="1" applyFont="1" applyFill="1" applyBorder="1" applyAlignment="1">
      <alignment horizontal="center" vertical="center" wrapText="1"/>
    </xf>
    <xf numFmtId="0" fontId="13" fillId="0" borderId="124" xfId="1" applyFont="1" applyBorder="1" applyAlignment="1">
      <alignment wrapText="1"/>
    </xf>
    <xf numFmtId="0" fontId="16" fillId="3" borderId="124" xfId="1" applyFont="1" applyFill="1" applyBorder="1" applyAlignment="1">
      <alignment horizontal="center" vertical="center" wrapText="1"/>
    </xf>
    <xf numFmtId="0" fontId="16" fillId="3" borderId="92" xfId="1" applyFont="1" applyFill="1" applyBorder="1" applyAlignment="1">
      <alignment vertical="center"/>
    </xf>
    <xf numFmtId="169" fontId="13" fillId="11" borderId="18" xfId="1" applyNumberFormat="1" applyFont="1" applyFill="1" applyBorder="1" applyAlignment="1">
      <alignment horizontal="left" vertical="center"/>
    </xf>
    <xf numFmtId="0" fontId="13" fillId="11" borderId="19" xfId="1" applyFont="1" applyFill="1" applyBorder="1"/>
    <xf numFmtId="0" fontId="13" fillId="11" borderId="20" xfId="1" applyFont="1" applyFill="1" applyBorder="1"/>
    <xf numFmtId="0" fontId="16" fillId="3" borderId="18" xfId="1" applyFont="1" applyFill="1" applyBorder="1" applyAlignment="1">
      <alignment horizontal="left" vertical="center"/>
    </xf>
    <xf numFmtId="0" fontId="13" fillId="0" borderId="20" xfId="1" applyFont="1" applyBorder="1" applyAlignment="1">
      <alignment horizontal="left" vertical="center"/>
    </xf>
    <xf numFmtId="0" fontId="13" fillId="11" borderId="18" xfId="1" applyFont="1" applyFill="1" applyBorder="1" applyAlignment="1">
      <alignment horizontal="left" vertical="center"/>
    </xf>
    <xf numFmtId="0" fontId="13" fillId="0" borderId="119" xfId="1" applyFont="1" applyBorder="1" applyAlignment="1">
      <alignment horizontal="left" vertical="center"/>
    </xf>
    <xf numFmtId="0" fontId="16" fillId="3" borderId="25" xfId="1" applyFont="1" applyFill="1" applyBorder="1" applyAlignment="1">
      <alignment horizontal="left" vertical="center"/>
    </xf>
    <xf numFmtId="0" fontId="13" fillId="11" borderId="98" xfId="1" applyFont="1" applyFill="1" applyBorder="1" applyAlignment="1">
      <alignment horizontal="left" vertical="center"/>
    </xf>
    <xf numFmtId="0" fontId="13" fillId="11" borderId="26" xfId="1" applyFont="1" applyFill="1" applyBorder="1" applyAlignment="1">
      <alignment horizontal="left" vertical="center"/>
    </xf>
    <xf numFmtId="0" fontId="16" fillId="3" borderId="98" xfId="1" applyFont="1" applyFill="1" applyBorder="1" applyAlignment="1">
      <alignment horizontal="left" vertical="center"/>
    </xf>
    <xf numFmtId="0" fontId="7" fillId="0" borderId="26" xfId="1" applyBorder="1" applyAlignment="1">
      <alignment horizontal="left" vertical="center"/>
    </xf>
    <xf numFmtId="0" fontId="53" fillId="17" borderId="87" xfId="1" applyFont="1" applyFill="1" applyBorder="1" applyAlignment="1">
      <alignment horizontal="center" vertical="center"/>
    </xf>
    <xf numFmtId="0" fontId="53" fillId="17" borderId="88" xfId="1" applyFont="1" applyFill="1" applyBorder="1" applyAlignment="1">
      <alignment horizontal="center" vertical="center"/>
    </xf>
    <xf numFmtId="0" fontId="54" fillId="17" borderId="88" xfId="1" applyFont="1" applyFill="1" applyBorder="1" applyAlignment="1">
      <alignment horizontal="center" vertical="center"/>
    </xf>
    <xf numFmtId="0" fontId="54" fillId="17" borderId="91" xfId="1" applyFont="1" applyFill="1" applyBorder="1" applyAlignment="1">
      <alignment horizontal="center" vertical="center"/>
    </xf>
    <xf numFmtId="0" fontId="13" fillId="0" borderId="19" xfId="1" applyFont="1" applyBorder="1"/>
    <xf numFmtId="0" fontId="13" fillId="0" borderId="20" xfId="1" applyFont="1" applyBorder="1"/>
    <xf numFmtId="0" fontId="13" fillId="0" borderId="19" xfId="1" applyFont="1" applyBorder="1" applyAlignment="1">
      <alignment horizontal="center" vertical="center"/>
    </xf>
    <xf numFmtId="0" fontId="13" fillId="0" borderId="19" xfId="1" applyFont="1" applyBorder="1" applyAlignment="1">
      <alignment horizontal="center"/>
    </xf>
    <xf numFmtId="0" fontId="13" fillId="0" borderId="119" xfId="1" applyFont="1" applyBorder="1" applyAlignment="1">
      <alignment horizontal="center"/>
    </xf>
    <xf numFmtId="0" fontId="13" fillId="11" borderId="19" xfId="1" applyFont="1" applyFill="1" applyBorder="1" applyAlignment="1">
      <alignment vertical="center"/>
    </xf>
    <xf numFmtId="0" fontId="13" fillId="11" borderId="20" xfId="1" applyFont="1" applyFill="1" applyBorder="1" applyAlignment="1">
      <alignment vertical="center"/>
    </xf>
    <xf numFmtId="6" fontId="13" fillId="11" borderId="18" xfId="1" applyNumberFormat="1" applyFont="1" applyFill="1" applyBorder="1" applyAlignment="1">
      <alignment horizontal="left" vertical="center"/>
    </xf>
    <xf numFmtId="0" fontId="7" fillId="0" borderId="119" xfId="1" applyBorder="1"/>
    <xf numFmtId="0" fontId="5" fillId="0" borderId="0" xfId="0" applyFont="1" applyAlignment="1" applyProtection="1">
      <alignment horizontal="left" vertical="center"/>
      <protection locked="0"/>
    </xf>
    <xf numFmtId="0" fontId="0" fillId="0" borderId="0" xfId="0" applyProtection="1">
      <protection locked="0"/>
    </xf>
    <xf numFmtId="9" fontId="3" fillId="0" borderId="0" xfId="0" applyNumberFormat="1" applyFont="1" applyAlignment="1" applyProtection="1">
      <alignment horizontal="center" vertical="center"/>
      <protection locked="0"/>
    </xf>
    <xf numFmtId="0" fontId="16" fillId="3" borderId="120" xfId="0" applyFont="1" applyFill="1" applyBorder="1" applyAlignment="1">
      <alignment horizontal="center" vertical="center"/>
    </xf>
    <xf numFmtId="0" fontId="13" fillId="0" borderId="125" xfId="0" applyFont="1" applyBorder="1"/>
    <xf numFmtId="0" fontId="16" fillId="3" borderId="125" xfId="0" applyFont="1" applyFill="1" applyBorder="1" applyAlignment="1">
      <alignment horizontal="center" vertical="center"/>
    </xf>
    <xf numFmtId="0" fontId="16" fillId="3" borderId="120" xfId="0" applyFont="1" applyFill="1" applyBorder="1" applyAlignment="1">
      <alignment horizontal="center" vertical="center" wrapText="1"/>
    </xf>
    <xf numFmtId="0" fontId="13" fillId="0" borderId="125" xfId="0" applyFont="1" applyBorder="1" applyAlignment="1">
      <alignment horizontal="center" vertical="center"/>
    </xf>
    <xf numFmtId="0" fontId="16" fillId="3" borderId="121" xfId="0" applyFont="1" applyFill="1" applyBorder="1" applyAlignment="1">
      <alignment horizontal="center" vertical="center" wrapText="1"/>
    </xf>
    <xf numFmtId="0" fontId="13" fillId="0" borderId="122" xfId="0" applyFont="1" applyBorder="1" applyAlignment="1">
      <alignment horizontal="center" vertical="center" wrapText="1"/>
    </xf>
    <xf numFmtId="0" fontId="13" fillId="0" borderId="123" xfId="0" applyFont="1" applyBorder="1" applyAlignment="1">
      <alignment horizontal="center" vertical="center" wrapText="1"/>
    </xf>
    <xf numFmtId="0" fontId="16" fillId="3" borderId="92" xfId="0" applyFont="1" applyFill="1" applyBorder="1" applyAlignment="1">
      <alignment vertical="center"/>
    </xf>
    <xf numFmtId="0" fontId="13" fillId="0" borderId="20" xfId="0" applyFont="1" applyBorder="1" applyAlignment="1">
      <alignment vertical="center"/>
    </xf>
    <xf numFmtId="169" fontId="13" fillId="6" borderId="18" xfId="0" applyNumberFormat="1" applyFont="1" applyFill="1" applyBorder="1" applyAlignment="1">
      <alignment horizontal="left" vertical="center"/>
    </xf>
    <xf numFmtId="169" fontId="13" fillId="6" borderId="19" xfId="0" applyNumberFormat="1" applyFont="1" applyFill="1" applyBorder="1" applyAlignment="1">
      <alignment horizontal="left" vertical="center"/>
    </xf>
    <xf numFmtId="0" fontId="0" fillId="0" borderId="19" xfId="0" applyBorder="1"/>
    <xf numFmtId="0" fontId="0" fillId="0" borderId="20" xfId="0" applyBorder="1"/>
    <xf numFmtId="0" fontId="16" fillId="3" borderId="18" xfId="0" applyFont="1" applyFill="1" applyBorder="1" applyAlignment="1">
      <alignment horizontal="left" vertical="center"/>
    </xf>
    <xf numFmtId="0" fontId="13" fillId="0" borderId="20" xfId="0" applyFont="1" applyBorder="1" applyAlignment="1">
      <alignment horizontal="left" vertical="center"/>
    </xf>
    <xf numFmtId="0" fontId="13" fillId="6" borderId="18" xfId="0" applyFont="1" applyFill="1" applyBorder="1" applyAlignment="1">
      <alignment horizontal="left" vertical="center"/>
    </xf>
    <xf numFmtId="0" fontId="0" fillId="0" borderId="19" xfId="0" applyBorder="1" applyAlignment="1">
      <alignment horizontal="left" vertical="center"/>
    </xf>
    <xf numFmtId="0" fontId="0" fillId="0" borderId="119" xfId="0" applyBorder="1" applyAlignment="1">
      <alignment horizontal="left" vertical="center"/>
    </xf>
    <xf numFmtId="0" fontId="16" fillId="3" borderId="25" xfId="0" applyFont="1" applyFill="1" applyBorder="1" applyAlignment="1">
      <alignment horizontal="left" vertical="center"/>
    </xf>
    <xf numFmtId="0" fontId="13" fillId="0" borderId="26" xfId="0" applyFont="1" applyBorder="1" applyAlignment="1">
      <alignment horizontal="left" vertical="center"/>
    </xf>
    <xf numFmtId="0" fontId="13" fillId="6" borderId="98" xfId="0" applyFont="1" applyFill="1" applyBorder="1" applyAlignment="1">
      <alignment horizontal="left" vertical="center"/>
    </xf>
    <xf numFmtId="0" fontId="13" fillId="6" borderId="97" xfId="0" applyFont="1" applyFill="1" applyBorder="1" applyAlignment="1">
      <alignment horizontal="left" vertical="center"/>
    </xf>
    <xf numFmtId="0" fontId="0" fillId="0" borderId="97" xfId="0" applyBorder="1"/>
    <xf numFmtId="0" fontId="0" fillId="0" borderId="26" xfId="0" applyBorder="1"/>
    <xf numFmtId="0" fontId="16" fillId="3" borderId="98" xfId="0" applyFont="1" applyFill="1" applyBorder="1" applyAlignment="1">
      <alignment horizontal="left" vertical="center"/>
    </xf>
    <xf numFmtId="0" fontId="0" fillId="0" borderId="97" xfId="0" applyBorder="1" applyAlignment="1">
      <alignment horizontal="left" vertical="center"/>
    </xf>
    <xf numFmtId="0" fontId="0" fillId="0" borderId="99" xfId="0" applyBorder="1" applyAlignment="1">
      <alignment horizontal="left" vertical="center"/>
    </xf>
    <xf numFmtId="0" fontId="53" fillId="17" borderId="87" xfId="0" applyFont="1" applyFill="1" applyBorder="1" applyAlignment="1">
      <alignment horizontal="center" vertical="center"/>
    </xf>
    <xf numFmtId="0" fontId="53" fillId="17" borderId="88" xfId="0" applyFont="1" applyFill="1" applyBorder="1" applyAlignment="1">
      <alignment horizontal="center" vertical="center"/>
    </xf>
    <xf numFmtId="0" fontId="54" fillId="17" borderId="88" xfId="0" applyFont="1" applyFill="1" applyBorder="1" applyAlignment="1">
      <alignment horizontal="center" vertical="center"/>
    </xf>
    <xf numFmtId="0" fontId="54" fillId="17" borderId="91" xfId="0" applyFont="1" applyFill="1" applyBorder="1" applyAlignment="1">
      <alignment horizontal="center" vertical="center"/>
    </xf>
    <xf numFmtId="0" fontId="13" fillId="6" borderId="19" xfId="0" applyFont="1" applyFill="1" applyBorder="1" applyAlignment="1">
      <alignment horizontal="left" vertical="center"/>
    </xf>
    <xf numFmtId="0" fontId="13" fillId="0" borderId="18" xfId="0" applyFont="1" applyBorder="1" applyAlignment="1">
      <alignment horizontal="center" vertical="center"/>
    </xf>
    <xf numFmtId="0" fontId="0" fillId="0" borderId="19" xfId="0" applyBorder="1" applyAlignment="1">
      <alignment horizontal="center" vertical="center"/>
    </xf>
    <xf numFmtId="0" fontId="0" fillId="0" borderId="119" xfId="0" applyBorder="1" applyAlignment="1">
      <alignment horizontal="center" vertical="center"/>
    </xf>
    <xf numFmtId="6" fontId="13" fillId="6" borderId="18" xfId="0" applyNumberFormat="1" applyFont="1" applyFill="1" applyBorder="1" applyAlignment="1">
      <alignment horizontal="left" vertical="center"/>
    </xf>
    <xf numFmtId="0" fontId="7" fillId="0" borderId="47" xfId="1" applyBorder="1" applyAlignment="1" applyProtection="1">
      <alignment horizontal="center" vertical="center"/>
      <protection locked="0"/>
    </xf>
    <xf numFmtId="0" fontId="7" fillId="0" borderId="48" xfId="1" applyBorder="1" applyAlignment="1" applyProtection="1">
      <alignment horizontal="center" vertical="center"/>
      <protection locked="0"/>
    </xf>
    <xf numFmtId="0" fontId="36" fillId="3" borderId="2" xfId="1" applyFont="1" applyFill="1" applyBorder="1" applyAlignment="1">
      <alignment horizontal="center" vertical="center" wrapText="1"/>
    </xf>
    <xf numFmtId="0" fontId="36" fillId="0" borderId="0" xfId="1" applyFont="1" applyAlignment="1">
      <alignment horizontal="center" vertical="center" wrapText="1"/>
    </xf>
    <xf numFmtId="0" fontId="36" fillId="0" borderId="10" xfId="1" applyFont="1" applyBorder="1" applyAlignment="1">
      <alignment horizontal="center" vertical="center" wrapText="1"/>
    </xf>
    <xf numFmtId="0" fontId="36" fillId="3" borderId="121" xfId="1" applyFont="1" applyFill="1" applyBorder="1" applyAlignment="1">
      <alignment horizontal="center" vertical="center" wrapText="1"/>
    </xf>
    <xf numFmtId="0" fontId="36" fillId="3" borderId="122" xfId="1" applyFont="1" applyFill="1" applyBorder="1" applyAlignment="1">
      <alignment horizontal="center" vertical="center" wrapText="1"/>
    </xf>
    <xf numFmtId="0" fontId="36" fillId="3" borderId="123" xfId="1" applyFont="1" applyFill="1" applyBorder="1" applyAlignment="1">
      <alignment horizontal="center" vertical="center" wrapText="1"/>
    </xf>
    <xf numFmtId="0" fontId="36" fillId="3" borderId="120" xfId="1" applyFont="1" applyFill="1" applyBorder="1" applyAlignment="1">
      <alignment horizontal="center" vertical="center" wrapText="1"/>
    </xf>
    <xf numFmtId="0" fontId="36" fillId="0" borderId="124" xfId="1" applyFont="1" applyBorder="1" applyAlignment="1">
      <alignment horizontal="center" vertical="center" wrapText="1"/>
    </xf>
    <xf numFmtId="0" fontId="36" fillId="0" borderId="125" xfId="1" applyFont="1" applyBorder="1" applyAlignment="1">
      <alignment horizontal="center" vertical="center" wrapText="1"/>
    </xf>
    <xf numFmtId="0" fontId="36" fillId="3" borderId="4" xfId="1" applyFont="1" applyFill="1" applyBorder="1" applyAlignment="1">
      <alignment horizontal="center" vertical="center" wrapText="1"/>
    </xf>
    <xf numFmtId="0" fontId="36" fillId="0" borderId="7" xfId="1" applyFont="1" applyBorder="1" applyAlignment="1">
      <alignment horizontal="center" vertical="center" wrapText="1"/>
    </xf>
    <xf numFmtId="0" fontId="36" fillId="0" borderId="12" xfId="1" applyFont="1" applyBorder="1" applyAlignment="1">
      <alignment horizontal="center" vertical="center" wrapText="1"/>
    </xf>
    <xf numFmtId="0" fontId="16" fillId="3" borderId="121" xfId="1" applyFont="1" applyFill="1" applyBorder="1" applyAlignment="1">
      <alignment horizontal="center" vertical="center" wrapText="1"/>
    </xf>
    <xf numFmtId="0" fontId="16" fillId="3" borderId="123" xfId="1" applyFont="1" applyFill="1" applyBorder="1" applyAlignment="1">
      <alignment horizontal="center" vertical="center" wrapText="1"/>
    </xf>
    <xf numFmtId="0" fontId="16" fillId="0" borderId="122" xfId="1" applyFont="1" applyBorder="1" applyAlignment="1">
      <alignment horizontal="center" vertical="center" wrapText="1"/>
    </xf>
    <xf numFmtId="0" fontId="16" fillId="0" borderId="123" xfId="1" applyFont="1" applyBorder="1" applyAlignment="1">
      <alignment horizontal="center" vertical="center" wrapText="1"/>
    </xf>
    <xf numFmtId="0" fontId="16" fillId="2" borderId="122" xfId="1" applyFont="1" applyFill="1" applyBorder="1" applyAlignment="1" applyProtection="1">
      <alignment horizontal="left" vertical="center"/>
      <protection locked="0"/>
    </xf>
    <xf numFmtId="0" fontId="16" fillId="0" borderId="124" xfId="1" applyFont="1" applyBorder="1"/>
    <xf numFmtId="0" fontId="16" fillId="0" borderId="125" xfId="1" applyFont="1" applyBorder="1"/>
    <xf numFmtId="0" fontId="16" fillId="0" borderId="124" xfId="1" applyFont="1" applyBorder="1" applyAlignment="1">
      <alignment wrapText="1"/>
    </xf>
    <xf numFmtId="0" fontId="16" fillId="0" borderId="125" xfId="1" applyFont="1" applyBorder="1" applyAlignment="1">
      <alignment wrapText="1"/>
    </xf>
    <xf numFmtId="0" fontId="16" fillId="3" borderId="125" xfId="1" applyFont="1" applyFill="1" applyBorder="1" applyAlignment="1">
      <alignment horizontal="center" vertical="center" wrapText="1"/>
    </xf>
    <xf numFmtId="0" fontId="16" fillId="0" borderId="124" xfId="1" applyFont="1" applyBorder="1" applyAlignment="1">
      <alignment horizontal="center" vertical="center" wrapText="1"/>
    </xf>
    <xf numFmtId="0" fontId="16" fillId="0" borderId="125" xfId="1" applyFont="1" applyBorder="1" applyAlignment="1">
      <alignment horizontal="center" vertical="center" wrapText="1"/>
    </xf>
    <xf numFmtId="0" fontId="36" fillId="3" borderId="1" xfId="1" applyFont="1" applyFill="1" applyBorder="1" applyAlignment="1">
      <alignment horizontal="center" vertical="center" wrapText="1"/>
    </xf>
    <xf numFmtId="0" fontId="36" fillId="0" borderId="5" xfId="1" applyFont="1" applyBorder="1" applyAlignment="1">
      <alignment horizontal="center" vertical="center" wrapText="1"/>
    </xf>
    <xf numFmtId="0" fontId="36" fillId="0" borderId="9" xfId="1" applyFont="1" applyBorder="1" applyAlignment="1">
      <alignment horizontal="center" vertical="center" wrapText="1"/>
    </xf>
    <xf numFmtId="0" fontId="16" fillId="0" borderId="20" xfId="1" applyFont="1" applyBorder="1" applyAlignment="1">
      <alignment vertical="center"/>
    </xf>
    <xf numFmtId="169" fontId="13" fillId="6" borderId="18" xfId="1" applyNumberFormat="1" applyFont="1" applyFill="1" applyBorder="1" applyAlignment="1">
      <alignment horizontal="left" vertical="center"/>
    </xf>
    <xf numFmtId="0" fontId="13" fillId="0" borderId="19" xfId="1" applyFont="1" applyBorder="1" applyAlignment="1">
      <alignment vertical="center"/>
    </xf>
    <xf numFmtId="0" fontId="7" fillId="0" borderId="19" xfId="1" applyBorder="1" applyAlignment="1">
      <alignment vertical="center"/>
    </xf>
    <xf numFmtId="0" fontId="7" fillId="0" borderId="20" xfId="1" applyBorder="1" applyAlignment="1">
      <alignment vertical="center"/>
    </xf>
    <xf numFmtId="0" fontId="16" fillId="0" borderId="20" xfId="1" applyFont="1" applyBorder="1" applyAlignment="1">
      <alignment horizontal="left" vertical="center"/>
    </xf>
    <xf numFmtId="0" fontId="13" fillId="6" borderId="18" xfId="1" applyFont="1" applyFill="1" applyBorder="1" applyAlignment="1">
      <alignment horizontal="left" vertical="center"/>
    </xf>
    <xf numFmtId="0" fontId="7" fillId="0" borderId="19" xfId="1" applyBorder="1" applyAlignment="1">
      <alignment horizontal="left" vertical="center"/>
    </xf>
    <xf numFmtId="0" fontId="7" fillId="0" borderId="119" xfId="1" applyBorder="1" applyAlignment="1">
      <alignment horizontal="left" vertical="center"/>
    </xf>
    <xf numFmtId="0" fontId="16" fillId="0" borderId="26" xfId="1" applyFont="1" applyBorder="1" applyAlignment="1">
      <alignment horizontal="left" vertical="center"/>
    </xf>
    <xf numFmtId="0" fontId="13" fillId="6" borderId="98" xfId="1" applyFont="1" applyFill="1" applyBorder="1" applyAlignment="1">
      <alignment horizontal="left" vertical="center"/>
    </xf>
    <xf numFmtId="0" fontId="7" fillId="0" borderId="97" xfId="1" applyBorder="1" applyAlignment="1">
      <alignment horizontal="left" vertical="center"/>
    </xf>
    <xf numFmtId="0" fontId="7" fillId="0" borderId="99" xfId="1" applyBorder="1" applyAlignment="1">
      <alignment horizontal="left" vertical="center"/>
    </xf>
    <xf numFmtId="0" fontId="43" fillId="17" borderId="88" xfId="1" applyFont="1" applyFill="1" applyBorder="1" applyAlignment="1">
      <alignment horizontal="center" vertical="center"/>
    </xf>
    <xf numFmtId="0" fontId="43" fillId="17" borderId="91" xfId="1" applyFont="1" applyFill="1" applyBorder="1" applyAlignment="1">
      <alignment horizontal="center" vertical="center"/>
    </xf>
    <xf numFmtId="0" fontId="13" fillId="0" borderId="119" xfId="1" applyFont="1" applyBorder="1" applyAlignment="1">
      <alignment horizontal="center" vertical="center"/>
    </xf>
    <xf numFmtId="4" fontId="13" fillId="6" borderId="18" xfId="1" applyNumberFormat="1" applyFont="1" applyFill="1" applyBorder="1" applyAlignment="1">
      <alignment horizontal="left" vertical="center"/>
    </xf>
    <xf numFmtId="4" fontId="7" fillId="0" borderId="19" xfId="1" applyNumberFormat="1" applyBorder="1" applyAlignment="1">
      <alignment horizontal="left" vertical="center"/>
    </xf>
    <xf numFmtId="4" fontId="7" fillId="0" borderId="119" xfId="1" applyNumberFormat="1" applyBorder="1" applyAlignment="1">
      <alignment horizontal="left" vertical="center"/>
    </xf>
    <xf numFmtId="165" fontId="13" fillId="6" borderId="18" xfId="1" applyNumberFormat="1" applyFont="1" applyFill="1" applyBorder="1" applyAlignment="1">
      <alignment horizontal="left" vertical="center"/>
    </xf>
    <xf numFmtId="165" fontId="7" fillId="0" borderId="19" xfId="1" applyNumberFormat="1" applyBorder="1" applyAlignment="1">
      <alignment horizontal="left" vertical="center"/>
    </xf>
    <xf numFmtId="165" fontId="7" fillId="0" borderId="119" xfId="1" applyNumberFormat="1" applyBorder="1" applyAlignment="1">
      <alignment horizontal="left" vertical="center"/>
    </xf>
  </cellXfs>
  <cellStyles count="6">
    <cellStyle name="Comma 2" xfId="5" xr:uid="{C48BCA78-15E8-4CFA-80D0-BC5DBB3A6AA7}"/>
    <cellStyle name="Normal" xfId="0" builtinId="0"/>
    <cellStyle name="Normal 2" xfId="1" xr:uid="{6E90F2D5-7C31-4A1B-BE58-D3EBA2B03879}"/>
    <cellStyle name="Normal_A4" xfId="3" xr:uid="{91046743-4726-4DDB-AF04-31D75533F830}"/>
    <cellStyle name="Normal_ReportAddTables" xfId="4" xr:uid="{E118D727-13C0-45F6-83CB-1C92BE143471}"/>
    <cellStyle name="Normal_Sheet1" xfId="2" xr:uid="{30EFC540-E689-4F0F-964B-69BB607C4526}"/>
  </cellStyles>
  <dxfs count="19">
    <dxf>
      <fill>
        <patternFill patternType="solid">
          <bgColor indexed="23"/>
        </patternFill>
      </fill>
    </dxf>
    <dxf>
      <fill>
        <patternFill>
          <bgColor indexed="10"/>
        </patternFill>
      </fill>
    </dxf>
    <dxf>
      <fill>
        <patternFill>
          <bgColor indexed="10"/>
        </patternFill>
      </fill>
    </dxf>
    <dxf>
      <fill>
        <patternFill>
          <bgColor indexed="10"/>
        </patternFill>
      </fill>
    </dxf>
    <dxf>
      <fill>
        <patternFill>
          <bgColor indexed="13"/>
        </patternFill>
      </fill>
    </dxf>
    <dxf>
      <fill>
        <patternFill>
          <bgColor indexed="10"/>
        </patternFill>
      </fill>
    </dxf>
    <dxf>
      <fill>
        <patternFill>
          <bgColor indexed="13"/>
        </patternFill>
      </fill>
    </dxf>
    <dxf>
      <font>
        <condense val="0"/>
        <extend val="0"/>
        <color auto="1"/>
      </font>
      <fill>
        <patternFill>
          <bgColor indexed="10"/>
        </patternFill>
      </fill>
    </dxf>
    <dxf>
      <fill>
        <patternFill>
          <bgColor indexed="23"/>
        </patternFill>
      </fill>
    </dxf>
    <dxf>
      <fill>
        <patternFill patternType="solid">
          <bgColor indexed="23"/>
        </patternFill>
      </fill>
    </dxf>
    <dxf>
      <fill>
        <patternFill patternType="solid">
          <bgColor indexed="23"/>
        </patternFill>
      </fill>
    </dxf>
    <dxf>
      <fill>
        <patternFill>
          <bgColor indexed="47"/>
        </patternFill>
      </fill>
    </dxf>
    <dxf>
      <fill>
        <patternFill>
          <bgColor indexed="44"/>
        </patternFill>
      </fill>
    </dxf>
    <dxf>
      <fill>
        <patternFill>
          <bgColor indexed="47"/>
        </patternFill>
      </fill>
    </dxf>
    <dxf>
      <fill>
        <patternFill>
          <bgColor indexed="44"/>
        </patternFill>
      </fill>
    </dxf>
    <dxf>
      <fill>
        <patternFill>
          <bgColor indexed="47"/>
        </patternFill>
      </fill>
    </dxf>
    <dxf>
      <fill>
        <patternFill>
          <bgColor indexed="44"/>
        </patternFill>
      </fill>
    </dxf>
    <dxf>
      <fill>
        <patternFill>
          <bgColor indexed="47"/>
        </patternFill>
      </fill>
    </dxf>
    <dxf>
      <fill>
        <patternFill>
          <bgColor indexed="44"/>
        </patternFill>
      </fill>
    </dxf>
  </dxfs>
  <tableStyles count="0" defaultTableStyle="TableStyleMedium2" defaultPivotStyle="PivotStyleLight16"/>
  <colors>
    <mruColors>
      <color rgb="FFCCFFCC"/>
      <color rgb="FFFFFF99"/>
      <color rgb="FFFFFF66"/>
      <color rgb="FFCCFFFF"/>
      <color rgb="FF66FF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1.xml"/><Relationship Id="rId10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alcChain" Target="calcChain.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'Data Sheet'!$S$9:$S$10</c:f>
              <c:strCache>
                <c:ptCount val="2"/>
                <c:pt idx="0">
                  <c:v>Target</c:v>
                </c:pt>
                <c:pt idx="1">
                  <c:v>Actual</c:v>
                </c:pt>
              </c:strCache>
            </c:strRef>
          </c:cat>
          <c:val>
            <c:numRef>
              <c:f>'Data Sheet'!$T$9:$T$10</c:f>
              <c:numCache>
                <c:formatCode>0.00</c:formatCode>
                <c:ptCount val="2"/>
                <c:pt idx="0">
                  <c:v>85</c:v>
                </c:pt>
                <c:pt idx="1">
                  <c:v>0</c:v>
                </c:pt>
              </c:numCache>
            </c:numRef>
          </c:val>
          <c:extLst>
            <c:ext xmlns:c16="http://schemas.microsoft.com/office/drawing/2014/chart" uri="{C3380CC4-5D6E-409C-BE32-E72D297353CC}">
              <c16:uniqueId val="{00000000-C80D-4BE1-A4A6-F35A819862EA}"/>
            </c:ext>
          </c:extLst>
        </c:ser>
        <c:dLbls>
          <c:showLegendKey val="0"/>
          <c:showVal val="0"/>
          <c:showCatName val="0"/>
          <c:showSerName val="0"/>
          <c:showPercent val="0"/>
          <c:showBubbleSize val="0"/>
        </c:dLbls>
        <c:gapWidth val="150"/>
        <c:axId val="1090756896"/>
        <c:axId val="1090737216"/>
      </c:barChart>
      <c:catAx>
        <c:axId val="1090756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737216"/>
        <c:crosses val="autoZero"/>
        <c:auto val="1"/>
        <c:lblAlgn val="ctr"/>
        <c:lblOffset val="100"/>
        <c:noMultiLvlLbl val="0"/>
      </c:catAx>
      <c:valAx>
        <c:axId val="1090737216"/>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756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'Data Sheet'!$S$13:$S$14</c:f>
              <c:strCache>
                <c:ptCount val="2"/>
                <c:pt idx="0">
                  <c:v>Target</c:v>
                </c:pt>
                <c:pt idx="1">
                  <c:v>Actual</c:v>
                </c:pt>
              </c:strCache>
            </c:strRef>
          </c:cat>
          <c:val>
            <c:numRef>
              <c:f>'Data Sheet'!$T$13:$T$14</c:f>
              <c:numCache>
                <c:formatCode>0.00</c:formatCode>
                <c:ptCount val="2"/>
                <c:pt idx="0">
                  <c:v>90</c:v>
                </c:pt>
                <c:pt idx="1">
                  <c:v>0</c:v>
                </c:pt>
              </c:numCache>
            </c:numRef>
          </c:val>
          <c:extLst>
            <c:ext xmlns:c16="http://schemas.microsoft.com/office/drawing/2014/chart" uri="{C3380CC4-5D6E-409C-BE32-E72D297353CC}">
              <c16:uniqueId val="{00000000-02A7-4114-A16C-5606826D7A11}"/>
            </c:ext>
          </c:extLst>
        </c:ser>
        <c:dLbls>
          <c:showLegendKey val="0"/>
          <c:showVal val="0"/>
          <c:showCatName val="0"/>
          <c:showSerName val="0"/>
          <c:showPercent val="0"/>
          <c:showBubbleSize val="0"/>
        </c:dLbls>
        <c:gapWidth val="150"/>
        <c:axId val="1090756896"/>
        <c:axId val="1090737216"/>
      </c:barChart>
      <c:catAx>
        <c:axId val="1090756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737216"/>
        <c:crosses val="autoZero"/>
        <c:auto val="1"/>
        <c:lblAlgn val="ctr"/>
        <c:lblOffset val="100"/>
        <c:noMultiLvlLbl val="0"/>
      </c:catAx>
      <c:valAx>
        <c:axId val="1090737216"/>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756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779249949525539"/>
          <c:y val="8.3107474096131534E-2"/>
          <c:w val="0.37479961639410458"/>
          <c:h val="0.8450764014036941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2FD-4E96-AF50-5BE674ABABE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F51-4DA2-88CE-A49E1C72F54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F51-4DA2-88CE-A49E1C72F54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F51-4DA2-88CE-A49E1C72F5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F51-4DA2-88CE-A49E1C72F5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F51-4DA2-88CE-A49E1C72F5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F51-4DA2-88CE-A49E1C72F54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 Sheet'!$S$17:$S$23</c:f>
              <c:strCache>
                <c:ptCount val="7"/>
                <c:pt idx="0">
                  <c:v>Soil &amp; stones</c:v>
                </c:pt>
                <c:pt idx="1">
                  <c:v>Concrete, Bricks Tiles</c:v>
                </c:pt>
                <c:pt idx="2">
                  <c:v>Plasterboard</c:v>
                </c:pt>
                <c:pt idx="3">
                  <c:v>Metals</c:v>
                </c:pt>
                <c:pt idx="4">
                  <c:v>Wood</c:v>
                </c:pt>
                <c:pt idx="5">
                  <c:v>Dry Mixed Recyclables - DMR</c:v>
                </c:pt>
                <c:pt idx="6">
                  <c:v>Mixed C&amp;D</c:v>
                </c:pt>
              </c:strCache>
            </c:strRef>
          </c:cat>
          <c:val>
            <c:numRef>
              <c:f>'Data Sheet'!$T$17:$T$23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2FD-4E96-AF50-5BE674ABABEE}"/>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67078651827175451"/>
          <c:y val="0.29223103024247127"/>
          <c:w val="0.32654508611955413"/>
          <c:h val="0.43676633683536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474136</xdr:colOff>
      <xdr:row>10</xdr:row>
      <xdr:rowOff>141818</xdr:rowOff>
    </xdr:from>
    <xdr:to>
      <xdr:col>14</xdr:col>
      <xdr:colOff>221043</xdr:colOff>
      <xdr:row>42</xdr:row>
      <xdr:rowOff>152704</xdr:rowOff>
    </xdr:to>
    <xdr:grpSp>
      <xdr:nvGrpSpPr>
        <xdr:cNvPr id="2" name="Group 1">
          <a:extLst>
            <a:ext uri="{FF2B5EF4-FFF2-40B4-BE49-F238E27FC236}">
              <a16:creationId xmlns:a16="http://schemas.microsoft.com/office/drawing/2014/main" id="{BEEA6731-65FA-44EA-972B-3749BACEE1AF}"/>
            </a:ext>
          </a:extLst>
        </xdr:cNvPr>
        <xdr:cNvGrpSpPr/>
      </xdr:nvGrpSpPr>
      <xdr:grpSpPr>
        <a:xfrm>
          <a:off x="588436" y="2001098"/>
          <a:ext cx="7885067" cy="10259786"/>
          <a:chOff x="-1" y="0"/>
          <a:chExt cx="6591301" cy="7716078"/>
        </a:xfrm>
      </xdr:grpSpPr>
      <xdr:sp macro="" textlink="">
        <xdr:nvSpPr>
          <xdr:cNvPr id="3" name="Rectangle 2">
            <a:extLst>
              <a:ext uri="{FF2B5EF4-FFF2-40B4-BE49-F238E27FC236}">
                <a16:creationId xmlns:a16="http://schemas.microsoft.com/office/drawing/2014/main" id="{49DF361E-6754-665B-02AE-25FA8B933DA6}"/>
              </a:ext>
            </a:extLst>
          </xdr:cNvPr>
          <xdr:cNvSpPr/>
        </xdr:nvSpPr>
        <xdr:spPr>
          <a:xfrm>
            <a:off x="-1" y="0"/>
            <a:ext cx="5800725" cy="4876800"/>
          </a:xfrm>
          <a:prstGeom prst="rect">
            <a:avLst/>
          </a:prstGeom>
          <a:solidFill>
            <a:srgbClr val="E732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4" name="Rectangle 3">
            <a:extLst>
              <a:ext uri="{FF2B5EF4-FFF2-40B4-BE49-F238E27FC236}">
                <a16:creationId xmlns:a16="http://schemas.microsoft.com/office/drawing/2014/main" id="{761685A8-49CF-CDA6-D41F-2F95036FDC35}"/>
              </a:ext>
            </a:extLst>
          </xdr:cNvPr>
          <xdr:cNvSpPr/>
        </xdr:nvSpPr>
        <xdr:spPr>
          <a:xfrm>
            <a:off x="800100" y="2057400"/>
            <a:ext cx="5791200" cy="5658678"/>
          </a:xfrm>
          <a:prstGeom prst="rect">
            <a:avLst/>
          </a:prstGeom>
          <a:solidFill>
            <a:srgbClr val="F2F3F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5" name="Rectangle 4">
            <a:extLst>
              <a:ext uri="{FF2B5EF4-FFF2-40B4-BE49-F238E27FC236}">
                <a16:creationId xmlns:a16="http://schemas.microsoft.com/office/drawing/2014/main" id="{F52D269A-0F16-D49D-7E47-CA0AD86135A5}"/>
              </a:ext>
            </a:extLst>
          </xdr:cNvPr>
          <xdr:cNvSpPr/>
        </xdr:nvSpPr>
        <xdr:spPr>
          <a:xfrm>
            <a:off x="819149" y="2057400"/>
            <a:ext cx="4981574" cy="283643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twoCellAnchor>
    <xdr:from>
      <xdr:col>3</xdr:col>
      <xdr:colOff>11906</xdr:colOff>
      <xdr:row>12</xdr:row>
      <xdr:rowOff>105833</xdr:rowOff>
    </xdr:from>
    <xdr:to>
      <xdr:col>11</xdr:col>
      <xdr:colOff>392906</xdr:colOff>
      <xdr:row>20</xdr:row>
      <xdr:rowOff>63833</xdr:rowOff>
    </xdr:to>
    <xdr:sp macro="" textlink="">
      <xdr:nvSpPr>
        <xdr:cNvPr id="6" name="Text Box 21">
          <a:extLst>
            <a:ext uri="{FF2B5EF4-FFF2-40B4-BE49-F238E27FC236}">
              <a16:creationId xmlns:a16="http://schemas.microsoft.com/office/drawing/2014/main" id="{027A3D39-5B35-4666-86B4-8FB6A9F13D3D}"/>
            </a:ext>
          </a:extLst>
        </xdr:cNvPr>
        <xdr:cNvSpPr txBox="1"/>
      </xdr:nvSpPr>
      <xdr:spPr>
        <a:xfrm>
          <a:off x="1021556" y="2229908"/>
          <a:ext cx="5962650" cy="1853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fontAlgn="ctr">
            <a:lnSpc>
              <a:spcPct val="120000"/>
            </a:lnSpc>
            <a:spcAft>
              <a:spcPts val="0"/>
            </a:spcAft>
          </a:pPr>
          <a:r>
            <a:rPr lang="en-GB" sz="2000">
              <a:effectLst/>
              <a:ea typeface="Calibri" panose="020F0502020204030204" pitchFamily="34" charset="0"/>
              <a:cs typeface="Calibri" panose="020F0502020204030204" pitchFamily="34" charset="0"/>
            </a:rPr>
            <a:t>Site</a:t>
          </a:r>
          <a:r>
            <a:rPr lang="en-GB" sz="2000" baseline="0">
              <a:effectLst/>
              <a:ea typeface="Calibri" panose="020F0502020204030204" pitchFamily="34" charset="0"/>
              <a:cs typeface="Calibri" panose="020F0502020204030204" pitchFamily="34" charset="0"/>
            </a:rPr>
            <a:t> Waste Management Plan </a:t>
          </a:r>
        </a:p>
        <a:p>
          <a:pPr fontAlgn="ctr">
            <a:lnSpc>
              <a:spcPct val="120000"/>
            </a:lnSpc>
            <a:spcAft>
              <a:spcPts val="0"/>
            </a:spcAft>
          </a:pPr>
          <a:endParaRPr lang="en-GB" sz="800" baseline="0">
            <a:effectLst/>
            <a:ea typeface="Calibri" panose="020F0502020204030204" pitchFamily="34" charset="0"/>
            <a:cs typeface="Calibri" panose="020F0502020204030204" pitchFamily="34" charset="0"/>
          </a:endParaRPr>
        </a:p>
        <a:p>
          <a:pPr fontAlgn="ctr">
            <a:lnSpc>
              <a:spcPct val="120000"/>
            </a:lnSpc>
            <a:spcAft>
              <a:spcPts val="0"/>
            </a:spcAft>
          </a:pPr>
          <a:endParaRPr lang="en-GB" sz="800" baseline="0">
            <a:effectLst/>
            <a:ea typeface="Calibri" panose="020F0502020204030204" pitchFamily="34" charset="0"/>
            <a:cs typeface="Calibri" panose="020F0502020204030204" pitchFamily="34" charset="0"/>
          </a:endParaRPr>
        </a:p>
        <a:p>
          <a:pPr fontAlgn="ctr">
            <a:lnSpc>
              <a:spcPct val="120000"/>
            </a:lnSpc>
            <a:spcAft>
              <a:spcPts val="0"/>
            </a:spcAft>
          </a:pPr>
          <a:endParaRPr lang="en-GB" sz="800" baseline="0">
            <a:effectLst/>
            <a:ea typeface="Calibri" panose="020F0502020204030204" pitchFamily="34" charset="0"/>
            <a:cs typeface="Calibri" panose="020F0502020204030204" pitchFamily="34" charset="0"/>
          </a:endParaRPr>
        </a:p>
        <a:p>
          <a:pPr fontAlgn="ctr">
            <a:lnSpc>
              <a:spcPct val="120000"/>
            </a:lnSpc>
            <a:spcAft>
              <a:spcPts val="0"/>
            </a:spcAft>
          </a:pPr>
          <a:endParaRPr lang="en-GB" sz="800" baseline="0">
            <a:effectLst/>
            <a:ea typeface="Calibri" panose="020F0502020204030204" pitchFamily="34" charset="0"/>
            <a:cs typeface="Calibri" panose="020F0502020204030204" pitchFamily="34" charset="0"/>
          </a:endParaRPr>
        </a:p>
        <a:p>
          <a:pPr fontAlgn="ctr">
            <a:lnSpc>
              <a:spcPct val="120000"/>
            </a:lnSpc>
            <a:spcAft>
              <a:spcPts val="0"/>
            </a:spcAft>
          </a:pPr>
          <a:endParaRPr lang="en-GB" sz="800" baseline="0">
            <a:effectLst/>
            <a:ea typeface="Calibri" panose="020F0502020204030204" pitchFamily="34" charset="0"/>
            <a:cs typeface="Calibri" panose="020F0502020204030204" pitchFamily="34" charset="0"/>
          </a:endParaRPr>
        </a:p>
        <a:p>
          <a:pPr fontAlgn="ctr">
            <a:lnSpc>
              <a:spcPct val="120000"/>
            </a:lnSpc>
            <a:spcAft>
              <a:spcPts val="0"/>
            </a:spcAft>
          </a:pPr>
          <a:r>
            <a:rPr lang="en-GB" sz="800" baseline="0">
              <a:effectLst/>
              <a:ea typeface="Calibri" panose="020F0502020204030204" pitchFamily="34" charset="0"/>
              <a:cs typeface="Calibri" panose="020F0502020204030204" pitchFamily="34" charset="0"/>
            </a:rPr>
            <a:t>FM-HSE-W01-01  Issue 10: Rev 01</a:t>
          </a:r>
        </a:p>
        <a:p>
          <a:pPr fontAlgn="ctr">
            <a:lnSpc>
              <a:spcPct val="120000"/>
            </a:lnSpc>
            <a:spcAft>
              <a:spcPts val="0"/>
            </a:spcAft>
          </a:pPr>
          <a:endParaRPr lang="en-GB" sz="2000" baseline="0">
            <a:effectLst/>
            <a:ea typeface="Calibri" panose="020F0502020204030204" pitchFamily="34" charset="0"/>
            <a:cs typeface="Calibri" panose="020F0502020204030204" pitchFamily="34" charset="0"/>
          </a:endParaRPr>
        </a:p>
        <a:p>
          <a:pPr fontAlgn="ctr">
            <a:lnSpc>
              <a:spcPct val="120000"/>
            </a:lnSpc>
            <a:spcAft>
              <a:spcPts val="0"/>
            </a:spcAft>
          </a:pPr>
          <a:br>
            <a:rPr lang="en-GB" sz="2000">
              <a:effectLst/>
              <a:ea typeface="Calibri" panose="020F0502020204030204" pitchFamily="34" charset="0"/>
              <a:cs typeface="Calibri" panose="020F0502020204030204" pitchFamily="34" charset="0"/>
            </a:rPr>
          </a:br>
          <a:endParaRPr lang="en-GB" sz="1100">
            <a:effectLst/>
            <a:ea typeface="Calibri" panose="020F0502020204030204" pitchFamily="34" charset="0"/>
            <a:cs typeface="Times New Roman" panose="02020603050405020304" pitchFamily="18" charset="0"/>
          </a:endParaRPr>
        </a:p>
        <a:p>
          <a:pPr>
            <a:lnSpc>
              <a:spcPct val="107000"/>
            </a:lnSpc>
            <a:spcAft>
              <a:spcPts val="800"/>
            </a:spcAft>
          </a:pPr>
          <a:r>
            <a:rPr lang="en-GB" sz="1100">
              <a:effectLst/>
              <a:ea typeface="Calibri" panose="020F0502020204030204" pitchFamily="34" charset="0"/>
              <a:cs typeface="Times New Roman" panose="02020603050405020304" pitchFamily="18" charset="0"/>
            </a:rPr>
            <a:t> </a:t>
          </a:r>
        </a:p>
      </xdr:txBody>
    </xdr:sp>
    <xdr:clientData/>
  </xdr:twoCellAnchor>
  <xdr:twoCellAnchor editAs="oneCell">
    <xdr:from>
      <xdr:col>11</xdr:col>
      <xdr:colOff>624412</xdr:colOff>
      <xdr:row>1</xdr:row>
      <xdr:rowOff>190500</xdr:rowOff>
    </xdr:from>
    <xdr:to>
      <xdr:col>14</xdr:col>
      <xdr:colOff>465268</xdr:colOff>
      <xdr:row>3</xdr:row>
      <xdr:rowOff>144568</xdr:rowOff>
    </xdr:to>
    <xdr:pic>
      <xdr:nvPicPr>
        <xdr:cNvPr id="7" name="Picture 6">
          <a:extLst>
            <a:ext uri="{FF2B5EF4-FFF2-40B4-BE49-F238E27FC236}">
              <a16:creationId xmlns:a16="http://schemas.microsoft.com/office/drawing/2014/main" id="{B16C0D46-8EB6-4395-9D0D-B14FF6F30F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5712" y="352425"/>
          <a:ext cx="1317231" cy="458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52</xdr:col>
      <xdr:colOff>0</xdr:colOff>
      <xdr:row>167</xdr:row>
      <xdr:rowOff>76200</xdr:rowOff>
    </xdr:from>
    <xdr:to>
      <xdr:col>52</xdr:col>
      <xdr:colOff>76200</xdr:colOff>
      <xdr:row>168</xdr:row>
      <xdr:rowOff>0</xdr:rowOff>
    </xdr:to>
    <xdr:sp macro="" textlink="">
      <xdr:nvSpPr>
        <xdr:cNvPr id="2" name="OptionButton1" hidden="1">
          <a:extLst>
            <a:ext uri="{63B3BB69-23CF-44E3-9099-C40C66FF867C}">
              <a14:compatExt xmlns:a14="http://schemas.microsoft.com/office/drawing/2010/main" spid="_x0000_s8193"/>
            </a:ext>
            <a:ext uri="{FF2B5EF4-FFF2-40B4-BE49-F238E27FC236}">
              <a16:creationId xmlns:a16="http://schemas.microsoft.com/office/drawing/2014/main" id="{11510FC2-4223-4501-B1D0-CEA17649227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52</xdr:col>
      <xdr:colOff>0</xdr:colOff>
      <xdr:row>167</xdr:row>
      <xdr:rowOff>76200</xdr:rowOff>
    </xdr:from>
    <xdr:to>
      <xdr:col>52</xdr:col>
      <xdr:colOff>76200</xdr:colOff>
      <xdr:row>168</xdr:row>
      <xdr:rowOff>0</xdr:rowOff>
    </xdr:to>
    <xdr:pic>
      <xdr:nvPicPr>
        <xdr:cNvPr id="8193" name="OptionButton1">
          <a:extLst>
            <a:ext uri="{FF2B5EF4-FFF2-40B4-BE49-F238E27FC236}">
              <a16:creationId xmlns:a16="http://schemas.microsoft.com/office/drawing/2014/main" id="{E3E738F3-B335-CDAA-4C53-FCCE2A896C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32275" y="46110525"/>
          <a:ext cx="76200" cy="762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58</xdr:col>
      <xdr:colOff>0</xdr:colOff>
      <xdr:row>150</xdr:row>
      <xdr:rowOff>76200</xdr:rowOff>
    </xdr:from>
    <xdr:to>
      <xdr:col>58</xdr:col>
      <xdr:colOff>76200</xdr:colOff>
      <xdr:row>151</xdr:row>
      <xdr:rowOff>0</xdr:rowOff>
    </xdr:to>
    <xdr:sp macro="" textlink="">
      <xdr:nvSpPr>
        <xdr:cNvPr id="2" name="OptionButton1" hidden="1">
          <a:extLst>
            <a:ext uri="{63B3BB69-23CF-44E3-9099-C40C66FF867C}">
              <a14:compatExt xmlns:a14="http://schemas.microsoft.com/office/drawing/2010/main" spid="_x0000_s611329"/>
            </a:ext>
            <a:ext uri="{FF2B5EF4-FFF2-40B4-BE49-F238E27FC236}">
              <a16:creationId xmlns:a16="http://schemas.microsoft.com/office/drawing/2014/main" id="{401B86E8-E243-4B01-8601-B7384EF2925F}"/>
            </a:ext>
          </a:extLst>
        </xdr:cNvPr>
        <xdr:cNvSpPr/>
      </xdr:nvSpPr>
      <xdr:spPr bwMode="auto">
        <a:xfrm>
          <a:off x="52082700" y="40452675"/>
          <a:ext cx="76200" cy="76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58</xdr:col>
      <xdr:colOff>0</xdr:colOff>
      <xdr:row>150</xdr:row>
      <xdr:rowOff>76200</xdr:rowOff>
    </xdr:from>
    <xdr:to>
      <xdr:col>58</xdr:col>
      <xdr:colOff>76200</xdr:colOff>
      <xdr:row>151</xdr:row>
      <xdr:rowOff>0</xdr:rowOff>
    </xdr:to>
    <xdr:pic>
      <xdr:nvPicPr>
        <xdr:cNvPr id="3" name="OptionButton1">
          <a:extLst>
            <a:ext uri="{FF2B5EF4-FFF2-40B4-BE49-F238E27FC236}">
              <a16:creationId xmlns:a16="http://schemas.microsoft.com/office/drawing/2014/main" id="{8552081F-8DA9-4CBB-93A2-05741C5CB0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82700" y="40452675"/>
          <a:ext cx="76200" cy="762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33</xdr:col>
      <xdr:colOff>0</xdr:colOff>
      <xdr:row>6044</xdr:row>
      <xdr:rowOff>76200</xdr:rowOff>
    </xdr:from>
    <xdr:to>
      <xdr:col>33</xdr:col>
      <xdr:colOff>76200</xdr:colOff>
      <xdr:row>6045</xdr:row>
      <xdr:rowOff>0</xdr:rowOff>
    </xdr:to>
    <xdr:sp macro="" textlink="">
      <xdr:nvSpPr>
        <xdr:cNvPr id="2" name="OptionButton1" hidden="1">
          <a:extLst>
            <a:ext uri="{63B3BB69-23CF-44E3-9099-C40C66FF867C}">
              <a14:compatExt xmlns:a14="http://schemas.microsoft.com/office/drawing/2010/main" spid="_x0000_s612353"/>
            </a:ext>
            <a:ext uri="{FF2B5EF4-FFF2-40B4-BE49-F238E27FC236}">
              <a16:creationId xmlns:a16="http://schemas.microsoft.com/office/drawing/2014/main" id="{8D705556-07C8-45A4-BD4C-E5D44511E4DF}"/>
            </a:ext>
          </a:extLst>
        </xdr:cNvPr>
        <xdr:cNvSpPr/>
      </xdr:nvSpPr>
      <xdr:spPr bwMode="auto">
        <a:xfrm>
          <a:off x="33975675" y="1949224575"/>
          <a:ext cx="76200" cy="76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33</xdr:col>
      <xdr:colOff>0</xdr:colOff>
      <xdr:row>6044</xdr:row>
      <xdr:rowOff>76200</xdr:rowOff>
    </xdr:from>
    <xdr:to>
      <xdr:col>33</xdr:col>
      <xdr:colOff>76200</xdr:colOff>
      <xdr:row>6045</xdr:row>
      <xdr:rowOff>0</xdr:rowOff>
    </xdr:to>
    <xdr:pic>
      <xdr:nvPicPr>
        <xdr:cNvPr id="3" name="OptionButton1">
          <a:extLst>
            <a:ext uri="{FF2B5EF4-FFF2-40B4-BE49-F238E27FC236}">
              <a16:creationId xmlns:a16="http://schemas.microsoft.com/office/drawing/2014/main" id="{4C4570D7-4811-4EAA-988C-765E2CF919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975675" y="1949224575"/>
          <a:ext cx="76200" cy="762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2638425</xdr:colOff>
      <xdr:row>42</xdr:row>
      <xdr:rowOff>142875</xdr:rowOff>
    </xdr:from>
    <xdr:ext cx="104775" cy="215900"/>
    <xdr:sp macro="" textlink="">
      <xdr:nvSpPr>
        <xdr:cNvPr id="2" name="Text Box 4">
          <a:extLst>
            <a:ext uri="{FF2B5EF4-FFF2-40B4-BE49-F238E27FC236}">
              <a16:creationId xmlns:a16="http://schemas.microsoft.com/office/drawing/2014/main" id="{EF0CACDF-09F7-457A-9A8B-A660A303BD88}"/>
            </a:ext>
          </a:extLst>
        </xdr:cNvPr>
        <xdr:cNvSpPr txBox="1">
          <a:spLocks noChangeArrowheads="1"/>
        </xdr:cNvSpPr>
      </xdr:nvSpPr>
      <xdr:spPr bwMode="auto">
        <a:xfrm>
          <a:off x="2924175" y="8686800"/>
          <a:ext cx="104775" cy="215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2</xdr:col>
      <xdr:colOff>4238625</xdr:colOff>
      <xdr:row>27</xdr:row>
      <xdr:rowOff>180975</xdr:rowOff>
    </xdr:from>
    <xdr:to>
      <xdr:col>6</xdr:col>
      <xdr:colOff>76200</xdr:colOff>
      <xdr:row>29</xdr:row>
      <xdr:rowOff>66675</xdr:rowOff>
    </xdr:to>
    <xdr:sp macro="" textlink="">
      <xdr:nvSpPr>
        <xdr:cNvPr id="5" name="Text Box 13">
          <a:extLst>
            <a:ext uri="{FF2B5EF4-FFF2-40B4-BE49-F238E27FC236}">
              <a16:creationId xmlns:a16="http://schemas.microsoft.com/office/drawing/2014/main" id="{276657FD-FC26-444C-92F7-996728C5ED0B}"/>
            </a:ext>
          </a:extLst>
        </xdr:cNvPr>
        <xdr:cNvSpPr txBox="1">
          <a:spLocks noChangeArrowheads="1"/>
        </xdr:cNvSpPr>
      </xdr:nvSpPr>
      <xdr:spPr bwMode="auto">
        <a:xfrm>
          <a:off x="4524375" y="6124575"/>
          <a:ext cx="5210175" cy="381000"/>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en-GB" sz="1100" b="1" i="0" u="none" strike="noStrike" baseline="0">
              <a:solidFill>
                <a:srgbClr val="000000"/>
              </a:solidFill>
              <a:latin typeface="Arial"/>
              <a:cs typeface="Arial"/>
            </a:rPr>
            <a:t>Waste diverted from landfill (excluding soils and stones)%</a:t>
          </a:r>
        </a:p>
      </xdr:txBody>
    </xdr:sp>
    <xdr:clientData/>
  </xdr:twoCellAnchor>
  <xdr:twoCellAnchor>
    <xdr:from>
      <xdr:col>2</xdr:col>
      <xdr:colOff>0</xdr:colOff>
      <xdr:row>27</xdr:row>
      <xdr:rowOff>180975</xdr:rowOff>
    </xdr:from>
    <xdr:to>
      <xdr:col>2</xdr:col>
      <xdr:colOff>3971925</xdr:colOff>
      <xdr:row>29</xdr:row>
      <xdr:rowOff>66675</xdr:rowOff>
    </xdr:to>
    <xdr:sp macro="" textlink="">
      <xdr:nvSpPr>
        <xdr:cNvPr id="6" name="Text Box 14">
          <a:extLst>
            <a:ext uri="{FF2B5EF4-FFF2-40B4-BE49-F238E27FC236}">
              <a16:creationId xmlns:a16="http://schemas.microsoft.com/office/drawing/2014/main" id="{BFB1B235-181F-49AD-82FC-D243DA40DC72}"/>
            </a:ext>
          </a:extLst>
        </xdr:cNvPr>
        <xdr:cNvSpPr txBox="1">
          <a:spLocks noChangeArrowheads="1"/>
        </xdr:cNvSpPr>
      </xdr:nvSpPr>
      <xdr:spPr bwMode="auto">
        <a:xfrm>
          <a:off x="285750" y="6124575"/>
          <a:ext cx="3971925" cy="381000"/>
        </a:xfrm>
        <a:prstGeom prst="rect">
          <a:avLst/>
        </a:prstGeom>
        <a:solidFill>
          <a:srgbClr xmlns:mc="http://schemas.openxmlformats.org/markup-compatibility/2006" xmlns:a14="http://schemas.microsoft.com/office/drawing/2010/main" val="CCFFCC" mc:Ignorable="a14" a14:legacySpreadsheetColorIndex="4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en-GB" sz="1100" b="1" i="0" u="none" strike="noStrike" baseline="0">
              <a:solidFill>
                <a:srgbClr val="000000"/>
              </a:solidFill>
              <a:latin typeface="Arial"/>
              <a:cs typeface="Arial"/>
            </a:rPr>
            <a:t>Waste diverted from landfill (including soils and stones)%</a:t>
          </a:r>
        </a:p>
      </xdr:txBody>
    </xdr:sp>
    <xdr:clientData/>
  </xdr:twoCellAnchor>
  <xdr:twoCellAnchor>
    <xdr:from>
      <xdr:col>2</xdr:col>
      <xdr:colOff>6349</xdr:colOff>
      <xdr:row>29</xdr:row>
      <xdr:rowOff>63500</xdr:rowOff>
    </xdr:from>
    <xdr:to>
      <xdr:col>2</xdr:col>
      <xdr:colOff>3987800</xdr:colOff>
      <xdr:row>51</xdr:row>
      <xdr:rowOff>101600</xdr:rowOff>
    </xdr:to>
    <xdr:graphicFrame macro="">
      <xdr:nvGraphicFramePr>
        <xdr:cNvPr id="3" name="Chart 2">
          <a:extLst>
            <a:ext uri="{FF2B5EF4-FFF2-40B4-BE49-F238E27FC236}">
              <a16:creationId xmlns:a16="http://schemas.microsoft.com/office/drawing/2014/main" id="{296683CA-B04C-741D-32A2-2DA6608CBD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4238625</xdr:colOff>
      <xdr:row>29</xdr:row>
      <xdr:rowOff>76200</xdr:rowOff>
    </xdr:from>
    <xdr:to>
      <xdr:col>4</xdr:col>
      <xdr:colOff>1371601</xdr:colOff>
      <xdr:row>51</xdr:row>
      <xdr:rowOff>114300</xdr:rowOff>
    </xdr:to>
    <xdr:graphicFrame macro="">
      <xdr:nvGraphicFramePr>
        <xdr:cNvPr id="4" name="Chart 3">
          <a:extLst>
            <a:ext uri="{FF2B5EF4-FFF2-40B4-BE49-F238E27FC236}">
              <a16:creationId xmlns:a16="http://schemas.microsoft.com/office/drawing/2014/main" id="{CF63C2D9-A35C-4893-B499-E6CD792F0A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19050</xdr:colOff>
      <xdr:row>55</xdr:row>
      <xdr:rowOff>152399</xdr:rowOff>
    </xdr:from>
    <xdr:to>
      <xdr:col>4</xdr:col>
      <xdr:colOff>1371600</xdr:colOff>
      <xdr:row>77</xdr:row>
      <xdr:rowOff>104775</xdr:rowOff>
    </xdr:to>
    <xdr:graphicFrame macro="">
      <xdr:nvGraphicFramePr>
        <xdr:cNvPr id="7" name="Chart 6">
          <a:extLst>
            <a:ext uri="{FF2B5EF4-FFF2-40B4-BE49-F238E27FC236}">
              <a16:creationId xmlns:a16="http://schemas.microsoft.com/office/drawing/2014/main" id="{B5C51925-101E-278E-19FF-183DFF9351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48.xml"/><Relationship Id="rId2" Type="http://schemas.openxmlformats.org/officeDocument/2006/relationships/vmlDrawing" Target="../drawings/vmlDrawing48.v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49.xml"/><Relationship Id="rId2" Type="http://schemas.openxmlformats.org/officeDocument/2006/relationships/vmlDrawing" Target="../drawings/vmlDrawing49.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50.xml"/><Relationship Id="rId2" Type="http://schemas.openxmlformats.org/officeDocument/2006/relationships/vmlDrawing" Target="../drawings/vmlDrawing50.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51.xml"/><Relationship Id="rId2" Type="http://schemas.openxmlformats.org/officeDocument/2006/relationships/vmlDrawing" Target="../drawings/vmlDrawing51.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52.xml"/><Relationship Id="rId2" Type="http://schemas.openxmlformats.org/officeDocument/2006/relationships/vmlDrawing" Target="../drawings/vmlDrawing52.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53.xml"/><Relationship Id="rId2" Type="http://schemas.openxmlformats.org/officeDocument/2006/relationships/vmlDrawing" Target="../drawings/vmlDrawing53.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54.xml"/><Relationship Id="rId2" Type="http://schemas.openxmlformats.org/officeDocument/2006/relationships/vmlDrawing" Target="../drawings/vmlDrawing54.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56.xml"/><Relationship Id="rId2" Type="http://schemas.openxmlformats.org/officeDocument/2006/relationships/vmlDrawing" Target="../drawings/vmlDrawing56.v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57.xml"/><Relationship Id="rId2" Type="http://schemas.openxmlformats.org/officeDocument/2006/relationships/vmlDrawing" Target="../drawings/vmlDrawing57.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58.xml"/><Relationship Id="rId2" Type="http://schemas.openxmlformats.org/officeDocument/2006/relationships/vmlDrawing" Target="../drawings/vmlDrawing58.v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59.xml"/><Relationship Id="rId2" Type="http://schemas.openxmlformats.org/officeDocument/2006/relationships/vmlDrawing" Target="../drawings/vmlDrawing59.v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comments" Target="../comments60.xml"/><Relationship Id="rId2" Type="http://schemas.openxmlformats.org/officeDocument/2006/relationships/vmlDrawing" Target="../drawings/vmlDrawing60.v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comments" Target="../comments61.xml"/><Relationship Id="rId2" Type="http://schemas.openxmlformats.org/officeDocument/2006/relationships/vmlDrawing" Target="../drawings/vmlDrawing61.v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comments" Target="../comments62.xml"/><Relationship Id="rId2" Type="http://schemas.openxmlformats.org/officeDocument/2006/relationships/vmlDrawing" Target="../drawings/vmlDrawing62.v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comments" Target="../comments63.xml"/><Relationship Id="rId2" Type="http://schemas.openxmlformats.org/officeDocument/2006/relationships/vmlDrawing" Target="../drawings/vmlDrawing63.v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64.xml"/><Relationship Id="rId2" Type="http://schemas.openxmlformats.org/officeDocument/2006/relationships/vmlDrawing" Target="../drawings/vmlDrawing64.v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comments" Target="../comments65.xml"/><Relationship Id="rId2" Type="http://schemas.openxmlformats.org/officeDocument/2006/relationships/vmlDrawing" Target="../drawings/vmlDrawing65.v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comments" Target="../comments66.xml"/><Relationship Id="rId2" Type="http://schemas.openxmlformats.org/officeDocument/2006/relationships/vmlDrawing" Target="../drawings/vmlDrawing66.v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comments" Target="../comments67.xml"/><Relationship Id="rId2" Type="http://schemas.openxmlformats.org/officeDocument/2006/relationships/vmlDrawing" Target="../drawings/vmlDrawing67.vml"/><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EFDB-5777-4D8F-A0FD-78A5DC74628E}">
  <sheetPr codeName="Sheet3">
    <tabColor indexed="51"/>
  </sheetPr>
  <dimension ref="A1:P49"/>
  <sheetViews>
    <sheetView showGridLines="0" tabSelected="1" zoomScaleNormal="100" workbookViewId="0">
      <selection activeCell="C9" sqref="C9:L11"/>
    </sheetView>
  </sheetViews>
  <sheetFormatPr defaultColWidth="9.109375" defaultRowHeight="13.2" x14ac:dyDescent="0.25"/>
  <cols>
    <col min="1" max="1" width="1.6640625" style="2" customWidth="1"/>
    <col min="2" max="2" width="10.6640625" style="2" customWidth="1"/>
    <col min="3" max="3" width="2.6640625" style="2" customWidth="1"/>
    <col min="4" max="4" width="8.6640625" style="2" customWidth="1"/>
    <col min="5" max="12" width="10.6640625" style="2" customWidth="1"/>
    <col min="13" max="13" width="8.6640625" style="2" customWidth="1"/>
    <col min="14" max="14" width="2.6640625" style="2" customWidth="1"/>
    <col min="15" max="15" width="10.6640625" style="2" customWidth="1"/>
    <col min="16" max="16" width="1.6640625" style="2" customWidth="1"/>
    <col min="17" max="16384" width="9.109375" style="2"/>
  </cols>
  <sheetData>
    <row r="1" spans="1:16" x14ac:dyDescent="0.25">
      <c r="A1" s="1"/>
      <c r="B1" s="1"/>
      <c r="C1" s="1"/>
      <c r="D1" s="1"/>
      <c r="E1" s="1"/>
      <c r="F1" s="1"/>
      <c r="G1" s="1"/>
      <c r="H1" s="1"/>
      <c r="I1" s="1"/>
      <c r="J1" s="1"/>
      <c r="K1" s="1"/>
      <c r="L1" s="1"/>
      <c r="M1" s="1"/>
      <c r="N1" s="1"/>
      <c r="O1" s="1"/>
      <c r="P1" s="1"/>
    </row>
    <row r="2" spans="1:16" ht="27.6" x14ac:dyDescent="0.45">
      <c r="A2" s="1"/>
      <c r="B2" s="3"/>
      <c r="C2" s="3"/>
      <c r="D2" s="3"/>
      <c r="E2" s="1"/>
      <c r="F2" s="1"/>
      <c r="G2" s="1"/>
      <c r="H2" s="1"/>
      <c r="I2" s="1"/>
      <c r="J2" s="1"/>
      <c r="K2" s="1"/>
      <c r="L2" s="1"/>
      <c r="M2" s="1"/>
      <c r="N2" s="1"/>
      <c r="O2" s="1"/>
      <c r="P2" s="1"/>
    </row>
    <row r="3" spans="1:16" x14ac:dyDescent="0.25">
      <c r="A3" s="1"/>
      <c r="B3" s="1"/>
      <c r="C3" s="1"/>
      <c r="D3" s="1"/>
      <c r="E3" s="1"/>
      <c r="F3" s="1"/>
      <c r="G3" s="1"/>
      <c r="H3" s="1"/>
      <c r="I3" s="1"/>
      <c r="J3" s="1"/>
      <c r="K3" s="1"/>
      <c r="L3" s="1"/>
      <c r="M3" s="1"/>
      <c r="N3" s="1"/>
      <c r="O3" s="1"/>
      <c r="P3" s="1"/>
    </row>
    <row r="4" spans="1:16" x14ac:dyDescent="0.25">
      <c r="A4" s="1"/>
      <c r="B4" s="1"/>
      <c r="C4" s="1"/>
      <c r="D4" s="1"/>
      <c r="E4" s="1"/>
      <c r="F4" s="1"/>
      <c r="G4" s="1"/>
      <c r="H4" s="1"/>
      <c r="I4" s="1"/>
      <c r="J4" s="1"/>
      <c r="K4" s="1"/>
      <c r="L4" s="1"/>
      <c r="M4" s="1"/>
      <c r="N4" s="1"/>
      <c r="O4" s="1"/>
      <c r="P4" s="1"/>
    </row>
    <row r="5" spans="1:16" x14ac:dyDescent="0.25">
      <c r="A5" s="1"/>
      <c r="B5" s="1"/>
      <c r="C5" s="1"/>
      <c r="D5" s="1"/>
      <c r="E5" s="1"/>
      <c r="F5" s="1"/>
      <c r="G5" s="1"/>
      <c r="H5" s="1"/>
      <c r="I5" s="1"/>
      <c r="J5" s="1"/>
      <c r="K5" s="1"/>
      <c r="L5" s="1"/>
      <c r="M5" s="1"/>
      <c r="N5" s="1"/>
      <c r="O5" s="1"/>
      <c r="P5" s="1"/>
    </row>
    <row r="6" spans="1:16" x14ac:dyDescent="0.25">
      <c r="A6" s="1"/>
      <c r="B6" s="1"/>
      <c r="C6" s="1"/>
      <c r="D6" s="1"/>
      <c r="E6" s="1"/>
      <c r="F6" s="1"/>
      <c r="G6" s="1"/>
      <c r="H6" s="1"/>
      <c r="I6" s="1"/>
      <c r="J6" s="1"/>
      <c r="K6" s="1"/>
      <c r="L6" s="1"/>
      <c r="M6" s="1"/>
      <c r="N6" s="1"/>
      <c r="O6" s="1"/>
      <c r="P6" s="1"/>
    </row>
    <row r="7" spans="1:16" x14ac:dyDescent="0.25">
      <c r="A7" s="1"/>
      <c r="B7" s="1"/>
      <c r="C7" s="1"/>
      <c r="D7" s="1"/>
      <c r="E7" s="1"/>
      <c r="F7" s="1"/>
      <c r="G7" s="1"/>
      <c r="H7" s="1"/>
      <c r="I7" s="1"/>
      <c r="J7" s="1"/>
      <c r="K7" s="1"/>
      <c r="L7" s="1"/>
      <c r="M7" s="1"/>
      <c r="N7" s="1"/>
      <c r="O7" s="1"/>
      <c r="P7" s="1"/>
    </row>
    <row r="8" spans="1:16" x14ac:dyDescent="0.25">
      <c r="A8" s="1"/>
      <c r="B8" s="1"/>
      <c r="C8" s="1"/>
      <c r="D8" s="1"/>
      <c r="E8" s="1"/>
      <c r="F8" s="1"/>
      <c r="G8" s="1"/>
      <c r="H8" s="1"/>
      <c r="I8" s="1"/>
      <c r="J8" s="1"/>
      <c r="K8" s="1"/>
      <c r="L8" s="1"/>
      <c r="M8" s="1"/>
      <c r="N8" s="1"/>
      <c r="O8" s="1"/>
      <c r="P8" s="1"/>
    </row>
    <row r="9" spans="1:16" x14ac:dyDescent="0.25">
      <c r="A9" s="1"/>
      <c r="B9" s="1"/>
      <c r="C9" s="684" t="str">
        <f>IF('Project Details'!D10="","",'Project Details'!D10)</f>
        <v>Piccadilly Gardens Redevelopment</v>
      </c>
      <c r="D9" s="684"/>
      <c r="E9" s="684"/>
      <c r="F9" s="684"/>
      <c r="G9" s="684"/>
      <c r="H9" s="684"/>
      <c r="I9" s="684"/>
      <c r="J9" s="684"/>
      <c r="K9" s="684"/>
      <c r="L9" s="684"/>
      <c r="M9" s="1"/>
      <c r="N9" s="1"/>
      <c r="O9" s="1"/>
      <c r="P9" s="1"/>
    </row>
    <row r="10" spans="1:16" x14ac:dyDescent="0.25">
      <c r="A10" s="1"/>
      <c r="B10" s="1"/>
      <c r="C10" s="684"/>
      <c r="D10" s="684"/>
      <c r="E10" s="684"/>
      <c r="F10" s="684"/>
      <c r="G10" s="684"/>
      <c r="H10" s="684"/>
      <c r="I10" s="684"/>
      <c r="J10" s="684"/>
      <c r="K10" s="684"/>
      <c r="L10" s="684"/>
      <c r="M10" s="1"/>
      <c r="N10" s="1"/>
      <c r="O10" s="1"/>
      <c r="P10" s="1"/>
    </row>
    <row r="11" spans="1:16" x14ac:dyDescent="0.25">
      <c r="A11" s="1"/>
      <c r="B11" s="1"/>
      <c r="C11" s="684"/>
      <c r="D11" s="684"/>
      <c r="E11" s="684"/>
      <c r="F11" s="684"/>
      <c r="G11" s="684"/>
      <c r="H11" s="684"/>
      <c r="I11" s="684"/>
      <c r="J11" s="684"/>
      <c r="K11" s="684"/>
      <c r="L11" s="684"/>
      <c r="M11" s="1"/>
      <c r="N11" s="1"/>
      <c r="O11" s="1"/>
      <c r="P11" s="1"/>
    </row>
    <row r="12" spans="1:16" x14ac:dyDescent="0.25">
      <c r="A12" s="1"/>
      <c r="B12" s="1"/>
      <c r="C12" s="1"/>
      <c r="D12" s="1"/>
      <c r="E12" s="1"/>
      <c r="F12" s="1"/>
      <c r="G12" s="1"/>
      <c r="H12" s="1"/>
      <c r="I12" s="1"/>
      <c r="J12" s="1"/>
      <c r="K12" s="1"/>
      <c r="L12" s="1"/>
      <c r="M12" s="1"/>
      <c r="N12" s="1"/>
      <c r="O12" s="1"/>
      <c r="P12" s="1"/>
    </row>
    <row r="13" spans="1:16" ht="45" x14ac:dyDescent="0.75">
      <c r="A13" s="4"/>
      <c r="B13" s="686"/>
      <c r="C13" s="686"/>
      <c r="D13" s="686"/>
      <c r="E13" s="686"/>
      <c r="F13" s="686"/>
      <c r="G13" s="686"/>
      <c r="H13" s="686"/>
      <c r="I13" s="686"/>
      <c r="J13" s="686"/>
      <c r="K13" s="686"/>
      <c r="L13" s="686"/>
      <c r="M13" s="686"/>
      <c r="N13" s="686"/>
      <c r="O13" s="686"/>
      <c r="P13" s="1"/>
    </row>
    <row r="14" spans="1:16" x14ac:dyDescent="0.25">
      <c r="A14" s="1"/>
      <c r="B14" s="1"/>
      <c r="C14" s="1"/>
      <c r="D14" s="1"/>
      <c r="E14" s="1"/>
      <c r="F14" s="1"/>
      <c r="G14" s="1"/>
      <c r="H14" s="1"/>
      <c r="I14" s="1"/>
      <c r="J14" s="1"/>
      <c r="K14" s="1"/>
      <c r="L14" s="1"/>
      <c r="M14" s="1"/>
      <c r="N14" s="1"/>
      <c r="O14" s="1"/>
      <c r="P14" s="1"/>
    </row>
    <row r="15" spans="1:16" x14ac:dyDescent="0.25">
      <c r="A15" s="1"/>
      <c r="B15" s="1"/>
      <c r="C15" s="1"/>
      <c r="D15" s="1"/>
      <c r="E15" s="1"/>
      <c r="F15" s="1"/>
      <c r="G15" s="1"/>
      <c r="H15" s="1"/>
      <c r="I15" s="1"/>
      <c r="J15" s="1"/>
      <c r="K15" s="1"/>
      <c r="L15" s="1"/>
      <c r="M15" s="1"/>
      <c r="N15" s="1"/>
      <c r="O15" s="1"/>
      <c r="P15" s="1"/>
    </row>
    <row r="16" spans="1:16" x14ac:dyDescent="0.25">
      <c r="A16" s="1"/>
      <c r="B16" s="1"/>
      <c r="C16" s="1"/>
      <c r="D16" s="1"/>
      <c r="E16" s="1"/>
      <c r="F16" s="1"/>
      <c r="G16" s="1"/>
      <c r="H16" s="1"/>
      <c r="I16" s="1"/>
      <c r="J16" s="1"/>
      <c r="K16" s="1"/>
      <c r="L16" s="1"/>
      <c r="M16" s="1"/>
      <c r="N16" s="1"/>
      <c r="O16" s="1"/>
      <c r="P16" s="1"/>
    </row>
    <row r="17" spans="1:16" x14ac:dyDescent="0.25">
      <c r="A17" s="1"/>
      <c r="B17" s="1"/>
      <c r="C17" s="1"/>
      <c r="D17" s="1"/>
      <c r="E17" s="1"/>
      <c r="F17" s="1"/>
      <c r="G17" s="1"/>
      <c r="H17" s="1"/>
      <c r="I17" s="1"/>
      <c r="J17" s="1"/>
      <c r="K17" s="1"/>
      <c r="L17" s="1"/>
      <c r="M17" s="1"/>
      <c r="N17" s="1"/>
      <c r="O17" s="1"/>
      <c r="P17" s="1"/>
    </row>
    <row r="18" spans="1:16" x14ac:dyDescent="0.25">
      <c r="A18" s="1"/>
      <c r="B18" s="1"/>
      <c r="C18" s="1"/>
      <c r="D18" s="1"/>
      <c r="E18" s="1"/>
      <c r="F18" s="1"/>
      <c r="G18" s="1"/>
      <c r="H18" s="1"/>
      <c r="I18" s="1"/>
      <c r="J18" s="1"/>
      <c r="K18" s="1"/>
      <c r="L18" s="1"/>
      <c r="M18" s="1"/>
      <c r="N18" s="1"/>
      <c r="O18" s="1"/>
      <c r="P18" s="1"/>
    </row>
    <row r="19" spans="1:16" ht="21" x14ac:dyDescent="0.25">
      <c r="A19" s="1"/>
      <c r="B19" s="687"/>
      <c r="C19" s="688"/>
      <c r="D19" s="688"/>
      <c r="E19" s="688"/>
      <c r="F19" s="688"/>
      <c r="G19" s="688"/>
      <c r="H19" s="688"/>
      <c r="I19" s="688"/>
      <c r="J19" s="688"/>
      <c r="K19" s="688"/>
      <c r="L19" s="688"/>
      <c r="M19" s="688"/>
      <c r="N19" s="688"/>
      <c r="O19" s="688"/>
      <c r="P19" s="1"/>
    </row>
    <row r="20" spans="1:16" ht="21" x14ac:dyDescent="0.4">
      <c r="A20" s="1"/>
      <c r="B20" s="6"/>
      <c r="C20" s="6"/>
      <c r="D20" s="6"/>
      <c r="E20" s="6"/>
      <c r="F20"/>
      <c r="G20"/>
      <c r="H20"/>
      <c r="I20"/>
      <c r="J20"/>
      <c r="K20"/>
      <c r="L20"/>
      <c r="M20"/>
      <c r="N20"/>
      <c r="O20"/>
      <c r="P20" s="1"/>
    </row>
    <row r="21" spans="1:16" ht="21" x14ac:dyDescent="0.4">
      <c r="A21" s="1"/>
      <c r="B21" s="6"/>
      <c r="C21" s="6"/>
      <c r="D21" s="6"/>
      <c r="E21" s="6"/>
      <c r="F21"/>
      <c r="G21"/>
      <c r="H21"/>
      <c r="I21"/>
      <c r="J21"/>
      <c r="K21"/>
      <c r="L21"/>
      <c r="M21"/>
      <c r="N21"/>
      <c r="O21"/>
      <c r="P21" s="1"/>
    </row>
    <row r="22" spans="1:16" ht="21" x14ac:dyDescent="0.4">
      <c r="A22" s="1"/>
      <c r="B22" s="6"/>
      <c r="C22" s="6"/>
      <c r="D22" s="6"/>
      <c r="E22" s="6"/>
      <c r="F22"/>
      <c r="G22"/>
      <c r="H22"/>
      <c r="I22"/>
      <c r="J22"/>
      <c r="K22"/>
      <c r="L22"/>
      <c r="M22"/>
      <c r="N22"/>
      <c r="O22"/>
      <c r="P22" s="1"/>
    </row>
    <row r="23" spans="1:16" x14ac:dyDescent="0.25">
      <c r="A23" s="1"/>
      <c r="B23" s="1"/>
      <c r="C23" s="1"/>
      <c r="D23" s="1"/>
      <c r="E23" s="1"/>
      <c r="F23" s="1"/>
      <c r="G23" s="1"/>
      <c r="H23" s="1"/>
      <c r="I23" s="1"/>
      <c r="J23" s="1"/>
      <c r="K23" s="1"/>
      <c r="L23" s="1"/>
      <c r="M23" s="1"/>
      <c r="N23" s="1"/>
      <c r="O23" s="1"/>
      <c r="P23" s="1"/>
    </row>
    <row r="24" spans="1:16" ht="21" x14ac:dyDescent="0.4">
      <c r="A24" s="1"/>
      <c r="B24" s="6"/>
      <c r="C24" s="1"/>
      <c r="D24" s="689"/>
      <c r="E24" s="690"/>
      <c r="F24" s="690"/>
      <c r="G24" s="690"/>
      <c r="H24" s="690"/>
      <c r="I24" s="690"/>
      <c r="J24" s="691"/>
      <c r="K24" s="692"/>
      <c r="L24" s="692"/>
      <c r="M24" s="692"/>
      <c r="N24" s="7"/>
      <c r="O24" s="7"/>
      <c r="P24" s="1"/>
    </row>
    <row r="25" spans="1:16" x14ac:dyDescent="0.25">
      <c r="A25" s="1"/>
      <c r="B25" s="1"/>
      <c r="C25" s="1"/>
      <c r="D25" s="1"/>
      <c r="E25" s="1"/>
      <c r="F25" s="1"/>
      <c r="G25" s="1"/>
      <c r="H25" s="1"/>
      <c r="I25" s="1"/>
      <c r="J25" s="692"/>
      <c r="K25" s="692"/>
      <c r="L25" s="692"/>
      <c r="M25" s="692"/>
      <c r="N25" s="1"/>
      <c r="O25" s="1"/>
      <c r="P25" s="1"/>
    </row>
    <row r="26" spans="1:16" x14ac:dyDescent="0.25">
      <c r="A26" s="1"/>
      <c r="B26" s="1"/>
      <c r="C26" s="1"/>
      <c r="D26" s="1"/>
      <c r="E26" s="1"/>
      <c r="F26" s="1"/>
      <c r="G26" s="1"/>
      <c r="H26" s="1"/>
      <c r="I26" s="1"/>
      <c r="J26" s="692"/>
      <c r="K26" s="692"/>
      <c r="L26" s="692"/>
      <c r="M26" s="692"/>
      <c r="N26" s="1"/>
      <c r="O26" s="1"/>
      <c r="P26" s="1"/>
    </row>
    <row r="27" spans="1:16" ht="30" customHeight="1" x14ac:dyDescent="0.25">
      <c r="A27" s="1"/>
      <c r="B27" s="1"/>
      <c r="C27" s="1"/>
      <c r="D27" s="1"/>
      <c r="E27" s="1"/>
      <c r="F27" s="1"/>
      <c r="G27" s="8"/>
      <c r="H27"/>
      <c r="I27"/>
      <c r="J27" s="692"/>
      <c r="K27" s="692"/>
      <c r="L27" s="692"/>
      <c r="M27" s="692"/>
      <c r="N27"/>
      <c r="O27" s="1"/>
      <c r="P27" s="1"/>
    </row>
    <row r="28" spans="1:16" ht="30" customHeight="1" x14ac:dyDescent="0.25">
      <c r="A28" s="1"/>
      <c r="B28" s="1"/>
      <c r="C28" s="1"/>
      <c r="D28" s="1"/>
      <c r="E28" s="1"/>
      <c r="F28" s="1"/>
      <c r="G28" s="8"/>
      <c r="H28" s="9"/>
      <c r="I28" s="9"/>
      <c r="J28" s="692"/>
      <c r="K28" s="692"/>
      <c r="L28" s="692"/>
      <c r="M28" s="692"/>
      <c r="N28" s="9"/>
      <c r="O28" s="1"/>
      <c r="P28" s="1"/>
    </row>
    <row r="29" spans="1:16" s="13" customFormat="1" ht="30" customHeight="1" x14ac:dyDescent="0.25">
      <c r="A29" s="10"/>
      <c r="B29" s="10"/>
      <c r="C29" s="10"/>
      <c r="D29" s="10"/>
      <c r="E29" s="10"/>
      <c r="F29" s="10"/>
      <c r="G29" s="8"/>
      <c r="H29" s="11"/>
      <c r="I29" s="11"/>
      <c r="J29" s="692"/>
      <c r="K29" s="692"/>
      <c r="L29" s="692"/>
      <c r="M29" s="692"/>
      <c r="N29" s="12"/>
      <c r="O29" s="10"/>
      <c r="P29" s="10"/>
    </row>
    <row r="30" spans="1:16" s="13" customFormat="1" ht="6" customHeight="1" x14ac:dyDescent="0.25">
      <c r="A30" s="10"/>
      <c r="B30" s="10"/>
      <c r="C30" s="10"/>
      <c r="D30" s="10"/>
      <c r="E30" s="10"/>
      <c r="F30" s="10"/>
      <c r="G30" s="8"/>
      <c r="H30" s="11"/>
      <c r="I30" s="11"/>
      <c r="J30" s="9"/>
      <c r="K30" s="10"/>
      <c r="L30" s="10"/>
      <c r="M30" s="10"/>
      <c r="N30" s="12"/>
      <c r="O30" s="10"/>
      <c r="P30" s="10"/>
    </row>
    <row r="31" spans="1:16" ht="30" customHeight="1" x14ac:dyDescent="0.25">
      <c r="A31" s="1"/>
      <c r="B31" s="1"/>
      <c r="C31" s="14"/>
      <c r="D31" s="680"/>
      <c r="E31" s="681"/>
      <c r="F31" s="682"/>
      <c r="G31" s="682"/>
      <c r="H31" s="1"/>
      <c r="I31" s="682"/>
      <c r="J31" s="682"/>
      <c r="K31" s="1"/>
      <c r="L31" s="15"/>
      <c r="M31" s="1"/>
      <c r="N31" s="1"/>
      <c r="O31" s="1"/>
      <c r="P31" s="1"/>
    </row>
    <row r="32" spans="1:16" ht="30" customHeight="1" x14ac:dyDescent="0.25">
      <c r="A32" s="1"/>
      <c r="B32" s="1"/>
      <c r="C32" s="1"/>
      <c r="D32" s="1"/>
      <c r="E32" s="1"/>
      <c r="F32" s="685"/>
      <c r="G32" s="675"/>
      <c r="H32" s="17"/>
      <c r="I32" s="683"/>
      <c r="J32" s="683"/>
      <c r="K32" s="17"/>
      <c r="L32" s="18"/>
      <c r="M32" s="17"/>
      <c r="N32" s="17"/>
      <c r="O32" s="17"/>
      <c r="P32" s="1"/>
    </row>
    <row r="33" spans="1:16" ht="30" customHeight="1" x14ac:dyDescent="0.25">
      <c r="A33" s="1"/>
      <c r="B33" s="1"/>
      <c r="C33" s="14"/>
      <c r="D33" s="680"/>
      <c r="E33" s="681"/>
      <c r="F33" s="682"/>
      <c r="G33" s="688"/>
      <c r="H33" s="1"/>
      <c r="I33" s="682"/>
      <c r="J33" s="682"/>
      <c r="K33" s="1"/>
      <c r="L33" s="15"/>
      <c r="M33" s="1"/>
      <c r="N33" s="1"/>
      <c r="O33" s="1"/>
      <c r="P33" s="1"/>
    </row>
    <row r="34" spans="1:16" ht="30" customHeight="1" x14ac:dyDescent="0.25">
      <c r="A34" s="1"/>
      <c r="B34" s="1"/>
      <c r="C34" s="1"/>
      <c r="D34" s="1"/>
      <c r="E34" s="1"/>
      <c r="F34" s="685"/>
      <c r="G34" s="685"/>
      <c r="H34" s="1"/>
      <c r="I34" s="685"/>
      <c r="J34" s="685"/>
      <c r="K34" s="1"/>
      <c r="L34" s="16"/>
      <c r="M34" s="1"/>
      <c r="N34" s="1"/>
      <c r="O34" s="1"/>
      <c r="P34" s="1"/>
    </row>
    <row r="35" spans="1:16" ht="30" customHeight="1" x14ac:dyDescent="0.25">
      <c r="A35" s="1"/>
      <c r="B35" s="1"/>
      <c r="C35" s="14"/>
      <c r="D35" s="680"/>
      <c r="E35" s="681"/>
      <c r="F35" s="682"/>
      <c r="G35" s="682"/>
      <c r="H35" s="1"/>
      <c r="I35" s="682"/>
      <c r="J35" s="682"/>
      <c r="K35" s="1"/>
      <c r="L35" s="15"/>
      <c r="M35" s="1"/>
      <c r="N35" s="1"/>
      <c r="O35" s="1"/>
      <c r="P35" s="1"/>
    </row>
    <row r="36" spans="1:16" customFormat="1" ht="30" customHeight="1" x14ac:dyDescent="0.25">
      <c r="F36" s="683"/>
      <c r="G36" s="683"/>
      <c r="I36" s="683"/>
      <c r="J36" s="683"/>
      <c r="L36" s="18"/>
    </row>
    <row r="37" spans="1:16" customFormat="1" ht="30" customHeight="1" x14ac:dyDescent="0.25"/>
    <row r="38" spans="1:16" customFormat="1" ht="35.25" customHeight="1" x14ac:dyDescent="0.25"/>
    <row r="39" spans="1:16" ht="35.25" customHeight="1" x14ac:dyDescent="0.25">
      <c r="A39"/>
      <c r="B39"/>
      <c r="C39" s="674"/>
      <c r="D39" s="675"/>
      <c r="E39" s="19"/>
      <c r="F39" s="674"/>
      <c r="G39" s="674"/>
      <c r="H39" s="674"/>
      <c r="I39" s="674"/>
      <c r="J39" s="674"/>
      <c r="K39" s="674"/>
      <c r="L39" s="19"/>
      <c r="M39" s="674"/>
      <c r="N39" s="675"/>
      <c r="O39"/>
      <c r="P39" s="1"/>
    </row>
    <row r="40" spans="1:16" ht="50.25" customHeight="1" x14ac:dyDescent="0.25">
      <c r="A40"/>
      <c r="B40"/>
      <c r="C40" s="674"/>
      <c r="D40" s="675"/>
      <c r="E40" s="20"/>
      <c r="F40" s="676"/>
      <c r="G40" s="676"/>
      <c r="H40" s="676"/>
      <c r="I40" s="676"/>
      <c r="J40" s="676"/>
      <c r="K40" s="676"/>
      <c r="L40" s="21"/>
      <c r="M40" s="676"/>
      <c r="N40" s="676"/>
      <c r="O40"/>
      <c r="P40" s="1"/>
    </row>
    <row r="41" spans="1:16" ht="50.25" customHeight="1" x14ac:dyDescent="0.25">
      <c r="A41"/>
      <c r="B41"/>
      <c r="C41" s="674"/>
      <c r="D41" s="675"/>
      <c r="E41" s="5"/>
      <c r="F41" s="676"/>
      <c r="G41" s="676"/>
      <c r="H41" s="676"/>
      <c r="I41" s="676"/>
      <c r="J41" s="676"/>
      <c r="K41" s="676"/>
      <c r="L41" s="21"/>
      <c r="M41" s="676"/>
      <c r="N41" s="676"/>
      <c r="O41"/>
      <c r="P41" s="1"/>
    </row>
    <row r="42" spans="1:16" ht="50.25" customHeight="1" x14ac:dyDescent="0.25">
      <c r="A42"/>
      <c r="B42"/>
      <c r="C42" s="674"/>
      <c r="D42" s="675"/>
      <c r="E42" s="5"/>
      <c r="F42" s="676"/>
      <c r="G42" s="676"/>
      <c r="H42" s="676"/>
      <c r="I42" s="676"/>
      <c r="J42" s="676"/>
      <c r="K42" s="676"/>
      <c r="L42" s="21"/>
      <c r="M42" s="676"/>
      <c r="N42" s="676"/>
      <c r="O42"/>
      <c r="P42" s="1"/>
    </row>
    <row r="43" spans="1:16" ht="50.25" customHeight="1" x14ac:dyDescent="0.25">
      <c r="A43"/>
      <c r="B43"/>
      <c r="C43" s="674"/>
      <c r="D43" s="675"/>
      <c r="E43" s="5"/>
      <c r="F43" s="676"/>
      <c r="G43" s="676"/>
      <c r="H43" s="676"/>
      <c r="I43" s="676"/>
      <c r="J43" s="676"/>
      <c r="K43" s="676"/>
      <c r="L43" s="21"/>
      <c r="M43" s="676"/>
      <c r="N43" s="676"/>
      <c r="O43"/>
      <c r="P43" s="1"/>
    </row>
    <row r="44" spans="1:16" ht="50.25" customHeight="1" x14ac:dyDescent="0.25">
      <c r="A44"/>
      <c r="B44"/>
      <c r="C44" s="674"/>
      <c r="D44" s="675"/>
      <c r="E44" s="5"/>
      <c r="F44" s="676"/>
      <c r="G44" s="676"/>
      <c r="H44" s="676"/>
      <c r="I44" s="676"/>
      <c r="J44" s="676"/>
      <c r="K44" s="676"/>
      <c r="L44" s="21"/>
      <c r="M44" s="676"/>
      <c r="N44" s="676"/>
      <c r="O44"/>
      <c r="P44" s="1"/>
    </row>
    <row r="45" spans="1:16" ht="50.25" customHeight="1" x14ac:dyDescent="0.25">
      <c r="A45" s="22"/>
      <c r="B45" s="22"/>
      <c r="C45" s="677"/>
      <c r="D45" s="678"/>
      <c r="E45" s="23"/>
      <c r="F45" s="679"/>
      <c r="G45" s="679"/>
      <c r="H45" s="679"/>
      <c r="I45" s="679"/>
      <c r="J45" s="679"/>
      <c r="K45" s="679"/>
      <c r="L45" s="24"/>
      <c r="M45" s="679"/>
      <c r="N45" s="679"/>
      <c r="O45" s="22"/>
      <c r="P45" s="25"/>
    </row>
    <row r="46" spans="1:16" ht="50.25" customHeight="1" x14ac:dyDescent="0.25">
      <c r="A46" s="26"/>
      <c r="B46" s="26"/>
      <c r="C46" s="671"/>
      <c r="D46" s="672"/>
      <c r="E46" s="27"/>
      <c r="F46" s="673"/>
      <c r="G46" s="673"/>
      <c r="H46" s="673"/>
      <c r="I46" s="673"/>
      <c r="J46" s="673"/>
      <c r="K46" s="673"/>
      <c r="L46" s="28"/>
      <c r="M46" s="673"/>
      <c r="N46" s="673"/>
      <c r="O46" s="26"/>
      <c r="P46" s="26"/>
    </row>
    <row r="49" spans="3:14" ht="15" x14ac:dyDescent="0.25">
      <c r="C49" s="670"/>
      <c r="D49" s="670"/>
      <c r="E49" s="670"/>
      <c r="F49" s="670"/>
      <c r="G49" s="670"/>
      <c r="H49" s="670"/>
      <c r="I49" s="670"/>
      <c r="J49" s="670"/>
      <c r="K49" s="670"/>
      <c r="L49" s="670"/>
      <c r="M49" s="670"/>
      <c r="N49" s="670"/>
    </row>
  </sheetData>
  <sheetProtection algorithmName="SHA-512" hashValue="QNcdRfFb4g7HHr0DP2Q7z5peKKDObWL8D+jy2aConhOy5H7JbKCdq9PJsVhu9yK4NAe15SpPYpM7rv2u5jkDog==" saltValue="5n8Rop9w8jJG3rT0cU3Gsw==" spinCount="100000" sheet="1" objects="1" scenarios="1"/>
  <mergeCells count="45">
    <mergeCell ref="C9:L11"/>
    <mergeCell ref="F34:G34"/>
    <mergeCell ref="I34:J34"/>
    <mergeCell ref="B13:O13"/>
    <mergeCell ref="B19:O19"/>
    <mergeCell ref="D24:I24"/>
    <mergeCell ref="J24:M29"/>
    <mergeCell ref="D31:E31"/>
    <mergeCell ref="F31:G31"/>
    <mergeCell ref="I31:J31"/>
    <mergeCell ref="F32:G32"/>
    <mergeCell ref="I32:J32"/>
    <mergeCell ref="D33:E33"/>
    <mergeCell ref="F33:G33"/>
    <mergeCell ref="I33:J33"/>
    <mergeCell ref="D35:E35"/>
    <mergeCell ref="F35:G35"/>
    <mergeCell ref="I35:J35"/>
    <mergeCell ref="F36:G36"/>
    <mergeCell ref="I36:J36"/>
    <mergeCell ref="M39:N39"/>
    <mergeCell ref="C40:D40"/>
    <mergeCell ref="F40:K40"/>
    <mergeCell ref="M40:N40"/>
    <mergeCell ref="C41:D41"/>
    <mergeCell ref="F41:K41"/>
    <mergeCell ref="M41:N41"/>
    <mergeCell ref="C39:D39"/>
    <mergeCell ref="F39:K39"/>
    <mergeCell ref="C42:D42"/>
    <mergeCell ref="F42:K42"/>
    <mergeCell ref="M42:N42"/>
    <mergeCell ref="C43:D43"/>
    <mergeCell ref="F43:K43"/>
    <mergeCell ref="M43:N43"/>
    <mergeCell ref="C49:N49"/>
    <mergeCell ref="C46:D46"/>
    <mergeCell ref="F46:K46"/>
    <mergeCell ref="M46:N46"/>
    <mergeCell ref="C44:D44"/>
    <mergeCell ref="F44:K44"/>
    <mergeCell ref="M44:N44"/>
    <mergeCell ref="C45:D45"/>
    <mergeCell ref="F45:K45"/>
    <mergeCell ref="M45:N45"/>
  </mergeCells>
  <printOptions horizontalCentered="1"/>
  <pageMargins left="0.15748031496062992" right="0.15748031496062992" top="0.59055118110236227" bottom="0.39370078740157483" header="0.51181102362204722" footer="0.51181102362204722"/>
  <pageSetup paperSize="9" scale="70" orientation="portrait" r:id="rId1"/>
  <headerFooter alignWithMargins="0">
    <oddFooter>&amp;LFM-HSS-W01-01&amp;CJanuary 2020&amp;RRev 17.0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B8DFF-4A0E-4B4B-8E07-4C330755B578}">
  <sheetPr codeName="Sheet61">
    <tabColor theme="7" tint="0.39997558519241921"/>
  </sheetPr>
  <dimension ref="C2:DS61"/>
  <sheetViews>
    <sheetView showGridLines="0" zoomScaleNormal="100" workbookViewId="0">
      <selection activeCell="U12" sqref="U12"/>
    </sheetView>
  </sheetViews>
  <sheetFormatPr defaultColWidth="8.77734375" defaultRowHeight="13.2" x14ac:dyDescent="0.25"/>
  <cols>
    <col min="1" max="1" width="1.109375" customWidth="1"/>
    <col min="2" max="2" width="10.6640625" customWidth="1"/>
    <col min="3" max="3" width="2.44140625" customWidth="1"/>
    <col min="4" max="4" width="8.6640625" customWidth="1"/>
    <col min="5" max="12" width="10.6640625" customWidth="1"/>
    <col min="13" max="13" width="8.6640625" customWidth="1"/>
    <col min="14" max="14" width="4.44140625" customWidth="1"/>
    <col min="15" max="15" width="10.6640625" customWidth="1"/>
    <col min="16" max="16" width="1.6640625" customWidth="1"/>
    <col min="17" max="123" width="9.109375" style="53"/>
  </cols>
  <sheetData>
    <row r="2" spans="3:14" ht="15" customHeight="1" x14ac:dyDescent="0.3">
      <c r="C2" s="29" t="s">
        <v>0</v>
      </c>
      <c r="D2" s="30"/>
      <c r="E2" s="30"/>
      <c r="F2" s="30"/>
      <c r="G2" s="30"/>
      <c r="H2" s="30"/>
      <c r="I2" s="30"/>
      <c r="J2" s="30"/>
      <c r="K2" s="30"/>
      <c r="L2" s="30"/>
      <c r="M2" s="30"/>
      <c r="N2" s="30"/>
    </row>
    <row r="3" spans="3:14" ht="13.8" thickBot="1" x14ac:dyDescent="0.3">
      <c r="C3" s="30"/>
      <c r="D3" s="30"/>
      <c r="E3" s="30"/>
      <c r="F3" s="30"/>
      <c r="G3" s="30"/>
      <c r="H3" s="30"/>
      <c r="I3" s="30"/>
      <c r="J3" s="30"/>
      <c r="K3" s="30"/>
      <c r="L3" s="30"/>
      <c r="M3" s="30"/>
      <c r="N3" s="30"/>
    </row>
    <row r="4" spans="3:14" ht="44.25" customHeight="1" thickTop="1" x14ac:dyDescent="0.3">
      <c r="C4" s="31"/>
      <c r="D4" s="693" t="s">
        <v>1</v>
      </c>
      <c r="E4" s="694"/>
      <c r="F4" s="695" t="s">
        <v>835</v>
      </c>
      <c r="G4" s="695"/>
      <c r="H4" s="32"/>
      <c r="I4" s="695" t="s">
        <v>836</v>
      </c>
      <c r="J4" s="695"/>
      <c r="K4" s="32"/>
      <c r="L4" s="669">
        <v>46213</v>
      </c>
      <c r="M4" s="33"/>
      <c r="N4" s="34"/>
    </row>
    <row r="5" spans="3:14" ht="30" customHeight="1" x14ac:dyDescent="0.3">
      <c r="C5" s="35"/>
      <c r="D5" s="36"/>
      <c r="E5" s="36"/>
      <c r="F5" s="696" t="s">
        <v>2</v>
      </c>
      <c r="G5" s="697"/>
      <c r="H5" s="38"/>
      <c r="I5" s="698" t="s">
        <v>3</v>
      </c>
      <c r="J5" s="698"/>
      <c r="K5" s="38"/>
      <c r="L5" s="39" t="s">
        <v>4</v>
      </c>
      <c r="M5" s="17"/>
      <c r="N5" s="40"/>
    </row>
    <row r="6" spans="3:14" ht="30" customHeight="1" x14ac:dyDescent="0.3">
      <c r="C6" s="41"/>
      <c r="D6" s="699" t="s">
        <v>5</v>
      </c>
      <c r="E6" s="700"/>
      <c r="F6" s="701" t="s">
        <v>837</v>
      </c>
      <c r="G6" s="702"/>
      <c r="H6" s="36"/>
      <c r="I6" s="701" t="s">
        <v>838</v>
      </c>
      <c r="J6" s="701"/>
      <c r="K6" s="36"/>
      <c r="L6" s="668">
        <v>46218</v>
      </c>
      <c r="M6" s="1"/>
      <c r="N6" s="42"/>
    </row>
    <row r="7" spans="3:14" ht="30" customHeight="1" x14ac:dyDescent="0.3">
      <c r="C7" s="35"/>
      <c r="D7" s="36"/>
      <c r="E7" s="36"/>
      <c r="F7" s="696" t="s">
        <v>2</v>
      </c>
      <c r="G7" s="696"/>
      <c r="H7" s="36"/>
      <c r="I7" s="696" t="s">
        <v>3</v>
      </c>
      <c r="J7" s="696"/>
      <c r="K7" s="36"/>
      <c r="L7" s="37" t="s">
        <v>4</v>
      </c>
      <c r="M7" s="1"/>
      <c r="N7" s="42"/>
    </row>
    <row r="8" spans="3:14" ht="30" customHeight="1" x14ac:dyDescent="0.3">
      <c r="C8" s="41"/>
      <c r="D8" s="699" t="s">
        <v>6</v>
      </c>
      <c r="E8" s="700"/>
      <c r="F8" s="701" t="s">
        <v>34</v>
      </c>
      <c r="G8" s="701"/>
      <c r="H8" s="36"/>
      <c r="I8" s="701" t="s">
        <v>839</v>
      </c>
      <c r="J8" s="701"/>
      <c r="K8" s="36"/>
      <c r="L8" s="668">
        <v>46220</v>
      </c>
      <c r="M8" s="1"/>
      <c r="N8" s="42"/>
    </row>
    <row r="9" spans="3:14" ht="30" customHeight="1" thickBot="1" x14ac:dyDescent="0.35">
      <c r="C9" s="43"/>
      <c r="D9" s="44"/>
      <c r="E9" s="44"/>
      <c r="F9" s="714" t="s">
        <v>2</v>
      </c>
      <c r="G9" s="714"/>
      <c r="H9" s="44"/>
      <c r="I9" s="714" t="s">
        <v>3</v>
      </c>
      <c r="J9" s="714"/>
      <c r="K9" s="44"/>
      <c r="L9" s="45" t="s">
        <v>4</v>
      </c>
      <c r="M9" s="46"/>
      <c r="N9" s="47"/>
    </row>
    <row r="10" spans="3:14" ht="21.75" customHeight="1" thickTop="1" thickBot="1" x14ac:dyDescent="0.3">
      <c r="C10" s="48"/>
      <c r="D10" s="48"/>
      <c r="E10" s="48"/>
      <c r="F10" s="48"/>
      <c r="G10" s="48"/>
      <c r="H10" s="48"/>
      <c r="I10" s="48"/>
      <c r="J10" s="48"/>
      <c r="K10" s="48"/>
      <c r="L10" s="48"/>
      <c r="M10" s="48"/>
      <c r="N10" s="48"/>
    </row>
    <row r="11" spans="3:14" ht="35.25" customHeight="1" thickTop="1" x14ac:dyDescent="0.3">
      <c r="C11" s="703" t="s">
        <v>7</v>
      </c>
      <c r="D11" s="704"/>
      <c r="E11" s="49" t="s">
        <v>4</v>
      </c>
      <c r="F11" s="705" t="s">
        <v>8</v>
      </c>
      <c r="G11" s="705"/>
      <c r="H11" s="705"/>
      <c r="I11" s="705"/>
      <c r="J11" s="705"/>
      <c r="K11" s="705"/>
      <c r="L11" s="49" t="s">
        <v>9</v>
      </c>
      <c r="M11" s="705" t="s">
        <v>10</v>
      </c>
      <c r="N11" s="706"/>
    </row>
    <row r="12" spans="3:14" ht="40.049999999999997" customHeight="1" x14ac:dyDescent="0.3">
      <c r="C12" s="707">
        <v>1</v>
      </c>
      <c r="D12" s="708"/>
      <c r="E12" s="50"/>
      <c r="F12" s="709"/>
      <c r="G12" s="710"/>
      <c r="H12" s="710"/>
      <c r="I12" s="710"/>
      <c r="J12" s="710"/>
      <c r="K12" s="711"/>
      <c r="L12" s="51"/>
      <c r="M12" s="712"/>
      <c r="N12" s="713"/>
    </row>
    <row r="13" spans="3:14" ht="40.049999999999997" customHeight="1" x14ac:dyDescent="0.3">
      <c r="C13" s="707">
        <v>2</v>
      </c>
      <c r="D13" s="708"/>
      <c r="E13" s="50"/>
      <c r="F13" s="715"/>
      <c r="G13" s="715"/>
      <c r="H13" s="715"/>
      <c r="I13" s="715"/>
      <c r="J13" s="715"/>
      <c r="K13" s="715"/>
      <c r="L13" s="51"/>
      <c r="M13" s="712"/>
      <c r="N13" s="713"/>
    </row>
    <row r="14" spans="3:14" ht="40.049999999999997" customHeight="1" x14ac:dyDescent="0.3">
      <c r="C14" s="707">
        <v>3</v>
      </c>
      <c r="D14" s="708"/>
      <c r="E14" s="50"/>
      <c r="F14" s="715"/>
      <c r="G14" s="715"/>
      <c r="H14" s="715"/>
      <c r="I14" s="715"/>
      <c r="J14" s="715"/>
      <c r="K14" s="715"/>
      <c r="L14" s="51"/>
      <c r="M14" s="712"/>
      <c r="N14" s="713"/>
    </row>
    <row r="15" spans="3:14" ht="40.049999999999997" customHeight="1" x14ac:dyDescent="0.3">
      <c r="C15" s="707">
        <v>4</v>
      </c>
      <c r="D15" s="708"/>
      <c r="E15" s="50"/>
      <c r="F15" s="715"/>
      <c r="G15" s="715"/>
      <c r="H15" s="715"/>
      <c r="I15" s="715"/>
      <c r="J15" s="715"/>
      <c r="K15" s="715"/>
      <c r="L15" s="51"/>
      <c r="M15" s="712"/>
      <c r="N15" s="713"/>
    </row>
    <row r="16" spans="3:14" ht="40.049999999999997" customHeight="1" x14ac:dyDescent="0.3">
      <c r="C16" s="707">
        <v>5</v>
      </c>
      <c r="D16" s="708"/>
      <c r="E16" s="50"/>
      <c r="F16" s="715"/>
      <c r="G16" s="715"/>
      <c r="H16" s="715"/>
      <c r="I16" s="715"/>
      <c r="J16" s="715"/>
      <c r="K16" s="715"/>
      <c r="L16" s="51"/>
      <c r="M16" s="712"/>
      <c r="N16" s="713"/>
    </row>
    <row r="17" spans="3:14" ht="40.049999999999997" customHeight="1" x14ac:dyDescent="0.3">
      <c r="C17" s="707">
        <v>6</v>
      </c>
      <c r="D17" s="708"/>
      <c r="E17" s="50"/>
      <c r="F17" s="715"/>
      <c r="G17" s="715"/>
      <c r="H17" s="715"/>
      <c r="I17" s="715"/>
      <c r="J17" s="715"/>
      <c r="K17" s="715"/>
      <c r="L17" s="51"/>
      <c r="M17" s="712"/>
      <c r="N17" s="713"/>
    </row>
    <row r="18" spans="3:14" ht="40.049999999999997" customHeight="1" x14ac:dyDescent="0.3">
      <c r="C18" s="707">
        <v>7</v>
      </c>
      <c r="D18" s="708"/>
      <c r="E18" s="50"/>
      <c r="F18" s="715"/>
      <c r="G18" s="715"/>
      <c r="H18" s="715"/>
      <c r="I18" s="715"/>
      <c r="J18" s="715"/>
      <c r="K18" s="715"/>
      <c r="L18" s="51"/>
      <c r="M18" s="712"/>
      <c r="N18" s="713"/>
    </row>
    <row r="19" spans="3:14" ht="40.049999999999997" customHeight="1" x14ac:dyDescent="0.3">
      <c r="C19" s="716">
        <v>8</v>
      </c>
      <c r="D19" s="717"/>
      <c r="E19" s="52"/>
      <c r="F19" s="718"/>
      <c r="G19" s="718"/>
      <c r="H19" s="718"/>
      <c r="I19" s="718"/>
      <c r="J19" s="718"/>
      <c r="K19" s="718"/>
      <c r="L19" s="52"/>
      <c r="M19" s="719"/>
      <c r="N19" s="720"/>
    </row>
    <row r="20" spans="3:14" ht="40.049999999999997" customHeight="1" x14ac:dyDescent="0.3">
      <c r="C20" s="707">
        <v>9</v>
      </c>
      <c r="D20" s="708"/>
      <c r="E20" s="50"/>
      <c r="F20" s="715"/>
      <c r="G20" s="715"/>
      <c r="H20" s="715"/>
      <c r="I20" s="715"/>
      <c r="J20" s="715"/>
      <c r="K20" s="715"/>
      <c r="L20" s="51"/>
      <c r="M20" s="712"/>
      <c r="N20" s="713"/>
    </row>
    <row r="21" spans="3:14" ht="40.049999999999997" customHeight="1" x14ac:dyDescent="0.3">
      <c r="C21" s="707">
        <v>10</v>
      </c>
      <c r="D21" s="708"/>
      <c r="E21" s="50"/>
      <c r="F21" s="715"/>
      <c r="G21" s="715"/>
      <c r="H21" s="715"/>
      <c r="I21" s="715"/>
      <c r="J21" s="715"/>
      <c r="K21" s="715"/>
      <c r="L21" s="51"/>
      <c r="M21" s="712"/>
      <c r="N21" s="713"/>
    </row>
    <row r="22" spans="3:14" ht="40.049999999999997" customHeight="1" x14ac:dyDescent="0.3">
      <c r="C22" s="707">
        <v>11</v>
      </c>
      <c r="D22" s="708"/>
      <c r="E22" s="50"/>
      <c r="F22" s="715"/>
      <c r="G22" s="715"/>
      <c r="H22" s="715"/>
      <c r="I22" s="715"/>
      <c r="J22" s="715"/>
      <c r="K22" s="715"/>
      <c r="L22" s="51"/>
      <c r="M22" s="712"/>
      <c r="N22" s="713"/>
    </row>
    <row r="23" spans="3:14" ht="40.049999999999997" customHeight="1" x14ac:dyDescent="0.3">
      <c r="C23" s="707">
        <v>12</v>
      </c>
      <c r="D23" s="708"/>
      <c r="E23" s="50"/>
      <c r="F23" s="715"/>
      <c r="G23" s="715"/>
      <c r="H23" s="715"/>
      <c r="I23" s="715"/>
      <c r="J23" s="715"/>
      <c r="K23" s="715"/>
      <c r="L23" s="51"/>
      <c r="M23" s="712"/>
      <c r="N23" s="713"/>
    </row>
    <row r="24" spans="3:14" ht="40.049999999999997" customHeight="1" x14ac:dyDescent="0.3">
      <c r="C24" s="707">
        <v>13</v>
      </c>
      <c r="D24" s="708"/>
      <c r="E24" s="50"/>
      <c r="F24" s="715"/>
      <c r="G24" s="715"/>
      <c r="H24" s="715"/>
      <c r="I24" s="715"/>
      <c r="J24" s="715"/>
      <c r="K24" s="715"/>
      <c r="L24" s="51"/>
      <c r="M24" s="712"/>
      <c r="N24" s="713"/>
    </row>
    <row r="25" spans="3:14" ht="40.049999999999997" customHeight="1" x14ac:dyDescent="0.3">
      <c r="C25" s="707">
        <v>14</v>
      </c>
      <c r="D25" s="708"/>
      <c r="E25" s="50"/>
      <c r="F25" s="715"/>
      <c r="G25" s="715"/>
      <c r="H25" s="715"/>
      <c r="I25" s="715"/>
      <c r="J25" s="715"/>
      <c r="K25" s="715"/>
      <c r="L25" s="51"/>
      <c r="M25" s="712"/>
      <c r="N25" s="713"/>
    </row>
    <row r="26" spans="3:14" ht="40.049999999999997" customHeight="1" x14ac:dyDescent="0.3">
      <c r="C26" s="707">
        <v>15</v>
      </c>
      <c r="D26" s="708"/>
      <c r="E26" s="50"/>
      <c r="F26" s="715"/>
      <c r="G26" s="715"/>
      <c r="H26" s="715"/>
      <c r="I26" s="715"/>
      <c r="J26" s="715"/>
      <c r="K26" s="715"/>
      <c r="L26" s="51"/>
      <c r="M26" s="712"/>
      <c r="N26" s="713"/>
    </row>
    <row r="27" spans="3:14" ht="40.049999999999997" customHeight="1" x14ac:dyDescent="0.3">
      <c r="C27" s="707">
        <v>16</v>
      </c>
      <c r="D27" s="708"/>
      <c r="E27" s="50"/>
      <c r="F27" s="715"/>
      <c r="G27" s="715"/>
      <c r="H27" s="715"/>
      <c r="I27" s="715"/>
      <c r="J27" s="715"/>
      <c r="K27" s="715"/>
      <c r="L27" s="51"/>
      <c r="M27" s="712"/>
      <c r="N27" s="713"/>
    </row>
    <row r="28" spans="3:14" ht="40.049999999999997" customHeight="1" x14ac:dyDescent="0.3">
      <c r="C28" s="707">
        <v>17</v>
      </c>
      <c r="D28" s="708"/>
      <c r="E28" s="50"/>
      <c r="F28" s="715"/>
      <c r="G28" s="715"/>
      <c r="H28" s="715"/>
      <c r="I28" s="715"/>
      <c r="J28" s="715"/>
      <c r="K28" s="715"/>
      <c r="L28" s="51"/>
      <c r="M28" s="712"/>
      <c r="N28" s="713"/>
    </row>
    <row r="29" spans="3:14" ht="40.049999999999997" customHeight="1" x14ac:dyDescent="0.3">
      <c r="C29" s="707">
        <v>18</v>
      </c>
      <c r="D29" s="708"/>
      <c r="E29" s="50"/>
      <c r="F29" s="715"/>
      <c r="G29" s="715"/>
      <c r="H29" s="715"/>
      <c r="I29" s="715"/>
      <c r="J29" s="715"/>
      <c r="K29" s="715"/>
      <c r="L29" s="51"/>
      <c r="M29" s="712"/>
      <c r="N29" s="713"/>
    </row>
    <row r="30" spans="3:14" ht="40.049999999999997" customHeight="1" x14ac:dyDescent="0.3">
      <c r="C30" s="707">
        <v>19</v>
      </c>
      <c r="D30" s="708"/>
      <c r="E30" s="50"/>
      <c r="F30" s="715"/>
      <c r="G30" s="715"/>
      <c r="H30" s="715"/>
      <c r="I30" s="715"/>
      <c r="J30" s="715"/>
      <c r="K30" s="715"/>
      <c r="L30" s="51"/>
      <c r="M30" s="712"/>
      <c r="N30" s="713"/>
    </row>
    <row r="31" spans="3:14" ht="40.049999999999997" customHeight="1" x14ac:dyDescent="0.3">
      <c r="C31" s="707">
        <v>20</v>
      </c>
      <c r="D31" s="708"/>
      <c r="E31" s="50"/>
      <c r="F31" s="715"/>
      <c r="G31" s="715"/>
      <c r="H31" s="715"/>
      <c r="I31" s="715"/>
      <c r="J31" s="715"/>
      <c r="K31" s="715"/>
      <c r="L31" s="51"/>
      <c r="M31" s="712"/>
      <c r="N31" s="713"/>
    </row>
    <row r="32" spans="3:14" ht="40.049999999999997" customHeight="1" x14ac:dyDescent="0.3">
      <c r="C32" s="707">
        <v>21</v>
      </c>
      <c r="D32" s="708"/>
      <c r="E32" s="50"/>
      <c r="F32" s="715"/>
      <c r="G32" s="715"/>
      <c r="H32" s="715"/>
      <c r="I32" s="715"/>
      <c r="J32" s="715"/>
      <c r="K32" s="715"/>
      <c r="L32" s="51"/>
      <c r="M32" s="712"/>
      <c r="N32" s="713"/>
    </row>
    <row r="33" spans="3:14" ht="40.049999999999997" customHeight="1" x14ac:dyDescent="0.3">
      <c r="C33" s="707">
        <v>22</v>
      </c>
      <c r="D33" s="708"/>
      <c r="E33" s="50"/>
      <c r="F33" s="715"/>
      <c r="G33" s="715"/>
      <c r="H33" s="715"/>
      <c r="I33" s="715"/>
      <c r="J33" s="715"/>
      <c r="K33" s="715"/>
      <c r="L33" s="51"/>
      <c r="M33" s="712"/>
      <c r="N33" s="713"/>
    </row>
    <row r="34" spans="3:14" ht="40.049999999999997" customHeight="1" x14ac:dyDescent="0.3">
      <c r="C34" s="707">
        <v>23</v>
      </c>
      <c r="D34" s="708"/>
      <c r="E34" s="50"/>
      <c r="F34" s="715"/>
      <c r="G34" s="715"/>
      <c r="H34" s="715"/>
      <c r="I34" s="715"/>
      <c r="J34" s="715"/>
      <c r="K34" s="715"/>
      <c r="L34" s="51"/>
      <c r="M34" s="712"/>
      <c r="N34" s="713"/>
    </row>
    <row r="35" spans="3:14" ht="40.049999999999997" customHeight="1" x14ac:dyDescent="0.3">
      <c r="C35" s="707">
        <v>24</v>
      </c>
      <c r="D35" s="708"/>
      <c r="E35" s="50"/>
      <c r="F35" s="715"/>
      <c r="G35" s="715"/>
      <c r="H35" s="715"/>
      <c r="I35" s="715"/>
      <c r="J35" s="715"/>
      <c r="K35" s="715"/>
      <c r="L35" s="51"/>
      <c r="M35" s="712"/>
      <c r="N35" s="713"/>
    </row>
    <row r="36" spans="3:14" ht="40.049999999999997" customHeight="1" x14ac:dyDescent="0.3">
      <c r="C36" s="707">
        <v>25</v>
      </c>
      <c r="D36" s="708"/>
      <c r="E36" s="50"/>
      <c r="F36" s="715"/>
      <c r="G36" s="715"/>
      <c r="H36" s="715"/>
      <c r="I36" s="715"/>
      <c r="J36" s="715"/>
      <c r="K36" s="715"/>
      <c r="L36" s="51"/>
      <c r="M36" s="712"/>
      <c r="N36" s="713"/>
    </row>
    <row r="37" spans="3:14" ht="40.049999999999997" customHeight="1" x14ac:dyDescent="0.3">
      <c r="C37" s="707">
        <v>26</v>
      </c>
      <c r="D37" s="708"/>
      <c r="E37" s="50"/>
      <c r="F37" s="715"/>
      <c r="G37" s="715"/>
      <c r="H37" s="715"/>
      <c r="I37" s="715"/>
      <c r="J37" s="715"/>
      <c r="K37" s="715"/>
      <c r="L37" s="51"/>
      <c r="M37" s="712"/>
      <c r="N37" s="713"/>
    </row>
    <row r="38" spans="3:14" ht="40.049999999999997" customHeight="1" x14ac:dyDescent="0.3">
      <c r="C38" s="707">
        <v>27</v>
      </c>
      <c r="D38" s="708"/>
      <c r="E38" s="50"/>
      <c r="F38" s="715"/>
      <c r="G38" s="715"/>
      <c r="H38" s="715"/>
      <c r="I38" s="715"/>
      <c r="J38" s="715"/>
      <c r="K38" s="715"/>
      <c r="L38" s="51"/>
      <c r="M38" s="712"/>
      <c r="N38" s="713"/>
    </row>
    <row r="39" spans="3:14" ht="40.049999999999997" customHeight="1" x14ac:dyDescent="0.3">
      <c r="C39" s="707">
        <v>28</v>
      </c>
      <c r="D39" s="708"/>
      <c r="E39" s="50"/>
      <c r="F39" s="715"/>
      <c r="G39" s="715"/>
      <c r="H39" s="715"/>
      <c r="I39" s="715"/>
      <c r="J39" s="715"/>
      <c r="K39" s="715"/>
      <c r="L39" s="51"/>
      <c r="M39" s="712"/>
      <c r="N39" s="713"/>
    </row>
    <row r="40" spans="3:14" ht="40.049999999999997" customHeight="1" x14ac:dyDescent="0.3">
      <c r="C40" s="707">
        <v>29</v>
      </c>
      <c r="D40" s="708"/>
      <c r="E40" s="50"/>
      <c r="F40" s="715"/>
      <c r="G40" s="715"/>
      <c r="H40" s="715"/>
      <c r="I40" s="715"/>
      <c r="J40" s="715"/>
      <c r="K40" s="715"/>
      <c r="L40" s="51"/>
      <c r="M40" s="712"/>
      <c r="N40" s="713"/>
    </row>
    <row r="41" spans="3:14" ht="40.049999999999997" customHeight="1" x14ac:dyDescent="0.3">
      <c r="C41" s="707">
        <v>30</v>
      </c>
      <c r="D41" s="708"/>
      <c r="E41" s="50"/>
      <c r="F41" s="715"/>
      <c r="G41" s="715"/>
      <c r="H41" s="715"/>
      <c r="I41" s="715"/>
      <c r="J41" s="715"/>
      <c r="K41" s="715"/>
      <c r="L41" s="51"/>
      <c r="M41" s="712"/>
      <c r="N41" s="713"/>
    </row>
    <row r="42" spans="3:14" ht="40.049999999999997" customHeight="1" x14ac:dyDescent="0.3">
      <c r="C42" s="707">
        <v>31</v>
      </c>
      <c r="D42" s="708"/>
      <c r="E42" s="50"/>
      <c r="F42" s="715"/>
      <c r="G42" s="715"/>
      <c r="H42" s="715"/>
      <c r="I42" s="715"/>
      <c r="J42" s="715"/>
      <c r="K42" s="715"/>
      <c r="L42" s="51"/>
      <c r="M42" s="712"/>
      <c r="N42" s="713"/>
    </row>
    <row r="43" spans="3:14" ht="40.049999999999997" customHeight="1" x14ac:dyDescent="0.3">
      <c r="C43" s="707">
        <v>32</v>
      </c>
      <c r="D43" s="708"/>
      <c r="E43" s="50"/>
      <c r="F43" s="715"/>
      <c r="G43" s="715"/>
      <c r="H43" s="715"/>
      <c r="I43" s="715"/>
      <c r="J43" s="715"/>
      <c r="K43" s="715"/>
      <c r="L43" s="51"/>
      <c r="M43" s="712"/>
      <c r="N43" s="713"/>
    </row>
    <row r="44" spans="3:14" ht="40.049999999999997" customHeight="1" x14ac:dyDescent="0.3">
      <c r="C44" s="707">
        <v>33</v>
      </c>
      <c r="D44" s="708"/>
      <c r="E44" s="50"/>
      <c r="F44" s="715"/>
      <c r="G44" s="715"/>
      <c r="H44" s="715"/>
      <c r="I44" s="715"/>
      <c r="J44" s="715"/>
      <c r="K44" s="715"/>
      <c r="L44" s="51"/>
      <c r="M44" s="712"/>
      <c r="N44" s="713"/>
    </row>
    <row r="45" spans="3:14" ht="40.049999999999997" customHeight="1" x14ac:dyDescent="0.3">
      <c r="C45" s="707">
        <v>34</v>
      </c>
      <c r="D45" s="708"/>
      <c r="E45" s="50"/>
      <c r="F45" s="715"/>
      <c r="G45" s="715"/>
      <c r="H45" s="715"/>
      <c r="I45" s="715"/>
      <c r="J45" s="715"/>
      <c r="K45" s="715"/>
      <c r="L45" s="51"/>
      <c r="M45" s="712"/>
      <c r="N45" s="713"/>
    </row>
    <row r="46" spans="3:14" ht="40.049999999999997" customHeight="1" x14ac:dyDescent="0.3">
      <c r="C46" s="707">
        <v>35</v>
      </c>
      <c r="D46" s="708"/>
      <c r="E46" s="50"/>
      <c r="F46" s="715"/>
      <c r="G46" s="715"/>
      <c r="H46" s="715"/>
      <c r="I46" s="715"/>
      <c r="J46" s="715"/>
      <c r="K46" s="715"/>
      <c r="L46" s="51"/>
      <c r="M46" s="712"/>
      <c r="N46" s="713"/>
    </row>
    <row r="47" spans="3:14" ht="40.049999999999997" customHeight="1" x14ac:dyDescent="0.3">
      <c r="C47" s="707">
        <v>36</v>
      </c>
      <c r="D47" s="708"/>
      <c r="E47" s="50"/>
      <c r="F47" s="715"/>
      <c r="G47" s="715"/>
      <c r="H47" s="715"/>
      <c r="I47" s="715"/>
      <c r="J47" s="715"/>
      <c r="K47" s="715"/>
      <c r="L47" s="51"/>
      <c r="M47" s="712"/>
      <c r="N47" s="713"/>
    </row>
    <row r="48" spans="3:14" ht="40.049999999999997" customHeight="1" x14ac:dyDescent="0.3">
      <c r="C48" s="707">
        <v>37</v>
      </c>
      <c r="D48" s="708"/>
      <c r="E48" s="50"/>
      <c r="F48" s="715"/>
      <c r="G48" s="715"/>
      <c r="H48" s="715"/>
      <c r="I48" s="715"/>
      <c r="J48" s="715"/>
      <c r="K48" s="715"/>
      <c r="L48" s="51"/>
      <c r="M48" s="712"/>
      <c r="N48" s="713"/>
    </row>
    <row r="49" spans="3:14" ht="40.049999999999997" customHeight="1" x14ac:dyDescent="0.3">
      <c r="C49" s="707">
        <v>38</v>
      </c>
      <c r="D49" s="708"/>
      <c r="E49" s="50"/>
      <c r="F49" s="715"/>
      <c r="G49" s="715"/>
      <c r="H49" s="715"/>
      <c r="I49" s="715"/>
      <c r="J49" s="715"/>
      <c r="K49" s="715"/>
      <c r="L49" s="51"/>
      <c r="M49" s="712"/>
      <c r="N49" s="713"/>
    </row>
    <row r="50" spans="3:14" ht="40.049999999999997" customHeight="1" x14ac:dyDescent="0.3">
      <c r="C50" s="707">
        <v>39</v>
      </c>
      <c r="D50" s="708"/>
      <c r="E50" s="50"/>
      <c r="F50" s="715"/>
      <c r="G50" s="715"/>
      <c r="H50" s="715"/>
      <c r="I50" s="715"/>
      <c r="J50" s="715"/>
      <c r="K50" s="715"/>
      <c r="L50" s="51"/>
      <c r="M50" s="712"/>
      <c r="N50" s="713"/>
    </row>
    <row r="51" spans="3:14" ht="40.049999999999997" customHeight="1" x14ac:dyDescent="0.3">
      <c r="C51" s="707">
        <v>40</v>
      </c>
      <c r="D51" s="708"/>
      <c r="E51" s="50"/>
      <c r="F51" s="715"/>
      <c r="G51" s="715"/>
      <c r="H51" s="715"/>
      <c r="I51" s="715"/>
      <c r="J51" s="715"/>
      <c r="K51" s="715"/>
      <c r="L51" s="51"/>
      <c r="M51" s="712"/>
      <c r="N51" s="713"/>
    </row>
    <row r="52" spans="3:14" ht="40.049999999999997" customHeight="1" x14ac:dyDescent="0.3">
      <c r="C52" s="707">
        <v>41</v>
      </c>
      <c r="D52" s="708"/>
      <c r="E52" s="50"/>
      <c r="F52" s="715"/>
      <c r="G52" s="715"/>
      <c r="H52" s="715"/>
      <c r="I52" s="715"/>
      <c r="J52" s="715"/>
      <c r="K52" s="715"/>
      <c r="L52" s="51"/>
      <c r="M52" s="712"/>
      <c r="N52" s="713"/>
    </row>
    <row r="53" spans="3:14" ht="40.049999999999997" customHeight="1" x14ac:dyDescent="0.3">
      <c r="C53" s="707">
        <v>42</v>
      </c>
      <c r="D53" s="708"/>
      <c r="E53" s="50"/>
      <c r="F53" s="715"/>
      <c r="G53" s="715"/>
      <c r="H53" s="715"/>
      <c r="I53" s="715"/>
      <c r="J53" s="715"/>
      <c r="K53" s="715"/>
      <c r="L53" s="51"/>
      <c r="M53" s="712"/>
      <c r="N53" s="713"/>
    </row>
    <row r="54" spans="3:14" ht="40.049999999999997" customHeight="1" x14ac:dyDescent="0.3">
      <c r="C54" s="707">
        <v>43</v>
      </c>
      <c r="D54" s="708"/>
      <c r="E54" s="50"/>
      <c r="F54" s="715"/>
      <c r="G54" s="715"/>
      <c r="H54" s="715"/>
      <c r="I54" s="715"/>
      <c r="J54" s="715"/>
      <c r="K54" s="715"/>
      <c r="L54" s="51"/>
      <c r="M54" s="712"/>
      <c r="N54" s="713"/>
    </row>
    <row r="55" spans="3:14" ht="40.049999999999997" customHeight="1" x14ac:dyDescent="0.3">
      <c r="C55" s="707">
        <v>44</v>
      </c>
      <c r="D55" s="708"/>
      <c r="E55" s="50"/>
      <c r="F55" s="715"/>
      <c r="G55" s="715"/>
      <c r="H55" s="715"/>
      <c r="I55" s="715"/>
      <c r="J55" s="715"/>
      <c r="K55" s="715"/>
      <c r="L55" s="51"/>
      <c r="M55" s="712"/>
      <c r="N55" s="713"/>
    </row>
    <row r="56" spans="3:14" ht="40.049999999999997" customHeight="1" x14ac:dyDescent="0.3">
      <c r="C56" s="707">
        <v>45</v>
      </c>
      <c r="D56" s="708"/>
      <c r="E56" s="50"/>
      <c r="F56" s="715"/>
      <c r="G56" s="715"/>
      <c r="H56" s="715"/>
      <c r="I56" s="715"/>
      <c r="J56" s="715"/>
      <c r="K56" s="715"/>
      <c r="L56" s="51"/>
      <c r="M56" s="712"/>
      <c r="N56" s="713"/>
    </row>
    <row r="57" spans="3:14" ht="40.049999999999997" customHeight="1" x14ac:dyDescent="0.3">
      <c r="C57" s="707">
        <v>46</v>
      </c>
      <c r="D57" s="708"/>
      <c r="E57" s="50"/>
      <c r="F57" s="715"/>
      <c r="G57" s="715"/>
      <c r="H57" s="715"/>
      <c r="I57" s="715"/>
      <c r="J57" s="715"/>
      <c r="K57" s="715"/>
      <c r="L57" s="51"/>
      <c r="M57" s="712"/>
      <c r="N57" s="713"/>
    </row>
    <row r="58" spans="3:14" ht="40.049999999999997" customHeight="1" x14ac:dyDescent="0.3">
      <c r="C58" s="707">
        <v>47</v>
      </c>
      <c r="D58" s="708"/>
      <c r="E58" s="50"/>
      <c r="F58" s="715"/>
      <c r="G58" s="715"/>
      <c r="H58" s="715"/>
      <c r="I58" s="715"/>
      <c r="J58" s="715"/>
      <c r="K58" s="715"/>
      <c r="L58" s="51"/>
      <c r="M58" s="712"/>
      <c r="N58" s="713"/>
    </row>
    <row r="59" spans="3:14" ht="40.049999999999997" customHeight="1" x14ac:dyDescent="0.3">
      <c r="C59" s="707">
        <v>48</v>
      </c>
      <c r="D59" s="708"/>
      <c r="E59" s="50"/>
      <c r="F59" s="715"/>
      <c r="G59" s="715"/>
      <c r="H59" s="715"/>
      <c r="I59" s="715"/>
      <c r="J59" s="715"/>
      <c r="K59" s="715"/>
      <c r="L59" s="51"/>
      <c r="M59" s="712"/>
      <c r="N59" s="713"/>
    </row>
    <row r="60" spans="3:14" ht="40.049999999999997" customHeight="1" thickBot="1" x14ac:dyDescent="0.3">
      <c r="C60" s="723">
        <v>49</v>
      </c>
      <c r="D60" s="724"/>
      <c r="E60" s="54"/>
      <c r="F60" s="725"/>
      <c r="G60" s="725"/>
      <c r="H60" s="725"/>
      <c r="I60" s="725"/>
      <c r="J60" s="725"/>
      <c r="K60" s="725"/>
      <c r="L60" s="55"/>
      <c r="M60" s="726"/>
      <c r="N60" s="727"/>
    </row>
    <row r="61" spans="3:14" ht="50.25" customHeight="1" thickTop="1" x14ac:dyDescent="0.25">
      <c r="C61" s="56"/>
      <c r="D61" s="721" t="s">
        <v>11</v>
      </c>
      <c r="E61" s="722"/>
      <c r="F61" s="722"/>
      <c r="G61" s="722"/>
      <c r="H61" s="722"/>
      <c r="I61" s="722"/>
      <c r="J61" s="722"/>
      <c r="K61" s="722"/>
      <c r="L61" s="722"/>
      <c r="M61" s="722"/>
      <c r="N61" s="57"/>
    </row>
  </sheetData>
  <sheetProtection algorithmName="SHA-512" hashValue="FpiJX2GrZSLd5/Df0s1OSCge/Nm+IHUXBivTF+jsJML2Ml9xCly+8P72UqFp3IGRydQLJIJjzKp6kPYRnbiZEQ==" saltValue="VE9HPkzw2hyZhOnNH82eGA==" spinCount="100000" sheet="1" objects="1" scenarios="1"/>
  <mergeCells count="166">
    <mergeCell ref="D61:M61"/>
    <mergeCell ref="C59:D59"/>
    <mergeCell ref="F59:K59"/>
    <mergeCell ref="M59:N59"/>
    <mergeCell ref="C60:D60"/>
    <mergeCell ref="F60:K60"/>
    <mergeCell ref="M60:N60"/>
    <mergeCell ref="C57:D57"/>
    <mergeCell ref="F57:K57"/>
    <mergeCell ref="M57:N57"/>
    <mergeCell ref="C58:D58"/>
    <mergeCell ref="F58:K58"/>
    <mergeCell ref="M58:N58"/>
    <mergeCell ref="C55:D55"/>
    <mergeCell ref="F55:K55"/>
    <mergeCell ref="M55:N55"/>
    <mergeCell ref="C56:D56"/>
    <mergeCell ref="F56:K56"/>
    <mergeCell ref="M56:N56"/>
    <mergeCell ref="C53:D53"/>
    <mergeCell ref="F53:K53"/>
    <mergeCell ref="M53:N53"/>
    <mergeCell ref="C54:D54"/>
    <mergeCell ref="F54:K54"/>
    <mergeCell ref="M54:N54"/>
    <mergeCell ref="C51:D51"/>
    <mergeCell ref="F51:K51"/>
    <mergeCell ref="M51:N51"/>
    <mergeCell ref="C52:D52"/>
    <mergeCell ref="F52:K52"/>
    <mergeCell ref="M52:N52"/>
    <mergeCell ref="C49:D49"/>
    <mergeCell ref="F49:K49"/>
    <mergeCell ref="M49:N49"/>
    <mergeCell ref="C50:D50"/>
    <mergeCell ref="F50:K50"/>
    <mergeCell ref="M50:N50"/>
    <mergeCell ref="C47:D47"/>
    <mergeCell ref="F47:K47"/>
    <mergeCell ref="M47:N47"/>
    <mergeCell ref="C48:D48"/>
    <mergeCell ref="F48:K48"/>
    <mergeCell ref="M48:N48"/>
    <mergeCell ref="C45:D45"/>
    <mergeCell ref="F45:K45"/>
    <mergeCell ref="M45:N45"/>
    <mergeCell ref="C46:D46"/>
    <mergeCell ref="F46:K46"/>
    <mergeCell ref="M46:N46"/>
    <mergeCell ref="C43:D43"/>
    <mergeCell ref="F43:K43"/>
    <mergeCell ref="M43:N43"/>
    <mergeCell ref="C44:D44"/>
    <mergeCell ref="F44:K44"/>
    <mergeCell ref="M44:N44"/>
    <mergeCell ref="C41:D41"/>
    <mergeCell ref="F41:K41"/>
    <mergeCell ref="M41:N41"/>
    <mergeCell ref="C42:D42"/>
    <mergeCell ref="F42:K42"/>
    <mergeCell ref="M42:N42"/>
    <mergeCell ref="C39:D39"/>
    <mergeCell ref="F39:K39"/>
    <mergeCell ref="M39:N39"/>
    <mergeCell ref="C40:D40"/>
    <mergeCell ref="F40:K40"/>
    <mergeCell ref="M40:N40"/>
    <mergeCell ref="C37:D37"/>
    <mergeCell ref="F37:K37"/>
    <mergeCell ref="M37:N37"/>
    <mergeCell ref="C38:D38"/>
    <mergeCell ref="F38:K38"/>
    <mergeCell ref="M38:N38"/>
    <mergeCell ref="C35:D35"/>
    <mergeCell ref="F35:K35"/>
    <mergeCell ref="M35:N35"/>
    <mergeCell ref="C36:D36"/>
    <mergeCell ref="F36:K36"/>
    <mergeCell ref="M36:N36"/>
    <mergeCell ref="C33:D33"/>
    <mergeCell ref="F33:K33"/>
    <mergeCell ref="M33:N33"/>
    <mergeCell ref="C34:D34"/>
    <mergeCell ref="F34:K34"/>
    <mergeCell ref="M34:N34"/>
    <mergeCell ref="C31:D31"/>
    <mergeCell ref="F31:K31"/>
    <mergeCell ref="M31:N31"/>
    <mergeCell ref="C32:D32"/>
    <mergeCell ref="F32:K32"/>
    <mergeCell ref="M32:N32"/>
    <mergeCell ref="C29:D29"/>
    <mergeCell ref="F29:K29"/>
    <mergeCell ref="M29:N29"/>
    <mergeCell ref="C30:D30"/>
    <mergeCell ref="F30:K30"/>
    <mergeCell ref="M30:N30"/>
    <mergeCell ref="C27:D27"/>
    <mergeCell ref="F27:K27"/>
    <mergeCell ref="M27:N27"/>
    <mergeCell ref="C28:D28"/>
    <mergeCell ref="F28:K28"/>
    <mergeCell ref="M28:N28"/>
    <mergeCell ref="C25:D25"/>
    <mergeCell ref="F25:K25"/>
    <mergeCell ref="M25:N25"/>
    <mergeCell ref="C26:D26"/>
    <mergeCell ref="F26:K26"/>
    <mergeCell ref="M26:N26"/>
    <mergeCell ref="C23:D23"/>
    <mergeCell ref="F23:K23"/>
    <mergeCell ref="M23:N23"/>
    <mergeCell ref="C24:D24"/>
    <mergeCell ref="F24:K24"/>
    <mergeCell ref="M24:N24"/>
    <mergeCell ref="C21:D21"/>
    <mergeCell ref="F21:K21"/>
    <mergeCell ref="M21:N21"/>
    <mergeCell ref="C22:D22"/>
    <mergeCell ref="F22:K22"/>
    <mergeCell ref="M22:N22"/>
    <mergeCell ref="C19:D19"/>
    <mergeCell ref="F19:K19"/>
    <mergeCell ref="M19:N19"/>
    <mergeCell ref="C20:D20"/>
    <mergeCell ref="F20:K20"/>
    <mergeCell ref="M20:N20"/>
    <mergeCell ref="C17:D17"/>
    <mergeCell ref="F17:K17"/>
    <mergeCell ref="M17:N17"/>
    <mergeCell ref="C18:D18"/>
    <mergeCell ref="F18:K18"/>
    <mergeCell ref="M18:N18"/>
    <mergeCell ref="C15:D15"/>
    <mergeCell ref="F15:K15"/>
    <mergeCell ref="M15:N15"/>
    <mergeCell ref="C16:D16"/>
    <mergeCell ref="F16:K16"/>
    <mergeCell ref="M16:N16"/>
    <mergeCell ref="C13:D13"/>
    <mergeCell ref="F13:K13"/>
    <mergeCell ref="M13:N13"/>
    <mergeCell ref="C14:D14"/>
    <mergeCell ref="F14:K14"/>
    <mergeCell ref="M14:N14"/>
    <mergeCell ref="M11:N11"/>
    <mergeCell ref="C12:D12"/>
    <mergeCell ref="F12:K12"/>
    <mergeCell ref="M12:N12"/>
    <mergeCell ref="F7:G7"/>
    <mergeCell ref="I7:J7"/>
    <mergeCell ref="D8:E8"/>
    <mergeCell ref="F8:G8"/>
    <mergeCell ref="I8:J8"/>
    <mergeCell ref="F9:G9"/>
    <mergeCell ref="I9:J9"/>
    <mergeCell ref="D4:E4"/>
    <mergeCell ref="F4:G4"/>
    <mergeCell ref="I4:J4"/>
    <mergeCell ref="F5:G5"/>
    <mergeCell ref="I5:J5"/>
    <mergeCell ref="D6:E6"/>
    <mergeCell ref="F6:G6"/>
    <mergeCell ref="I6:J6"/>
    <mergeCell ref="C11:D11"/>
    <mergeCell ref="F11:K11"/>
  </mergeCells>
  <printOptions horizontalCentered="1"/>
  <pageMargins left="0.15748031496062992" right="0.15748031496062992" top="0.59055118110236227" bottom="0.39370078740157483" header="0.51181102362204722" footer="0.51181102362204722"/>
  <pageSetup paperSize="9" scale="60" orientation="portrait" r:id="rId1"/>
  <headerFooter alignWithMargins="0">
    <oddFooter>&amp;LFM-HSS-W01-01&amp;CJanuary 2020&amp;RRev 17.0</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6F03-497D-4BB2-A3EF-455DB6EC1788}">
  <sheetPr codeName="Sheet4">
    <tabColor indexed="45"/>
  </sheetPr>
  <dimension ref="B1:H154"/>
  <sheetViews>
    <sheetView showGridLines="0" zoomScaleNormal="100" workbookViewId="0">
      <selection activeCell="F53" sqref="F53"/>
    </sheetView>
  </sheetViews>
  <sheetFormatPr defaultColWidth="8.77734375" defaultRowHeight="13.2" x14ac:dyDescent="0.25"/>
  <cols>
    <col min="1" max="2" width="2.6640625" customWidth="1"/>
    <col min="3" max="3" width="24.44140625" customWidth="1"/>
    <col min="4" max="4" width="18.44140625" customWidth="1"/>
    <col min="5" max="5" width="19.6640625" customWidth="1"/>
    <col min="6" max="6" width="11.44140625" customWidth="1"/>
    <col min="7" max="7" width="11.109375" customWidth="1"/>
    <col min="8" max="8" width="3" customWidth="1"/>
    <col min="9" max="9" width="7.109375" customWidth="1"/>
  </cols>
  <sheetData>
    <row r="1" spans="2:8" ht="15.6" x14ac:dyDescent="0.25">
      <c r="C1" s="840" t="s">
        <v>12</v>
      </c>
      <c r="D1" s="841"/>
      <c r="E1" s="841"/>
      <c r="F1" s="841"/>
      <c r="G1" s="841"/>
    </row>
    <row r="2" spans="2:8" ht="13.8" x14ac:dyDescent="0.25">
      <c r="C2" s="842" t="s">
        <v>13</v>
      </c>
      <c r="D2" s="842"/>
      <c r="E2" s="842"/>
      <c r="F2" s="842"/>
      <c r="G2" s="842"/>
    </row>
    <row r="3" spans="2:8" ht="96" hidden="1" customHeight="1" thickBot="1" x14ac:dyDescent="0.3">
      <c r="B3" s="58"/>
      <c r="C3" s="843" t="s">
        <v>14</v>
      </c>
      <c r="D3" s="843"/>
      <c r="E3" s="843"/>
      <c r="F3" s="843"/>
      <c r="G3" s="843"/>
      <c r="H3" s="59"/>
    </row>
    <row r="4" spans="2:8" ht="96" hidden="1" customHeight="1" x14ac:dyDescent="0.25">
      <c r="B4" s="60"/>
      <c r="C4" s="61"/>
      <c r="D4" s="61"/>
      <c r="E4" s="61"/>
      <c r="F4" s="61"/>
      <c r="G4" s="61"/>
      <c r="H4" s="60"/>
    </row>
    <row r="5" spans="2:8" ht="14.4" thickBot="1" x14ac:dyDescent="0.35">
      <c r="C5" s="62"/>
      <c r="D5" s="62"/>
      <c r="E5" s="62"/>
      <c r="F5" s="62"/>
      <c r="G5" s="62"/>
    </row>
    <row r="6" spans="2:8" ht="8.25" customHeight="1" thickBot="1" x14ac:dyDescent="0.35">
      <c r="B6" s="63"/>
      <c r="C6" s="64"/>
      <c r="D6" s="64"/>
      <c r="E6" s="64"/>
      <c r="F6" s="64"/>
      <c r="G6" s="64"/>
      <c r="H6" s="65"/>
    </row>
    <row r="7" spans="2:8" ht="18" customHeight="1" x14ac:dyDescent="0.3">
      <c r="B7" s="66"/>
      <c r="C7" s="67" t="s">
        <v>15</v>
      </c>
      <c r="D7" s="805" t="s">
        <v>830</v>
      </c>
      <c r="E7" s="806"/>
      <c r="F7" s="806"/>
      <c r="G7" s="807"/>
      <c r="H7" s="68"/>
    </row>
    <row r="8" spans="2:8" ht="18" customHeight="1" x14ac:dyDescent="0.3">
      <c r="B8" s="66"/>
      <c r="C8" s="67" t="s">
        <v>16</v>
      </c>
      <c r="D8" s="808" t="s">
        <v>850</v>
      </c>
      <c r="E8" s="809"/>
      <c r="F8" s="809"/>
      <c r="G8" s="810"/>
      <c r="H8" s="68"/>
    </row>
    <row r="9" spans="2:8" ht="18" customHeight="1" x14ac:dyDescent="0.3">
      <c r="B9" s="66"/>
      <c r="C9" s="67" t="s">
        <v>17</v>
      </c>
      <c r="D9" s="808" t="s">
        <v>18</v>
      </c>
      <c r="E9" s="809"/>
      <c r="F9" s="809"/>
      <c r="G9" s="810"/>
      <c r="H9" s="68"/>
    </row>
    <row r="10" spans="2:8" ht="18" customHeight="1" x14ac:dyDescent="0.3">
      <c r="B10" s="66"/>
      <c r="C10" s="67" t="s">
        <v>19</v>
      </c>
      <c r="D10" s="808" t="s">
        <v>831</v>
      </c>
      <c r="E10" s="809"/>
      <c r="F10" s="809"/>
      <c r="G10" s="810"/>
      <c r="H10" s="68"/>
    </row>
    <row r="11" spans="2:8" ht="18" customHeight="1" x14ac:dyDescent="0.3">
      <c r="B11" s="66"/>
      <c r="C11" s="67" t="s">
        <v>20</v>
      </c>
      <c r="D11" s="808" t="s">
        <v>832</v>
      </c>
      <c r="E11" s="809"/>
      <c r="F11" s="809"/>
      <c r="G11" s="810"/>
      <c r="H11" s="68"/>
    </row>
    <row r="12" spans="2:8" ht="18" customHeight="1" x14ac:dyDescent="0.3">
      <c r="B12" s="66"/>
      <c r="C12" s="67" t="s">
        <v>21</v>
      </c>
      <c r="D12" s="824" t="s">
        <v>840</v>
      </c>
      <c r="E12" s="825"/>
      <c r="F12" s="825"/>
      <c r="G12" s="826"/>
      <c r="H12" s="68"/>
    </row>
    <row r="13" spans="2:8" ht="18" customHeight="1" x14ac:dyDescent="0.3">
      <c r="B13" s="66"/>
      <c r="C13" s="67" t="s">
        <v>22</v>
      </c>
      <c r="D13" s="827">
        <v>15000000</v>
      </c>
      <c r="E13" s="828"/>
      <c r="F13" s="828"/>
      <c r="G13" s="829"/>
      <c r="H13" s="68"/>
    </row>
    <row r="14" spans="2:8" ht="18" customHeight="1" thickBot="1" x14ac:dyDescent="0.35">
      <c r="B14" s="66"/>
      <c r="C14" s="69" t="s">
        <v>23</v>
      </c>
      <c r="D14" s="830" t="s">
        <v>833</v>
      </c>
      <c r="E14" s="831"/>
      <c r="F14" s="831"/>
      <c r="G14" s="832"/>
      <c r="H14" s="68"/>
    </row>
    <row r="15" spans="2:8" ht="9" customHeight="1" thickBot="1" x14ac:dyDescent="0.35">
      <c r="B15" s="66"/>
      <c r="C15" s="69"/>
      <c r="D15" s="70"/>
      <c r="E15" s="70"/>
      <c r="F15" s="70"/>
      <c r="G15" s="70"/>
      <c r="H15" s="68"/>
    </row>
    <row r="16" spans="2:8" ht="18" customHeight="1" x14ac:dyDescent="0.3">
      <c r="B16" s="66"/>
      <c r="C16" s="67" t="s">
        <v>25</v>
      </c>
      <c r="D16" s="833" t="s">
        <v>851</v>
      </c>
      <c r="E16" s="834"/>
      <c r="F16" s="70"/>
      <c r="G16" s="70"/>
      <c r="H16" s="68"/>
    </row>
    <row r="17" spans="2:8" ht="18" customHeight="1" thickBot="1" x14ac:dyDescent="0.35">
      <c r="B17" s="66"/>
      <c r="C17" s="67" t="s">
        <v>26</v>
      </c>
      <c r="D17" s="835" t="s">
        <v>834</v>
      </c>
      <c r="E17" s="836"/>
      <c r="F17" s="70"/>
      <c r="G17" s="70"/>
      <c r="H17" s="68"/>
    </row>
    <row r="18" spans="2:8" ht="5.25" customHeight="1" thickBot="1" x14ac:dyDescent="0.35">
      <c r="B18" s="71"/>
      <c r="C18" s="72"/>
      <c r="D18" s="72"/>
      <c r="E18" s="72"/>
      <c r="F18" s="72"/>
      <c r="G18" s="72"/>
      <c r="H18" s="73"/>
    </row>
    <row r="19" spans="2:8" ht="5.25" customHeight="1" x14ac:dyDescent="0.3">
      <c r="B19" s="62"/>
      <c r="C19" s="62"/>
      <c r="D19" s="62"/>
      <c r="E19" s="62"/>
      <c r="F19" s="62"/>
      <c r="G19" s="62"/>
    </row>
    <row r="20" spans="2:8" ht="5.25" customHeight="1" x14ac:dyDescent="0.3">
      <c r="B20" s="62"/>
      <c r="C20" s="62"/>
      <c r="D20" s="62"/>
      <c r="E20" s="62"/>
      <c r="F20" s="62"/>
      <c r="G20" s="62"/>
    </row>
    <row r="21" spans="2:8" ht="9.75" customHeight="1" x14ac:dyDescent="0.3">
      <c r="B21" s="62"/>
      <c r="C21" s="62"/>
      <c r="D21" s="62"/>
      <c r="E21" s="62"/>
      <c r="F21" s="62"/>
      <c r="G21" s="62"/>
    </row>
    <row r="22" spans="2:8" ht="10.5" customHeight="1" thickBot="1" x14ac:dyDescent="0.35">
      <c r="B22" s="62"/>
      <c r="C22" s="62"/>
      <c r="D22" s="62"/>
      <c r="E22" s="62"/>
      <c r="F22" s="62"/>
      <c r="G22" s="62"/>
    </row>
    <row r="23" spans="2:8" ht="7.5" customHeight="1" thickBot="1" x14ac:dyDescent="0.35">
      <c r="B23" s="63"/>
      <c r="C23" s="64"/>
      <c r="D23" s="64"/>
      <c r="E23" s="64"/>
      <c r="F23" s="64"/>
      <c r="G23" s="64"/>
      <c r="H23" s="65"/>
    </row>
    <row r="24" spans="2:8" ht="18" customHeight="1" x14ac:dyDescent="0.3">
      <c r="B24" s="66"/>
      <c r="C24" s="67" t="s">
        <v>27</v>
      </c>
      <c r="D24" s="805" t="s">
        <v>852</v>
      </c>
      <c r="E24" s="806"/>
      <c r="F24" s="806"/>
      <c r="G24" s="807"/>
      <c r="H24" s="68"/>
    </row>
    <row r="25" spans="2:8" ht="18" customHeight="1" thickBot="1" x14ac:dyDescent="0.35">
      <c r="B25" s="66"/>
      <c r="C25" s="67" t="s">
        <v>28</v>
      </c>
      <c r="D25" s="813" t="s">
        <v>835</v>
      </c>
      <c r="E25" s="814"/>
      <c r="F25" s="814"/>
      <c r="G25" s="815"/>
      <c r="H25" s="68"/>
    </row>
    <row r="26" spans="2:8" ht="17.25" customHeight="1" x14ac:dyDescent="0.3">
      <c r="B26" s="66"/>
      <c r="C26" s="70" t="s">
        <v>30</v>
      </c>
      <c r="D26" s="70"/>
      <c r="E26" s="70"/>
      <c r="F26" s="70"/>
      <c r="G26" s="70"/>
      <c r="H26" s="68"/>
    </row>
    <row r="27" spans="2:8" ht="6" customHeight="1" thickBot="1" x14ac:dyDescent="0.35">
      <c r="B27" s="66"/>
      <c r="C27" s="70"/>
      <c r="D27" s="70"/>
      <c r="E27" s="70"/>
      <c r="F27" s="70"/>
      <c r="G27" s="70"/>
      <c r="H27" s="68"/>
    </row>
    <row r="28" spans="2:8" ht="18" customHeight="1" x14ac:dyDescent="0.3">
      <c r="B28" s="66"/>
      <c r="C28" s="805" t="s">
        <v>845</v>
      </c>
      <c r="D28" s="837"/>
      <c r="E28" s="838"/>
      <c r="F28" s="838"/>
      <c r="G28" s="839"/>
      <c r="H28" s="68"/>
    </row>
    <row r="29" spans="2:8" ht="18" customHeight="1" x14ac:dyDescent="0.3">
      <c r="B29" s="66"/>
      <c r="C29" s="808" t="s">
        <v>32</v>
      </c>
      <c r="D29" s="844"/>
      <c r="E29" s="818"/>
      <c r="F29" s="818"/>
      <c r="G29" s="819"/>
      <c r="H29" s="68"/>
    </row>
    <row r="30" spans="2:8" ht="18" customHeight="1" x14ac:dyDescent="0.3">
      <c r="B30" s="66"/>
      <c r="C30" s="808" t="s">
        <v>31</v>
      </c>
      <c r="D30" s="844"/>
      <c r="E30" s="818"/>
      <c r="F30" s="818"/>
      <c r="G30" s="819"/>
      <c r="H30" s="68"/>
    </row>
    <row r="31" spans="2:8" ht="18" customHeight="1" x14ac:dyDescent="0.3">
      <c r="B31" s="66"/>
      <c r="C31" s="808" t="s">
        <v>846</v>
      </c>
      <c r="D31" s="844"/>
      <c r="E31" s="818"/>
      <c r="F31" s="818"/>
      <c r="G31" s="819"/>
      <c r="H31" s="68"/>
    </row>
    <row r="32" spans="2:8" ht="18" customHeight="1" thickBot="1" x14ac:dyDescent="0.35">
      <c r="B32" s="66"/>
      <c r="C32" s="813" t="s">
        <v>847</v>
      </c>
      <c r="D32" s="823"/>
      <c r="E32" s="818"/>
      <c r="F32" s="818"/>
      <c r="G32" s="819"/>
      <c r="H32" s="68"/>
    </row>
    <row r="33" spans="2:8" ht="18" customHeight="1" x14ac:dyDescent="0.3">
      <c r="B33" s="66"/>
      <c r="C33" s="817" t="s">
        <v>848</v>
      </c>
      <c r="D33" s="818"/>
      <c r="E33" s="818"/>
      <c r="F33" s="818"/>
      <c r="G33" s="819"/>
      <c r="H33" s="68"/>
    </row>
    <row r="34" spans="2:8" ht="18" customHeight="1" x14ac:dyDescent="0.3">
      <c r="B34" s="66"/>
      <c r="C34" s="817" t="s">
        <v>849</v>
      </c>
      <c r="D34" s="818"/>
      <c r="E34" s="818"/>
      <c r="F34" s="818"/>
      <c r="G34" s="819"/>
      <c r="H34" s="68"/>
    </row>
    <row r="35" spans="2:8" ht="18" customHeight="1" thickBot="1" x14ac:dyDescent="0.35">
      <c r="B35" s="66"/>
      <c r="C35" s="820"/>
      <c r="D35" s="821"/>
      <c r="E35" s="821"/>
      <c r="F35" s="821"/>
      <c r="G35" s="822"/>
      <c r="H35" s="68"/>
    </row>
    <row r="36" spans="2:8" ht="9" customHeight="1" thickBot="1" x14ac:dyDescent="0.35">
      <c r="B36" s="66"/>
      <c r="C36" s="70"/>
      <c r="D36" s="70"/>
      <c r="E36" s="70"/>
      <c r="F36" s="70"/>
      <c r="G36" s="70"/>
      <c r="H36" s="68"/>
    </row>
    <row r="37" spans="2:8" ht="18" customHeight="1" x14ac:dyDescent="0.25">
      <c r="B37" s="74"/>
      <c r="C37" s="67" t="s">
        <v>33</v>
      </c>
      <c r="D37" s="805" t="s">
        <v>34</v>
      </c>
      <c r="E37" s="806"/>
      <c r="F37" s="806"/>
      <c r="G37" s="807"/>
      <c r="H37" s="68"/>
    </row>
    <row r="38" spans="2:8" ht="18" customHeight="1" x14ac:dyDescent="0.25">
      <c r="B38" s="74"/>
      <c r="C38" s="67" t="s">
        <v>35</v>
      </c>
      <c r="D38" s="808" t="s">
        <v>837</v>
      </c>
      <c r="E38" s="809"/>
      <c r="F38" s="809"/>
      <c r="G38" s="810"/>
      <c r="H38" s="68"/>
    </row>
    <row r="39" spans="2:8" ht="18" customHeight="1" x14ac:dyDescent="0.25">
      <c r="B39" s="811" t="s">
        <v>36</v>
      </c>
      <c r="C39" s="812"/>
      <c r="D39" s="808" t="s">
        <v>29</v>
      </c>
      <c r="E39" s="809"/>
      <c r="F39" s="809"/>
      <c r="G39" s="810"/>
      <c r="H39" s="68"/>
    </row>
    <row r="40" spans="2:8" ht="18" customHeight="1" x14ac:dyDescent="0.25">
      <c r="B40" s="74"/>
      <c r="C40" s="67" t="s">
        <v>37</v>
      </c>
      <c r="D40" s="808" t="s">
        <v>841</v>
      </c>
      <c r="E40" s="809"/>
      <c r="F40" s="809"/>
      <c r="G40" s="810"/>
      <c r="H40" s="68"/>
    </row>
    <row r="41" spans="2:8" ht="18" customHeight="1" x14ac:dyDescent="0.25">
      <c r="B41" s="74"/>
      <c r="C41" s="67" t="s">
        <v>38</v>
      </c>
      <c r="D41" s="808" t="s">
        <v>39</v>
      </c>
      <c r="E41" s="809"/>
      <c r="F41" s="809"/>
      <c r="G41" s="810"/>
      <c r="H41" s="68"/>
    </row>
    <row r="42" spans="2:8" ht="18" customHeight="1" thickBot="1" x14ac:dyDescent="0.3">
      <c r="B42" s="811" t="s">
        <v>40</v>
      </c>
      <c r="C42" s="812"/>
      <c r="D42" s="813" t="s">
        <v>29</v>
      </c>
      <c r="E42" s="814"/>
      <c r="F42" s="814"/>
      <c r="G42" s="815"/>
      <c r="H42" s="68"/>
    </row>
    <row r="43" spans="2:8" ht="7.5" customHeight="1" thickBot="1" x14ac:dyDescent="0.35">
      <c r="B43" s="71"/>
      <c r="C43" s="72"/>
      <c r="D43" s="72"/>
      <c r="E43" s="72"/>
      <c r="F43" s="72"/>
      <c r="G43" s="72"/>
      <c r="H43" s="73"/>
    </row>
    <row r="44" spans="2:8" ht="13.8" x14ac:dyDescent="0.3">
      <c r="B44" s="62"/>
      <c r="C44" s="62"/>
      <c r="D44" s="62"/>
      <c r="E44" s="62"/>
      <c r="F44" s="62"/>
      <c r="G44" s="62"/>
    </row>
    <row r="45" spans="2:8" ht="13.8" x14ac:dyDescent="0.3">
      <c r="B45" s="62"/>
      <c r="C45" s="62"/>
      <c r="D45" s="62"/>
      <c r="E45" s="62"/>
      <c r="F45" s="62"/>
      <c r="G45" s="62"/>
    </row>
    <row r="46" spans="2:8" ht="14.4" thickBot="1" x14ac:dyDescent="0.35">
      <c r="B46" s="62"/>
      <c r="C46" s="62"/>
      <c r="D46" s="62"/>
      <c r="E46" s="62"/>
      <c r="F46" s="62"/>
      <c r="G46" s="62"/>
    </row>
    <row r="47" spans="2:8" ht="13.8" x14ac:dyDescent="0.3">
      <c r="B47" s="63"/>
      <c r="C47" s="75" t="s">
        <v>41</v>
      </c>
      <c r="D47" s="64"/>
      <c r="E47" s="64"/>
      <c r="F47" s="76" t="s">
        <v>42</v>
      </c>
      <c r="G47" s="64"/>
      <c r="H47" s="65"/>
    </row>
    <row r="48" spans="2:8" ht="3.75" customHeight="1" thickBot="1" x14ac:dyDescent="0.35">
      <c r="B48" s="66"/>
      <c r="C48" s="70"/>
      <c r="D48" s="70"/>
      <c r="E48" s="70"/>
      <c r="F48" s="72"/>
      <c r="G48" s="70"/>
      <c r="H48" s="68"/>
    </row>
    <row r="49" spans="2:8" ht="18" customHeight="1" x14ac:dyDescent="0.3">
      <c r="B49" s="66"/>
      <c r="C49" s="803" t="s">
        <v>43</v>
      </c>
      <c r="D49" s="803"/>
      <c r="E49" s="804"/>
      <c r="F49" s="78">
        <v>85</v>
      </c>
      <c r="G49" s="70"/>
      <c r="H49" s="68"/>
    </row>
    <row r="50" spans="2:8" ht="18" customHeight="1" thickBot="1" x14ac:dyDescent="0.35">
      <c r="B50" s="66"/>
      <c r="C50" s="803" t="s">
        <v>44</v>
      </c>
      <c r="D50" s="816"/>
      <c r="E50" s="804"/>
      <c r="F50" s="79">
        <v>90</v>
      </c>
      <c r="G50" s="70"/>
      <c r="H50" s="68"/>
    </row>
    <row r="51" spans="2:8" ht="18" customHeight="1" thickBot="1" x14ac:dyDescent="0.35">
      <c r="B51" s="66"/>
      <c r="C51" s="77"/>
      <c r="D51" s="77"/>
      <c r="E51" s="77"/>
      <c r="F51" s="77"/>
      <c r="G51" s="70"/>
      <c r="H51" s="68"/>
    </row>
    <row r="52" spans="2:8" ht="18" customHeight="1" x14ac:dyDescent="0.3">
      <c r="B52" s="66"/>
      <c r="C52" s="803" t="s">
        <v>45</v>
      </c>
      <c r="D52" s="804"/>
      <c r="E52" s="804"/>
      <c r="F52" s="80">
        <v>40</v>
      </c>
      <c r="G52" s="70"/>
      <c r="H52" s="68"/>
    </row>
    <row r="53" spans="2:8" ht="18" customHeight="1" thickBot="1" x14ac:dyDescent="0.35">
      <c r="B53" s="66"/>
      <c r="C53" s="803" t="s">
        <v>46</v>
      </c>
      <c r="D53" s="804"/>
      <c r="E53" s="804"/>
      <c r="F53" s="79">
        <v>9</v>
      </c>
      <c r="G53" s="70"/>
      <c r="H53" s="68"/>
    </row>
    <row r="54" spans="2:8" ht="13.8" x14ac:dyDescent="0.3">
      <c r="B54" s="66"/>
      <c r="C54" s="70"/>
      <c r="D54" s="70"/>
      <c r="E54" s="70"/>
      <c r="F54" s="70"/>
      <c r="G54" s="70"/>
      <c r="H54" s="68"/>
    </row>
    <row r="55" spans="2:8" ht="13.8" x14ac:dyDescent="0.3">
      <c r="B55" s="66"/>
      <c r="C55" s="70"/>
      <c r="D55" s="70"/>
      <c r="E55" s="70"/>
      <c r="F55" s="70"/>
      <c r="G55" s="70"/>
      <c r="H55" s="68"/>
    </row>
    <row r="56" spans="2:8" ht="13.8" x14ac:dyDescent="0.3">
      <c r="B56" s="66"/>
      <c r="C56" s="784" t="s">
        <v>47</v>
      </c>
      <c r="D56" s="785"/>
      <c r="E56" s="785"/>
      <c r="F56" s="81"/>
      <c r="G56" s="81"/>
      <c r="H56" s="68"/>
    </row>
    <row r="57" spans="2:8" ht="15" customHeight="1" thickBot="1" x14ac:dyDescent="0.35">
      <c r="B57" s="66"/>
      <c r="C57" s="786" t="s">
        <v>48</v>
      </c>
      <c r="D57" s="787"/>
      <c r="E57" s="787"/>
      <c r="F57" s="82" t="s">
        <v>42</v>
      </c>
      <c r="G57" s="81"/>
      <c r="H57" s="68"/>
    </row>
    <row r="58" spans="2:8" ht="18" customHeight="1" x14ac:dyDescent="0.3">
      <c r="B58" s="66"/>
      <c r="C58" s="788"/>
      <c r="D58" s="789"/>
      <c r="E58" s="790"/>
      <c r="F58" s="83"/>
      <c r="G58" s="70"/>
      <c r="H58" s="68"/>
    </row>
    <row r="59" spans="2:8" ht="18" customHeight="1" x14ac:dyDescent="0.3">
      <c r="B59" s="66"/>
      <c r="C59" s="791"/>
      <c r="D59" s="792"/>
      <c r="E59" s="793"/>
      <c r="F59" s="84"/>
      <c r="G59" s="70"/>
      <c r="H59" s="68"/>
    </row>
    <row r="60" spans="2:8" ht="18" customHeight="1" x14ac:dyDescent="0.3">
      <c r="B60" s="66"/>
      <c r="C60" s="791"/>
      <c r="D60" s="792"/>
      <c r="E60" s="793"/>
      <c r="F60" s="85"/>
      <c r="G60" s="70"/>
      <c r="H60" s="68"/>
    </row>
    <row r="61" spans="2:8" ht="18" customHeight="1" x14ac:dyDescent="0.3">
      <c r="B61" s="66"/>
      <c r="C61" s="791"/>
      <c r="D61" s="792"/>
      <c r="E61" s="793"/>
      <c r="F61" s="85"/>
      <c r="G61" s="70"/>
      <c r="H61" s="68"/>
    </row>
    <row r="62" spans="2:8" ht="18" customHeight="1" x14ac:dyDescent="0.3">
      <c r="B62" s="66"/>
      <c r="C62" s="791"/>
      <c r="D62" s="794"/>
      <c r="E62" s="795"/>
      <c r="F62" s="85"/>
      <c r="G62" s="70"/>
      <c r="H62" s="68"/>
    </row>
    <row r="63" spans="2:8" ht="18" customHeight="1" thickBot="1" x14ac:dyDescent="0.35">
      <c r="B63" s="66"/>
      <c r="C63" s="796"/>
      <c r="D63" s="797"/>
      <c r="E63" s="798"/>
      <c r="F63" s="86"/>
      <c r="G63" s="70"/>
      <c r="H63" s="68"/>
    </row>
    <row r="64" spans="2:8" ht="18" customHeight="1" x14ac:dyDescent="0.3">
      <c r="B64" s="66"/>
      <c r="C64" s="70"/>
      <c r="D64" s="70"/>
      <c r="E64" s="70"/>
      <c r="F64" s="70"/>
      <c r="G64" s="70"/>
      <c r="H64" s="68"/>
    </row>
    <row r="65" spans="2:8" ht="18" customHeight="1" x14ac:dyDescent="0.3">
      <c r="B65" s="66"/>
      <c r="C65" s="784" t="s">
        <v>49</v>
      </c>
      <c r="D65" s="784"/>
      <c r="E65" s="784"/>
      <c r="F65" s="87" t="s">
        <v>42</v>
      </c>
      <c r="G65" s="70"/>
      <c r="H65" s="68"/>
    </row>
    <row r="66" spans="2:8" ht="6" customHeight="1" thickBot="1" x14ac:dyDescent="0.3">
      <c r="B66" s="88"/>
      <c r="C66" s="89"/>
      <c r="D66" s="89"/>
      <c r="E66" s="89"/>
      <c r="F66" s="90"/>
      <c r="G66" s="60"/>
      <c r="H66" s="68"/>
    </row>
    <row r="67" spans="2:8" ht="22.5" customHeight="1" x14ac:dyDescent="0.25">
      <c r="B67" s="88"/>
      <c r="C67" s="799"/>
      <c r="D67" s="800"/>
      <c r="E67" s="800"/>
      <c r="F67" s="624"/>
      <c r="G67" s="60"/>
      <c r="H67" s="68"/>
    </row>
    <row r="68" spans="2:8" ht="22.5" customHeight="1" x14ac:dyDescent="0.25">
      <c r="B68" s="88"/>
      <c r="C68" s="801"/>
      <c r="D68" s="802"/>
      <c r="E68" s="802"/>
      <c r="F68" s="91"/>
      <c r="G68" s="60"/>
      <c r="H68" s="68"/>
    </row>
    <row r="69" spans="2:8" ht="22.5" customHeight="1" thickBot="1" x14ac:dyDescent="0.3">
      <c r="B69" s="88"/>
      <c r="C69" s="782"/>
      <c r="D69" s="783"/>
      <c r="E69" s="783"/>
      <c r="F69" s="92"/>
      <c r="G69" s="60"/>
      <c r="H69" s="68"/>
    </row>
    <row r="70" spans="2:8" ht="13.8" thickBot="1" x14ac:dyDescent="0.3">
      <c r="B70" s="93"/>
      <c r="C70" s="94"/>
      <c r="D70" s="94"/>
      <c r="E70" s="94"/>
      <c r="F70" s="94"/>
      <c r="G70" s="94"/>
      <c r="H70" s="73"/>
    </row>
    <row r="72" spans="2:8" ht="8.25" hidden="1" customHeight="1" x14ac:dyDescent="0.25">
      <c r="B72" s="95"/>
      <c r="C72" s="96"/>
      <c r="D72" s="96"/>
      <c r="E72" s="96"/>
      <c r="F72" s="96"/>
      <c r="G72" s="96"/>
      <c r="H72" s="65"/>
    </row>
    <row r="73" spans="2:8" ht="10.5" hidden="1" customHeight="1" x14ac:dyDescent="0.25">
      <c r="B73" s="88"/>
      <c r="C73" s="765" t="s">
        <v>50</v>
      </c>
      <c r="D73" s="766"/>
      <c r="E73" s="60"/>
      <c r="F73" s="60"/>
      <c r="G73" s="60"/>
      <c r="H73" s="68"/>
    </row>
    <row r="74" spans="2:8" ht="6.75" hidden="1" customHeight="1" thickBot="1" x14ac:dyDescent="0.3">
      <c r="B74" s="88"/>
      <c r="C74" s="60"/>
      <c r="D74" s="60"/>
      <c r="E74" s="60"/>
      <c r="F74" s="60"/>
      <c r="G74" s="60"/>
      <c r="H74" s="68"/>
    </row>
    <row r="75" spans="2:8" ht="15" hidden="1" customHeight="1" thickBot="1" x14ac:dyDescent="0.3">
      <c r="B75" s="88"/>
      <c r="C75" s="97" t="s">
        <v>51</v>
      </c>
      <c r="D75" s="98"/>
      <c r="E75" s="767" t="s">
        <v>52</v>
      </c>
      <c r="F75" s="767"/>
      <c r="G75" s="98">
        <f>'Project KPI''s'!E6</f>
        <v>0</v>
      </c>
      <c r="H75" s="68"/>
    </row>
    <row r="76" spans="2:8" ht="9.75" hidden="1" customHeight="1" thickBot="1" x14ac:dyDescent="0.3">
      <c r="B76" s="88"/>
      <c r="C76" s="60"/>
      <c r="D76" s="60"/>
      <c r="E76" s="60"/>
      <c r="F76" s="60"/>
      <c r="G76" s="60"/>
      <c r="H76" s="68"/>
    </row>
    <row r="77" spans="2:8" ht="15" hidden="1" customHeight="1" thickBot="1" x14ac:dyDescent="0.3">
      <c r="B77" s="88"/>
      <c r="C77" s="97" t="s">
        <v>53</v>
      </c>
      <c r="D77" s="99"/>
      <c r="E77" s="768" t="s">
        <v>54</v>
      </c>
      <c r="F77" s="769"/>
      <c r="G77" s="100"/>
      <c r="H77" s="68"/>
    </row>
    <row r="78" spans="2:8" ht="15" hidden="1" customHeight="1" thickBot="1" x14ac:dyDescent="0.3">
      <c r="B78" s="88"/>
      <c r="C78" s="97"/>
      <c r="D78" s="101"/>
      <c r="E78" s="97"/>
      <c r="F78" s="97"/>
      <c r="G78" s="102"/>
      <c r="H78" s="68"/>
    </row>
    <row r="79" spans="2:8" ht="15" hidden="1" customHeight="1" thickBot="1" x14ac:dyDescent="0.3">
      <c r="B79" s="88"/>
      <c r="C79" s="97" t="s">
        <v>55</v>
      </c>
      <c r="D79" s="99"/>
      <c r="E79" s="767" t="s">
        <v>56</v>
      </c>
      <c r="F79" s="767"/>
      <c r="G79" s="100"/>
      <c r="H79" s="68"/>
    </row>
    <row r="80" spans="2:8" ht="13.8" hidden="1" thickBot="1" x14ac:dyDescent="0.3">
      <c r="B80" s="93"/>
      <c r="C80" s="94"/>
      <c r="D80" s="94"/>
      <c r="E80" s="94"/>
      <c r="F80" s="94"/>
      <c r="G80" s="94"/>
      <c r="H80" s="73"/>
    </row>
    <row r="82" spans="2:8" ht="13.8" thickBot="1" x14ac:dyDescent="0.3"/>
    <row r="83" spans="2:8" x14ac:dyDescent="0.25">
      <c r="B83" s="95"/>
      <c r="C83" s="96"/>
      <c r="D83" s="96"/>
      <c r="E83" s="96"/>
      <c r="F83" s="96"/>
      <c r="G83" s="96"/>
      <c r="H83" s="65"/>
    </row>
    <row r="84" spans="2:8" ht="13.8" x14ac:dyDescent="0.3">
      <c r="B84" s="103" t="s">
        <v>57</v>
      </c>
      <c r="C84" s="60"/>
      <c r="D84" s="60"/>
      <c r="E84" s="60"/>
      <c r="F84" s="60"/>
      <c r="G84" s="60"/>
      <c r="H84" s="68"/>
    </row>
    <row r="85" spans="2:8" ht="13.8" thickBot="1" x14ac:dyDescent="0.3">
      <c r="B85" s="88"/>
      <c r="C85" s="60"/>
      <c r="D85" s="60"/>
      <c r="E85" s="60"/>
      <c r="F85" s="60"/>
      <c r="G85" s="60"/>
      <c r="H85" s="68"/>
    </row>
    <row r="86" spans="2:8" x14ac:dyDescent="0.25">
      <c r="B86" s="88"/>
      <c r="C86" s="770"/>
      <c r="D86" s="771"/>
      <c r="E86" s="771"/>
      <c r="F86" s="771"/>
      <c r="G86" s="772"/>
      <c r="H86" s="68"/>
    </row>
    <row r="87" spans="2:8" x14ac:dyDescent="0.25">
      <c r="B87" s="88"/>
      <c r="C87" s="773"/>
      <c r="D87" s="774"/>
      <c r="E87" s="774"/>
      <c r="F87" s="774"/>
      <c r="G87" s="775"/>
      <c r="H87" s="68"/>
    </row>
    <row r="88" spans="2:8" x14ac:dyDescent="0.25">
      <c r="B88" s="88"/>
      <c r="C88" s="773"/>
      <c r="D88" s="774"/>
      <c r="E88" s="774"/>
      <c r="F88" s="774"/>
      <c r="G88" s="775"/>
      <c r="H88" s="68"/>
    </row>
    <row r="89" spans="2:8" x14ac:dyDescent="0.25">
      <c r="B89" s="88"/>
      <c r="C89" s="773"/>
      <c r="D89" s="774"/>
      <c r="E89" s="774"/>
      <c r="F89" s="774"/>
      <c r="G89" s="775"/>
      <c r="H89" s="68"/>
    </row>
    <row r="90" spans="2:8" x14ac:dyDescent="0.25">
      <c r="B90" s="88"/>
      <c r="C90" s="773"/>
      <c r="D90" s="774"/>
      <c r="E90" s="774"/>
      <c r="F90" s="774"/>
      <c r="G90" s="775"/>
      <c r="H90" s="68"/>
    </row>
    <row r="91" spans="2:8" x14ac:dyDescent="0.25">
      <c r="B91" s="88"/>
      <c r="C91" s="773"/>
      <c r="D91" s="774"/>
      <c r="E91" s="774"/>
      <c r="F91" s="774"/>
      <c r="G91" s="775"/>
      <c r="H91" s="68"/>
    </row>
    <row r="92" spans="2:8" x14ac:dyDescent="0.25">
      <c r="B92" s="88"/>
      <c r="C92" s="773"/>
      <c r="D92" s="774"/>
      <c r="E92" s="774"/>
      <c r="F92" s="774"/>
      <c r="G92" s="775"/>
      <c r="H92" s="68"/>
    </row>
    <row r="93" spans="2:8" x14ac:dyDescent="0.25">
      <c r="B93" s="88"/>
      <c r="C93" s="773"/>
      <c r="D93" s="774"/>
      <c r="E93" s="774"/>
      <c r="F93" s="774"/>
      <c r="G93" s="775"/>
      <c r="H93" s="68"/>
    </row>
    <row r="94" spans="2:8" x14ac:dyDescent="0.25">
      <c r="B94" s="88"/>
      <c r="C94" s="773"/>
      <c r="D94" s="774"/>
      <c r="E94" s="774"/>
      <c r="F94" s="774"/>
      <c r="G94" s="775"/>
      <c r="H94" s="68"/>
    </row>
    <row r="95" spans="2:8" x14ac:dyDescent="0.25">
      <c r="B95" s="88"/>
      <c r="C95" s="773"/>
      <c r="D95" s="774"/>
      <c r="E95" s="774"/>
      <c r="F95" s="774"/>
      <c r="G95" s="775"/>
      <c r="H95" s="68"/>
    </row>
    <row r="96" spans="2:8" x14ac:dyDescent="0.25">
      <c r="B96" s="88"/>
      <c r="C96" s="773"/>
      <c r="D96" s="774"/>
      <c r="E96" s="774"/>
      <c r="F96" s="774"/>
      <c r="G96" s="775"/>
      <c r="H96" s="68"/>
    </row>
    <row r="97" spans="2:8" x14ac:dyDescent="0.25">
      <c r="B97" s="88"/>
      <c r="C97" s="773"/>
      <c r="D97" s="774"/>
      <c r="E97" s="774"/>
      <c r="F97" s="774"/>
      <c r="G97" s="775"/>
      <c r="H97" s="68"/>
    </row>
    <row r="98" spans="2:8" x14ac:dyDescent="0.25">
      <c r="B98" s="88"/>
      <c r="C98" s="773"/>
      <c r="D98" s="774"/>
      <c r="E98" s="774"/>
      <c r="F98" s="774"/>
      <c r="G98" s="775"/>
      <c r="H98" s="68"/>
    </row>
    <row r="99" spans="2:8" x14ac:dyDescent="0.25">
      <c r="B99" s="88"/>
      <c r="C99" s="773"/>
      <c r="D99" s="774"/>
      <c r="E99" s="774"/>
      <c r="F99" s="774"/>
      <c r="G99" s="775"/>
      <c r="H99" s="68"/>
    </row>
    <row r="100" spans="2:8" x14ac:dyDescent="0.25">
      <c r="B100" s="88"/>
      <c r="C100" s="773"/>
      <c r="D100" s="774"/>
      <c r="E100" s="774"/>
      <c r="F100" s="774"/>
      <c r="G100" s="775"/>
      <c r="H100" s="68"/>
    </row>
    <row r="101" spans="2:8" x14ac:dyDescent="0.25">
      <c r="B101" s="88"/>
      <c r="C101" s="773"/>
      <c r="D101" s="774"/>
      <c r="E101" s="774"/>
      <c r="F101" s="774"/>
      <c r="G101" s="775"/>
      <c r="H101" s="68"/>
    </row>
    <row r="102" spans="2:8" x14ac:dyDescent="0.25">
      <c r="B102" s="88"/>
      <c r="C102" s="773"/>
      <c r="D102" s="774"/>
      <c r="E102" s="774"/>
      <c r="F102" s="774"/>
      <c r="G102" s="775"/>
      <c r="H102" s="68"/>
    </row>
    <row r="103" spans="2:8" x14ac:dyDescent="0.25">
      <c r="B103" s="88"/>
      <c r="C103" s="773"/>
      <c r="D103" s="774"/>
      <c r="E103" s="774"/>
      <c r="F103" s="774"/>
      <c r="G103" s="775"/>
      <c r="H103" s="68"/>
    </row>
    <row r="104" spans="2:8" x14ac:dyDescent="0.25">
      <c r="B104" s="88"/>
      <c r="C104" s="773"/>
      <c r="D104" s="774"/>
      <c r="E104" s="774"/>
      <c r="F104" s="774"/>
      <c r="G104" s="775"/>
      <c r="H104" s="68"/>
    </row>
    <row r="105" spans="2:8" x14ac:dyDescent="0.25">
      <c r="B105" s="88"/>
      <c r="C105" s="773"/>
      <c r="D105" s="774"/>
      <c r="E105" s="774"/>
      <c r="F105" s="774"/>
      <c r="G105" s="775"/>
      <c r="H105" s="68"/>
    </row>
    <row r="106" spans="2:8" x14ac:dyDescent="0.25">
      <c r="B106" s="88"/>
      <c r="C106" s="773"/>
      <c r="D106" s="774"/>
      <c r="E106" s="774"/>
      <c r="F106" s="774"/>
      <c r="G106" s="775"/>
      <c r="H106" s="68"/>
    </row>
    <row r="107" spans="2:8" x14ac:dyDescent="0.25">
      <c r="B107" s="88"/>
      <c r="C107" s="773"/>
      <c r="D107" s="774"/>
      <c r="E107" s="774"/>
      <c r="F107" s="774"/>
      <c r="G107" s="775"/>
      <c r="H107" s="68"/>
    </row>
    <row r="108" spans="2:8" x14ac:dyDescent="0.25">
      <c r="B108" s="88"/>
      <c r="C108" s="773"/>
      <c r="D108" s="774"/>
      <c r="E108" s="774"/>
      <c r="F108" s="774"/>
      <c r="G108" s="775"/>
      <c r="H108" s="68"/>
    </row>
    <row r="109" spans="2:8" x14ac:dyDescent="0.25">
      <c r="B109" s="88"/>
      <c r="C109" s="773"/>
      <c r="D109" s="774"/>
      <c r="E109" s="774"/>
      <c r="F109" s="774"/>
      <c r="G109" s="775"/>
      <c r="H109" s="68"/>
    </row>
    <row r="110" spans="2:8" ht="13.8" thickBot="1" x14ac:dyDescent="0.3">
      <c r="B110" s="88"/>
      <c r="C110" s="776"/>
      <c r="D110" s="777"/>
      <c r="E110" s="777"/>
      <c r="F110" s="777"/>
      <c r="G110" s="778"/>
      <c r="H110" s="68"/>
    </row>
    <row r="111" spans="2:8" ht="13.8" thickBot="1" x14ac:dyDescent="0.3">
      <c r="B111" s="93"/>
      <c r="C111" s="94"/>
      <c r="D111" s="94"/>
      <c r="E111" s="94"/>
      <c r="F111" s="94"/>
      <c r="G111" s="94"/>
      <c r="H111" s="73"/>
    </row>
    <row r="114" spans="2:7" ht="23.25" hidden="1" customHeight="1" x14ac:dyDescent="0.25">
      <c r="B114" s="88"/>
      <c r="C114" s="753" t="s">
        <v>58</v>
      </c>
      <c r="D114" s="753"/>
      <c r="E114" s="753"/>
      <c r="F114" s="753"/>
      <c r="G114" s="753"/>
    </row>
    <row r="115" spans="2:7" ht="3.75" hidden="1" customHeight="1" thickBot="1" x14ac:dyDescent="0.3">
      <c r="B115" s="88"/>
      <c r="C115" s="60"/>
      <c r="D115" s="60"/>
      <c r="E115" s="60"/>
      <c r="F115" s="60"/>
      <c r="G115" s="60"/>
    </row>
    <row r="116" spans="2:7" ht="80.25" hidden="1" customHeight="1" x14ac:dyDescent="0.25">
      <c r="B116" s="104">
        <v>1</v>
      </c>
      <c r="C116" s="779"/>
      <c r="D116" s="780"/>
      <c r="E116" s="780"/>
      <c r="F116" s="780"/>
      <c r="G116" s="781"/>
    </row>
    <row r="117" spans="2:7" ht="80.25" hidden="1" customHeight="1" x14ac:dyDescent="0.25">
      <c r="B117" s="104">
        <v>2</v>
      </c>
      <c r="C117" s="747"/>
      <c r="D117" s="763"/>
      <c r="E117" s="763"/>
      <c r="F117" s="763"/>
      <c r="G117" s="764"/>
    </row>
    <row r="118" spans="2:7" ht="80.25" hidden="1" customHeight="1" x14ac:dyDescent="0.25">
      <c r="B118" s="104">
        <v>3</v>
      </c>
      <c r="C118" s="747"/>
      <c r="D118" s="763"/>
      <c r="E118" s="763"/>
      <c r="F118" s="763"/>
      <c r="G118" s="764"/>
    </row>
    <row r="119" spans="2:7" ht="80.25" hidden="1" customHeight="1" x14ac:dyDescent="0.25">
      <c r="B119" s="104">
        <v>4</v>
      </c>
      <c r="C119" s="747"/>
      <c r="D119" s="763"/>
      <c r="E119" s="763"/>
      <c r="F119" s="763"/>
      <c r="G119" s="764"/>
    </row>
    <row r="120" spans="2:7" ht="80.25" hidden="1" customHeight="1" x14ac:dyDescent="0.25">
      <c r="B120" s="104">
        <v>5</v>
      </c>
      <c r="C120" s="747"/>
      <c r="D120" s="763"/>
      <c r="E120" s="763"/>
      <c r="F120" s="763"/>
      <c r="G120" s="764"/>
    </row>
    <row r="121" spans="2:7" ht="80.25" hidden="1" customHeight="1" x14ac:dyDescent="0.25">
      <c r="B121" s="104">
        <v>6</v>
      </c>
      <c r="C121" s="747"/>
      <c r="D121" s="763"/>
      <c r="E121" s="763"/>
      <c r="F121" s="763"/>
      <c r="G121" s="764"/>
    </row>
    <row r="122" spans="2:7" ht="80.25" hidden="1" customHeight="1" x14ac:dyDescent="0.25">
      <c r="B122" s="104">
        <v>7</v>
      </c>
      <c r="C122" s="747"/>
      <c r="D122" s="748"/>
      <c r="E122" s="748"/>
      <c r="F122" s="748"/>
      <c r="G122" s="749"/>
    </row>
    <row r="123" spans="2:7" ht="80.25" hidden="1" customHeight="1" thickBot="1" x14ac:dyDescent="0.3">
      <c r="B123" s="104">
        <v>8</v>
      </c>
      <c r="C123" s="750"/>
      <c r="D123" s="751"/>
      <c r="E123" s="751"/>
      <c r="F123" s="751"/>
      <c r="G123" s="752"/>
    </row>
    <row r="124" spans="2:7" ht="14.25" hidden="1" customHeight="1" thickBot="1" x14ac:dyDescent="0.3">
      <c r="B124" s="93"/>
      <c r="C124" s="94"/>
      <c r="D124" s="94"/>
      <c r="E124" s="94"/>
      <c r="F124" s="94"/>
      <c r="G124" s="94"/>
    </row>
    <row r="125" spans="2:7" ht="14.25" customHeight="1" x14ac:dyDescent="0.25"/>
    <row r="126" spans="2:7" ht="6.75" hidden="1" customHeight="1" x14ac:dyDescent="0.25">
      <c r="B126" s="95"/>
      <c r="C126" s="96"/>
      <c r="D126" s="96"/>
      <c r="E126" s="96"/>
      <c r="F126" s="96"/>
      <c r="G126" s="96"/>
    </row>
    <row r="127" spans="2:7" ht="25.5" hidden="1" customHeight="1" x14ac:dyDescent="0.25">
      <c r="B127" s="88"/>
      <c r="C127" s="753" t="s">
        <v>59</v>
      </c>
      <c r="D127" s="753"/>
      <c r="E127" s="753"/>
      <c r="F127" s="753"/>
      <c r="G127" s="753"/>
    </row>
    <row r="129" spans="2:7" ht="80.25" hidden="1" customHeight="1" x14ac:dyDescent="0.25">
      <c r="B129" s="104">
        <v>1</v>
      </c>
      <c r="C129" s="754"/>
      <c r="D129" s="755"/>
      <c r="E129" s="755"/>
      <c r="F129" s="755"/>
      <c r="G129" s="756"/>
    </row>
    <row r="130" spans="2:7" ht="80.25" hidden="1" customHeight="1" x14ac:dyDescent="0.25">
      <c r="B130" s="104">
        <v>2</v>
      </c>
      <c r="C130" s="757"/>
      <c r="D130" s="758"/>
      <c r="E130" s="758"/>
      <c r="F130" s="758"/>
      <c r="G130" s="759"/>
    </row>
    <row r="131" spans="2:7" ht="80.25" hidden="1" customHeight="1" x14ac:dyDescent="0.25">
      <c r="B131" s="104">
        <v>3</v>
      </c>
      <c r="C131" s="757"/>
      <c r="D131" s="758"/>
      <c r="E131" s="758"/>
      <c r="F131" s="758"/>
      <c r="G131" s="759"/>
    </row>
    <row r="132" spans="2:7" ht="80.25" hidden="1" customHeight="1" x14ac:dyDescent="0.25">
      <c r="B132" s="104">
        <v>4</v>
      </c>
      <c r="C132" s="757"/>
      <c r="D132" s="758"/>
      <c r="E132" s="758"/>
      <c r="F132" s="758"/>
      <c r="G132" s="759"/>
    </row>
    <row r="133" spans="2:7" ht="80.25" hidden="1" customHeight="1" x14ac:dyDescent="0.25">
      <c r="B133" s="104">
        <v>5</v>
      </c>
      <c r="C133" s="757"/>
      <c r="D133" s="758"/>
      <c r="E133" s="758"/>
      <c r="F133" s="758"/>
      <c r="G133" s="759"/>
    </row>
    <row r="134" spans="2:7" ht="80.25" hidden="1" customHeight="1" x14ac:dyDescent="0.25">
      <c r="B134" s="104">
        <v>6</v>
      </c>
      <c r="C134" s="757"/>
      <c r="D134" s="758"/>
      <c r="E134" s="758"/>
      <c r="F134" s="758"/>
      <c r="G134" s="759"/>
    </row>
    <row r="135" spans="2:7" ht="80.25" hidden="1" customHeight="1" x14ac:dyDescent="0.25">
      <c r="B135" s="104">
        <v>7</v>
      </c>
      <c r="C135" s="757"/>
      <c r="D135" s="748"/>
      <c r="E135" s="748"/>
      <c r="F135" s="748"/>
      <c r="G135" s="749"/>
    </row>
    <row r="136" spans="2:7" ht="80.25" hidden="1" customHeight="1" thickBot="1" x14ac:dyDescent="0.3">
      <c r="B136" s="104">
        <v>8</v>
      </c>
      <c r="C136" s="760"/>
      <c r="D136" s="761"/>
      <c r="E136" s="761"/>
      <c r="F136" s="761"/>
      <c r="G136" s="762"/>
    </row>
    <row r="137" spans="2:7" ht="13.8" hidden="1" thickBot="1" x14ac:dyDescent="0.3">
      <c r="B137" s="93"/>
      <c r="C137" s="94"/>
      <c r="D137" s="94"/>
      <c r="E137" s="94"/>
      <c r="F137" s="94"/>
      <c r="G137" s="94"/>
    </row>
    <row r="138" spans="2:7" ht="10.5" hidden="1" customHeight="1" x14ac:dyDescent="0.25"/>
    <row r="139" spans="2:7" ht="51.75" hidden="1" customHeight="1" thickBot="1" x14ac:dyDescent="0.3"/>
    <row r="140" spans="2:7" ht="9" hidden="1" customHeight="1" x14ac:dyDescent="0.25">
      <c r="B140" s="95"/>
      <c r="C140" s="96"/>
      <c r="D140" s="96"/>
      <c r="E140" s="96"/>
      <c r="F140" s="96"/>
      <c r="G140" s="96"/>
    </row>
    <row r="141" spans="2:7" ht="49.5" hidden="1" customHeight="1" x14ac:dyDescent="0.25">
      <c r="B141" s="88"/>
      <c r="C141" s="746" t="s">
        <v>60</v>
      </c>
      <c r="D141" s="746"/>
      <c r="E141" s="746"/>
      <c r="F141" s="746"/>
      <c r="G141" s="746"/>
    </row>
    <row r="142" spans="2:7" ht="12" hidden="1" customHeight="1" thickBot="1" x14ac:dyDescent="0.3">
      <c r="B142" s="88"/>
      <c r="C142" s="105"/>
      <c r="D142" s="105"/>
      <c r="E142" s="105"/>
      <c r="F142" s="105"/>
      <c r="G142" s="105"/>
    </row>
    <row r="143" spans="2:7" ht="18" hidden="1" customHeight="1" x14ac:dyDescent="0.25">
      <c r="B143" s="88"/>
      <c r="C143" s="106" t="s">
        <v>61</v>
      </c>
      <c r="D143" s="737"/>
      <c r="E143" s="738"/>
      <c r="F143" s="738"/>
      <c r="G143" s="739"/>
    </row>
    <row r="144" spans="2:7" ht="18" hidden="1" customHeight="1" x14ac:dyDescent="0.25">
      <c r="B144" s="88"/>
      <c r="C144" s="107" t="s">
        <v>62</v>
      </c>
      <c r="D144" s="728"/>
      <c r="E144" s="729"/>
      <c r="F144" s="729"/>
      <c r="G144" s="730"/>
    </row>
    <row r="145" spans="3:7" ht="18" hidden="1" customHeight="1" x14ac:dyDescent="0.25">
      <c r="C145" s="107" t="s">
        <v>63</v>
      </c>
      <c r="D145" s="740"/>
      <c r="E145" s="741"/>
      <c r="F145" s="741"/>
      <c r="G145" s="742"/>
    </row>
    <row r="146" spans="3:7" ht="18" hidden="1" customHeight="1" thickBot="1" x14ac:dyDescent="0.3">
      <c r="C146" s="107" t="s">
        <v>4</v>
      </c>
      <c r="D146" s="731"/>
      <c r="E146" s="732"/>
      <c r="F146" s="732"/>
      <c r="G146" s="733"/>
    </row>
    <row r="147" spans="3:7" ht="18" hidden="1" customHeight="1" thickBot="1" x14ac:dyDescent="0.3">
      <c r="C147" s="107"/>
      <c r="D147" s="60"/>
      <c r="E147" s="60"/>
      <c r="F147" s="60"/>
      <c r="G147" s="60"/>
    </row>
    <row r="148" spans="3:7" ht="18" hidden="1" customHeight="1" x14ac:dyDescent="0.25">
      <c r="C148" s="106" t="s">
        <v>61</v>
      </c>
      <c r="D148" s="743"/>
      <c r="E148" s="744"/>
      <c r="F148" s="744"/>
      <c r="G148" s="745"/>
    </row>
    <row r="149" spans="3:7" ht="18" hidden="1" customHeight="1" x14ac:dyDescent="0.25">
      <c r="C149" s="107" t="s">
        <v>62</v>
      </c>
      <c r="D149" s="728"/>
      <c r="E149" s="729"/>
      <c r="F149" s="729"/>
      <c r="G149" s="730"/>
    </row>
    <row r="150" spans="3:7" ht="18" hidden="1" customHeight="1" x14ac:dyDescent="0.25">
      <c r="C150" s="107" t="s">
        <v>63</v>
      </c>
      <c r="D150" s="728"/>
      <c r="E150" s="729"/>
      <c r="F150" s="729"/>
      <c r="G150" s="730"/>
    </row>
    <row r="151" spans="3:7" ht="18" hidden="1" customHeight="1" thickBot="1" x14ac:dyDescent="0.3">
      <c r="C151" s="107" t="s">
        <v>4</v>
      </c>
      <c r="D151" s="731"/>
      <c r="E151" s="732"/>
      <c r="F151" s="732"/>
      <c r="G151" s="733"/>
    </row>
    <row r="152" spans="3:7" ht="13.8" hidden="1" thickBot="1" x14ac:dyDescent="0.3">
      <c r="C152" s="94"/>
      <c r="D152" s="94"/>
      <c r="E152" s="94"/>
      <c r="F152" s="94"/>
      <c r="G152" s="94"/>
    </row>
    <row r="153" spans="3:7" ht="22.5" hidden="1" customHeight="1" thickBot="1" x14ac:dyDescent="0.3"/>
    <row r="154" spans="3:7" ht="40.5" hidden="1" customHeight="1" thickBot="1" x14ac:dyDescent="0.3">
      <c r="C154" s="734" t="s">
        <v>64</v>
      </c>
      <c r="D154" s="735"/>
      <c r="E154" s="735"/>
      <c r="F154" s="735"/>
      <c r="G154" s="736"/>
    </row>
  </sheetData>
  <sheetProtection algorithmName="SHA-512" hashValue="k9kgtn+6CFOejS9e8aCUlkM7MKetdUGY4asT4JD1mYwroKZUUcxr4RIkQij8acLLjUmKa0XRZy0o+T1Rfv1J4w==" saltValue="BN1XUEezAdZ9QrxUFrGdkw==" spinCount="100000" sheet="1" objects="1" scenarios="1"/>
  <mergeCells count="88">
    <mergeCell ref="D9:G9"/>
    <mergeCell ref="C31:D31"/>
    <mergeCell ref="C30:D30"/>
    <mergeCell ref="C29:D29"/>
    <mergeCell ref="E31:G31"/>
    <mergeCell ref="E30:G30"/>
    <mergeCell ref="E29:G29"/>
    <mergeCell ref="C1:G1"/>
    <mergeCell ref="C2:G2"/>
    <mergeCell ref="C3:G3"/>
    <mergeCell ref="D7:G7"/>
    <mergeCell ref="D8:G8"/>
    <mergeCell ref="C32:D32"/>
    <mergeCell ref="E32:G32"/>
    <mergeCell ref="D10:G10"/>
    <mergeCell ref="D11:G11"/>
    <mergeCell ref="D12:G12"/>
    <mergeCell ref="D13:G13"/>
    <mergeCell ref="D14:G14"/>
    <mergeCell ref="D16:E16"/>
    <mergeCell ref="D17:E17"/>
    <mergeCell ref="D24:G24"/>
    <mergeCell ref="D25:G25"/>
    <mergeCell ref="C28:D28"/>
    <mergeCell ref="E28:G28"/>
    <mergeCell ref="C33:D33"/>
    <mergeCell ref="E33:G33"/>
    <mergeCell ref="C34:D34"/>
    <mergeCell ref="E34:G34"/>
    <mergeCell ref="C35:D35"/>
    <mergeCell ref="E35:G35"/>
    <mergeCell ref="C53:E53"/>
    <mergeCell ref="D37:G37"/>
    <mergeCell ref="D38:G38"/>
    <mergeCell ref="B39:C39"/>
    <mergeCell ref="D39:G39"/>
    <mergeCell ref="D40:G40"/>
    <mergeCell ref="D41:G41"/>
    <mergeCell ref="B42:C42"/>
    <mergeCell ref="D42:G42"/>
    <mergeCell ref="C49:E49"/>
    <mergeCell ref="C50:E50"/>
    <mergeCell ref="C52:E52"/>
    <mergeCell ref="C69:E69"/>
    <mergeCell ref="C56:E56"/>
    <mergeCell ref="C57:E57"/>
    <mergeCell ref="C58:E58"/>
    <mergeCell ref="C59:E59"/>
    <mergeCell ref="C60:E60"/>
    <mergeCell ref="C61:E61"/>
    <mergeCell ref="C62:E62"/>
    <mergeCell ref="C63:E63"/>
    <mergeCell ref="C65:E65"/>
    <mergeCell ref="C67:E67"/>
    <mergeCell ref="C68:E68"/>
    <mergeCell ref="C121:G121"/>
    <mergeCell ref="C73:D73"/>
    <mergeCell ref="E75:F75"/>
    <mergeCell ref="E77:F77"/>
    <mergeCell ref="E79:F79"/>
    <mergeCell ref="C86:G110"/>
    <mergeCell ref="C114:G114"/>
    <mergeCell ref="C116:G116"/>
    <mergeCell ref="C117:G117"/>
    <mergeCell ref="C118:G118"/>
    <mergeCell ref="C119:G119"/>
    <mergeCell ref="C120:G120"/>
    <mergeCell ref="C141:G141"/>
    <mergeCell ref="C122:G122"/>
    <mergeCell ref="C123:G123"/>
    <mergeCell ref="C127:G127"/>
    <mergeCell ref="C129:G129"/>
    <mergeCell ref="C130:G130"/>
    <mergeCell ref="C131:G131"/>
    <mergeCell ref="C132:G132"/>
    <mergeCell ref="C133:G133"/>
    <mergeCell ref="C134:G134"/>
    <mergeCell ref="C135:G135"/>
    <mergeCell ref="C136:G136"/>
    <mergeCell ref="D150:G150"/>
    <mergeCell ref="D151:G151"/>
    <mergeCell ref="C154:G154"/>
    <mergeCell ref="D143:G143"/>
    <mergeCell ref="D144:G144"/>
    <mergeCell ref="D145:G145"/>
    <mergeCell ref="D146:G146"/>
    <mergeCell ref="D148:G148"/>
    <mergeCell ref="D149:G149"/>
  </mergeCells>
  <dataValidations count="1">
    <dataValidation type="list" allowBlank="1" showInputMessage="1" showErrorMessage="1" sqref="C58:C63 D58:E61 D63:E63" xr:uid="{F216543E-B373-4045-8134-90522D1C9CC7}">
      <formula1>KPI</formula1>
    </dataValidation>
  </dataValidations>
  <printOptions horizontalCentered="1"/>
  <pageMargins left="0.15748031496062992" right="0.15748031496062992" top="0.59055118110236227" bottom="0.39370078740157483" header="0.51181102362204722" footer="0.51181102362204722"/>
  <pageSetup paperSize="9" scale="90" orientation="portrait" r:id="rId1"/>
  <headerFooter alignWithMargins="0">
    <oddFooter>&amp;LFM-HSS-W01-01&amp;CJanuary 2020&amp;RRev 17.0</oddFooter>
  </headerFooter>
  <rowBreaks count="4" manualBreakCount="4">
    <brk id="44" max="16383" man="1"/>
    <brk id="111" max="16383" man="1"/>
    <brk id="124" max="16383" man="1"/>
    <brk id="137"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9133-DB21-46E7-94C6-2DB89F775483}">
  <sheetPr codeName="Sheet5">
    <tabColor indexed="14"/>
    <pageSetUpPr fitToPage="1"/>
  </sheetPr>
  <dimension ref="B1:H31"/>
  <sheetViews>
    <sheetView showGridLines="0" workbookViewId="0">
      <selection activeCell="D6" sqref="D6"/>
    </sheetView>
  </sheetViews>
  <sheetFormatPr defaultColWidth="9.109375" defaultRowHeight="13.2" x14ac:dyDescent="0.25"/>
  <cols>
    <col min="1" max="1" width="1.77734375" style="48" customWidth="1"/>
    <col min="2" max="2" width="2.77734375" style="48" customWidth="1"/>
    <col min="3" max="3" width="41.77734375" style="48" customWidth="1"/>
    <col min="4" max="4" width="23" style="48" customWidth="1"/>
    <col min="5" max="5" width="65.77734375" style="48" customWidth="1"/>
    <col min="6" max="6" width="26.77734375" style="48" customWidth="1"/>
    <col min="7" max="7" width="2.33203125" style="48" customWidth="1"/>
    <col min="8" max="9" width="9.109375" style="48"/>
    <col min="10" max="10" width="28.33203125" style="48" bestFit="1" customWidth="1"/>
    <col min="11" max="16384" width="9.109375" style="48"/>
  </cols>
  <sheetData>
    <row r="1" spans="2:8" ht="13.8" thickBot="1" x14ac:dyDescent="0.3"/>
    <row r="2" spans="2:8" ht="15" customHeight="1" x14ac:dyDescent="0.25">
      <c r="B2" s="127"/>
      <c r="C2" s="128"/>
      <c r="D2" s="128"/>
      <c r="E2" s="128"/>
      <c r="F2" s="128"/>
      <c r="G2" s="129"/>
    </row>
    <row r="3" spans="2:8" ht="44.25" customHeight="1" x14ac:dyDescent="0.25">
      <c r="B3" s="130"/>
      <c r="C3" s="131" t="s">
        <v>65</v>
      </c>
      <c r="D3" s="131" t="s">
        <v>66</v>
      </c>
      <c r="E3" s="131" t="s">
        <v>67</v>
      </c>
      <c r="F3" s="131" t="s">
        <v>68</v>
      </c>
      <c r="G3" s="132"/>
      <c r="H3" s="133"/>
    </row>
    <row r="4" spans="2:8" s="113" customFormat="1" ht="27.6" x14ac:dyDescent="0.25">
      <c r="B4" s="134"/>
      <c r="C4" s="664" t="s">
        <v>69</v>
      </c>
      <c r="D4" s="664" t="s">
        <v>70</v>
      </c>
      <c r="E4" s="665" t="s">
        <v>71</v>
      </c>
      <c r="F4" s="666" t="s">
        <v>18</v>
      </c>
      <c r="G4" s="138"/>
    </row>
    <row r="5" spans="2:8" s="113" customFormat="1" ht="13.8" x14ac:dyDescent="0.25">
      <c r="B5" s="134"/>
      <c r="C5" s="664" t="s">
        <v>69</v>
      </c>
      <c r="D5" s="664" t="s">
        <v>72</v>
      </c>
      <c r="E5" s="665" t="s">
        <v>842</v>
      </c>
      <c r="F5" s="666" t="s">
        <v>18</v>
      </c>
      <c r="G5" s="138"/>
    </row>
    <row r="6" spans="2:8" s="113" customFormat="1" ht="27.6" x14ac:dyDescent="0.25">
      <c r="B6" s="134"/>
      <c r="C6" s="664" t="s">
        <v>69</v>
      </c>
      <c r="D6" s="664" t="s">
        <v>73</v>
      </c>
      <c r="E6" s="665" t="s">
        <v>843</v>
      </c>
      <c r="F6" s="666" t="s">
        <v>18</v>
      </c>
      <c r="G6" s="138"/>
    </row>
    <row r="7" spans="2:8" s="113" customFormat="1" ht="13.8" x14ac:dyDescent="0.25">
      <c r="B7" s="134"/>
      <c r="C7" s="664" t="s">
        <v>69</v>
      </c>
      <c r="D7" s="664" t="s">
        <v>74</v>
      </c>
      <c r="E7" s="665" t="s">
        <v>75</v>
      </c>
      <c r="F7" s="666" t="s">
        <v>18</v>
      </c>
      <c r="G7" s="138"/>
    </row>
    <row r="8" spans="2:8" s="113" customFormat="1" ht="13.8" x14ac:dyDescent="0.25">
      <c r="B8" s="134"/>
      <c r="C8" s="664" t="s">
        <v>69</v>
      </c>
      <c r="D8" s="664" t="s">
        <v>76</v>
      </c>
      <c r="E8" s="665" t="s">
        <v>844</v>
      </c>
      <c r="F8" s="666" t="s">
        <v>18</v>
      </c>
      <c r="G8" s="138"/>
    </row>
    <row r="9" spans="2:8" s="113" customFormat="1" ht="13.8" x14ac:dyDescent="0.25">
      <c r="B9" s="134"/>
      <c r="C9" s="135"/>
      <c r="D9" s="135"/>
      <c r="E9" s="136"/>
      <c r="F9" s="137"/>
      <c r="G9" s="138"/>
    </row>
    <row r="10" spans="2:8" s="113" customFormat="1" ht="13.8" x14ac:dyDescent="0.25">
      <c r="B10" s="134"/>
      <c r="C10" s="135"/>
      <c r="D10" s="135"/>
      <c r="E10" s="136"/>
      <c r="F10" s="137"/>
      <c r="G10" s="138"/>
    </row>
    <row r="11" spans="2:8" s="113" customFormat="1" ht="13.8" x14ac:dyDescent="0.25">
      <c r="B11" s="134"/>
      <c r="C11" s="135"/>
      <c r="D11" s="135"/>
      <c r="E11" s="136"/>
      <c r="F11" s="137"/>
      <c r="G11" s="138"/>
    </row>
    <row r="12" spans="2:8" s="113" customFormat="1" ht="13.8" x14ac:dyDescent="0.25">
      <c r="B12" s="134"/>
      <c r="C12" s="135"/>
      <c r="D12" s="135"/>
      <c r="E12" s="136"/>
      <c r="F12" s="137"/>
      <c r="G12" s="138"/>
    </row>
    <row r="13" spans="2:8" s="113" customFormat="1" ht="13.8" x14ac:dyDescent="0.25">
      <c r="B13" s="134"/>
      <c r="C13" s="135"/>
      <c r="D13" s="135"/>
      <c r="E13" s="136"/>
      <c r="F13" s="137"/>
      <c r="G13" s="138"/>
    </row>
    <row r="14" spans="2:8" s="113" customFormat="1" ht="13.8" x14ac:dyDescent="0.25">
      <c r="B14" s="134"/>
      <c r="C14" s="135"/>
      <c r="D14" s="135"/>
      <c r="E14" s="136"/>
      <c r="F14" s="137"/>
      <c r="G14" s="138"/>
    </row>
    <row r="15" spans="2:8" s="113" customFormat="1" ht="13.8" x14ac:dyDescent="0.25">
      <c r="B15" s="134"/>
      <c r="C15" s="135"/>
      <c r="D15" s="135"/>
      <c r="E15" s="136"/>
      <c r="F15" s="137"/>
      <c r="G15" s="138"/>
    </row>
    <row r="16" spans="2:8" s="113" customFormat="1" ht="13.8" x14ac:dyDescent="0.25">
      <c r="B16" s="134"/>
      <c r="C16" s="135"/>
      <c r="D16" s="135"/>
      <c r="E16" s="136"/>
      <c r="F16" s="137"/>
      <c r="G16" s="138"/>
    </row>
    <row r="17" spans="2:7" s="113" customFormat="1" ht="13.8" x14ac:dyDescent="0.25">
      <c r="B17" s="134"/>
      <c r="C17" s="135"/>
      <c r="D17" s="135"/>
      <c r="E17" s="136"/>
      <c r="F17" s="137"/>
      <c r="G17" s="138"/>
    </row>
    <row r="18" spans="2:7" s="113" customFormat="1" ht="13.8" x14ac:dyDescent="0.25">
      <c r="B18" s="134"/>
      <c r="C18" s="135"/>
      <c r="D18" s="135"/>
      <c r="E18" s="136"/>
      <c r="F18" s="137"/>
      <c r="G18" s="138"/>
    </row>
    <row r="19" spans="2:7" s="113" customFormat="1" ht="13.8" x14ac:dyDescent="0.25">
      <c r="B19" s="134"/>
      <c r="C19" s="135"/>
      <c r="D19" s="135"/>
      <c r="E19" s="136"/>
      <c r="F19" s="137"/>
      <c r="G19" s="138"/>
    </row>
    <row r="20" spans="2:7" s="113" customFormat="1" ht="13.8" x14ac:dyDescent="0.25">
      <c r="B20" s="134"/>
      <c r="C20" s="135"/>
      <c r="D20" s="135"/>
      <c r="E20" s="136"/>
      <c r="F20" s="137"/>
      <c r="G20" s="138"/>
    </row>
    <row r="21" spans="2:7" s="113" customFormat="1" ht="13.8" x14ac:dyDescent="0.25">
      <c r="B21" s="134"/>
      <c r="C21" s="135"/>
      <c r="D21" s="135"/>
      <c r="E21" s="136"/>
      <c r="F21" s="137"/>
      <c r="G21" s="138"/>
    </row>
    <row r="22" spans="2:7" s="113" customFormat="1" ht="13.8" x14ac:dyDescent="0.25">
      <c r="B22" s="134"/>
      <c r="C22" s="135"/>
      <c r="D22" s="135"/>
      <c r="E22" s="136"/>
      <c r="F22" s="137"/>
      <c r="G22" s="138"/>
    </row>
    <row r="23" spans="2:7" s="113" customFormat="1" ht="13.8" x14ac:dyDescent="0.25">
      <c r="B23" s="134"/>
      <c r="C23" s="135"/>
      <c r="D23" s="135"/>
      <c r="E23" s="136"/>
      <c r="F23" s="137"/>
      <c r="G23" s="138"/>
    </row>
    <row r="24" spans="2:7" s="113" customFormat="1" ht="13.8" x14ac:dyDescent="0.25">
      <c r="B24" s="134"/>
      <c r="C24" s="135"/>
      <c r="D24" s="135"/>
      <c r="E24" s="136"/>
      <c r="F24" s="137"/>
      <c r="G24" s="138"/>
    </row>
    <row r="25" spans="2:7" s="113" customFormat="1" ht="13.8" x14ac:dyDescent="0.25">
      <c r="B25" s="134"/>
      <c r="C25" s="135"/>
      <c r="D25" s="135"/>
      <c r="E25" s="136"/>
      <c r="F25" s="137"/>
      <c r="G25" s="138"/>
    </row>
    <row r="26" spans="2:7" s="113" customFormat="1" ht="13.8" x14ac:dyDescent="0.25">
      <c r="B26" s="134"/>
      <c r="C26" s="135"/>
      <c r="D26" s="135"/>
      <c r="E26" s="136"/>
      <c r="F26" s="137"/>
      <c r="G26" s="138"/>
    </row>
    <row r="27" spans="2:7" s="113" customFormat="1" ht="13.8" x14ac:dyDescent="0.25">
      <c r="B27" s="134"/>
      <c r="C27" s="135"/>
      <c r="D27" s="135"/>
      <c r="E27" s="136"/>
      <c r="F27" s="137"/>
      <c r="G27" s="138"/>
    </row>
    <row r="28" spans="2:7" s="113" customFormat="1" ht="13.8" x14ac:dyDescent="0.25">
      <c r="B28" s="134"/>
      <c r="C28" s="135"/>
      <c r="D28" s="135"/>
      <c r="E28" s="136"/>
      <c r="F28" s="137"/>
      <c r="G28" s="138"/>
    </row>
    <row r="29" spans="2:7" ht="13.8" thickBot="1" x14ac:dyDescent="0.3">
      <c r="B29" s="139"/>
      <c r="C29" s="140"/>
      <c r="D29" s="140"/>
      <c r="E29" s="140"/>
      <c r="F29" s="140"/>
      <c r="G29" s="141"/>
    </row>
    <row r="31" spans="2:7" x14ac:dyDescent="0.25">
      <c r="E31" s="113"/>
    </row>
  </sheetData>
  <sheetProtection algorithmName="SHA-512" hashValue="/9yAcnpTqU/vZXeXmnbg5M3dpjb00u7ar8k1DvNPNxyN2LWyZrsiBrybfocgJOT8fK0gttyRfbGWhnrDg0o0bA==" saltValue="bDgQho3wUqyWuzbdanLWxQ==" spinCount="100000" sheet="1" objects="1" scenarios="1"/>
  <conditionalFormatting sqref="C4:C28">
    <cfRule type="expression" dxfId="18" priority="1" stopIfTrue="1">
      <formula>IF(C4="Waste Prevention / Reduction - Preconstruction",TRUE,FALSE)</formula>
    </cfRule>
    <cfRule type="expression" dxfId="17" priority="2" stopIfTrue="1">
      <formula>IF(C4="Waste Management &amp; Recovery - Construction", TRUE, FALSE)</formula>
    </cfRule>
  </conditionalFormatting>
  <conditionalFormatting sqref="D4:D28">
    <cfRule type="expression" dxfId="16" priority="3" stopIfTrue="1">
      <formula>IF(C4="Waste Prevention / Reduction - Preconstruction",TRUE,FALSE)</formula>
    </cfRule>
    <cfRule type="expression" dxfId="15" priority="4" stopIfTrue="1">
      <formula>IF(C4="Waste Management &amp; Recovery - Construction", TRUE, FALSE)</formula>
    </cfRule>
  </conditionalFormatting>
  <conditionalFormatting sqref="E4:E28">
    <cfRule type="expression" dxfId="14" priority="5" stopIfTrue="1">
      <formula>IF(C4="Waste Prevention / Reduction - Preconstruction",TRUE,FALSE)</formula>
    </cfRule>
    <cfRule type="expression" dxfId="13" priority="6" stopIfTrue="1">
      <formula>IF(C4="Waste Management &amp; Recovery - Construction", TRUE, FALSE)</formula>
    </cfRule>
  </conditionalFormatting>
  <conditionalFormatting sqref="F4:F28">
    <cfRule type="expression" dxfId="12" priority="7" stopIfTrue="1">
      <formula>IF(C4="Waste Prevention / Reduction - Preconstruction",TRUE,FALSE)</formula>
    </cfRule>
    <cfRule type="expression" dxfId="11" priority="8" stopIfTrue="1">
      <formula>IF(C4="Waste Management &amp; Recovery - Construction", TRUE, FALSE)</formula>
    </cfRule>
  </conditionalFormatting>
  <dataValidations count="2">
    <dataValidation type="list" allowBlank="1" showInputMessage="1" showErrorMessage="1" error="Please choose from the drop down menu" sqref="D9:D28" xr:uid="{2723CD27-27EF-4B4A-9D72-38C0B0CD59D3}">
      <formula1>Material_Stream</formula1>
    </dataValidation>
    <dataValidation type="list" allowBlank="1" showInputMessage="1" showErrorMessage="1" error="Please choose from the drop down menu" sqref="C9:C28" xr:uid="{AE52E14C-A348-4BA2-A105-57CCB3F5954B}">
      <formula1>Waste_Actions</formula1>
    </dataValidation>
  </dataValidations>
  <printOptions horizontalCentered="1"/>
  <pageMargins left="0.15748031496062992" right="0.15748031496062992" top="0.59055118110236227" bottom="0.39370078740157483" header="0.51181102362204722" footer="0.51181102362204722"/>
  <pageSetup paperSize="9" scale="90" orientation="landscape" r:id="rId1"/>
  <headerFooter alignWithMargins="0">
    <oddFooter>&amp;LFM-HSS-W01-01&amp;CJanuary 2020&amp;RRev 17.0</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FD49-BA94-4404-9A37-6E6FDCF853D3}">
  <sheetPr codeName="Sheet6">
    <tabColor indexed="52"/>
  </sheetPr>
  <dimension ref="B1:G45"/>
  <sheetViews>
    <sheetView showGridLines="0" showZeros="0" zoomScaleNormal="100" workbookViewId="0">
      <selection activeCell="K71" sqref="K71"/>
    </sheetView>
  </sheetViews>
  <sheetFormatPr defaultColWidth="9.109375" defaultRowHeight="13.2" x14ac:dyDescent="0.25"/>
  <cols>
    <col min="1" max="1" width="4.44140625" style="48" customWidth="1"/>
    <col min="2" max="2" width="4" style="48" customWidth="1"/>
    <col min="3" max="3" width="57.6640625" style="48" customWidth="1"/>
    <col min="4" max="4" width="12.33203125" style="48" hidden="1" customWidth="1"/>
    <col min="5" max="6" width="12.6640625" style="48" customWidth="1"/>
    <col min="7" max="7" width="3.44140625" style="48" customWidth="1"/>
    <col min="8" max="16384" width="9.109375" style="48"/>
  </cols>
  <sheetData>
    <row r="1" spans="2:7" ht="13.8" thickBot="1" x14ac:dyDescent="0.3"/>
    <row r="2" spans="2:7" ht="13.8" thickBot="1" x14ac:dyDescent="0.3">
      <c r="B2" s="647"/>
      <c r="C2" s="650"/>
      <c r="D2" s="650"/>
      <c r="E2" s="650"/>
      <c r="F2" s="650"/>
      <c r="G2" s="644"/>
    </row>
    <row r="3" spans="2:7" ht="30" customHeight="1" x14ac:dyDescent="0.3">
      <c r="B3" s="648"/>
      <c r="C3" s="845" t="s">
        <v>77</v>
      </c>
      <c r="D3" s="846"/>
      <c r="E3" s="847"/>
      <c r="F3" s="145"/>
      <c r="G3" s="645"/>
    </row>
    <row r="4" spans="2:7" ht="21" customHeight="1" thickBot="1" x14ac:dyDescent="0.3">
      <c r="B4" s="648"/>
      <c r="C4" s="147" t="s">
        <v>78</v>
      </c>
      <c r="D4" s="148"/>
      <c r="E4" s="149" t="s">
        <v>79</v>
      </c>
      <c r="F4" s="150" t="s">
        <v>80</v>
      </c>
      <c r="G4" s="645"/>
    </row>
    <row r="5" spans="2:7" ht="36" customHeight="1" thickBot="1" x14ac:dyDescent="0.3">
      <c r="B5" s="648"/>
      <c r="C5" s="151"/>
      <c r="D5" s="152" t="str">
        <f>IF(C5="","",(VLOOKUP($C5,EWC,4,FALSE)))</f>
        <v/>
      </c>
      <c r="E5" s="153"/>
      <c r="F5" s="154" t="str">
        <f>IF(C5="","",IF(E5="","",(D5*E5)))</f>
        <v/>
      </c>
      <c r="G5" s="645"/>
    </row>
    <row r="6" spans="2:7" x14ac:dyDescent="0.25">
      <c r="B6" s="648"/>
      <c r="C6" s="155"/>
      <c r="D6" s="155"/>
      <c r="E6" s="155"/>
      <c r="F6" s="155"/>
      <c r="G6" s="645"/>
    </row>
    <row r="7" spans="2:7" ht="15" x14ac:dyDescent="0.3">
      <c r="B7" s="648"/>
      <c r="C7" s="156" t="s">
        <v>81</v>
      </c>
      <c r="D7" s="155"/>
      <c r="E7" s="155"/>
      <c r="F7" s="155"/>
      <c r="G7" s="645"/>
    </row>
    <row r="8" spans="2:7" ht="13.8" x14ac:dyDescent="0.3">
      <c r="B8" s="648"/>
      <c r="C8" s="157" t="s">
        <v>82</v>
      </c>
      <c r="D8" s="155"/>
      <c r="E8" s="155"/>
      <c r="F8" s="155"/>
      <c r="G8" s="645"/>
    </row>
    <row r="9" spans="2:7" ht="15" x14ac:dyDescent="0.3">
      <c r="B9" s="648"/>
      <c r="C9" s="157" t="s">
        <v>83</v>
      </c>
      <c r="D9" s="155"/>
      <c r="E9" s="155"/>
      <c r="F9" s="155"/>
      <c r="G9" s="645"/>
    </row>
    <row r="10" spans="2:7" ht="13.8" x14ac:dyDescent="0.3">
      <c r="B10" s="648"/>
      <c r="C10" s="157" t="s">
        <v>84</v>
      </c>
      <c r="D10" s="155"/>
      <c r="E10" s="155"/>
      <c r="F10" s="155"/>
      <c r="G10" s="645"/>
    </row>
    <row r="11" spans="2:7" ht="13.8" thickBot="1" x14ac:dyDescent="0.3">
      <c r="B11" s="649"/>
      <c r="C11" s="159"/>
      <c r="D11" s="159"/>
      <c r="E11" s="159"/>
      <c r="F11" s="159"/>
      <c r="G11" s="646"/>
    </row>
    <row r="12" spans="2:7" ht="13.8" thickBot="1" x14ac:dyDescent="0.3"/>
    <row r="13" spans="2:7" ht="13.8" thickBot="1" x14ac:dyDescent="0.3">
      <c r="B13" s="647"/>
      <c r="C13" s="142"/>
      <c r="D13" s="142"/>
      <c r="E13" s="142"/>
      <c r="F13" s="142"/>
      <c r="G13" s="644"/>
    </row>
    <row r="14" spans="2:7" ht="30" customHeight="1" x14ac:dyDescent="0.3">
      <c r="B14" s="648"/>
      <c r="C14" s="845" t="s">
        <v>85</v>
      </c>
      <c r="D14" s="848"/>
      <c r="E14" s="848"/>
      <c r="F14" s="161"/>
      <c r="G14" s="645"/>
    </row>
    <row r="15" spans="2:7" ht="21" customHeight="1" thickBot="1" x14ac:dyDescent="0.35">
      <c r="B15" s="648"/>
      <c r="C15" s="147" t="s">
        <v>78</v>
      </c>
      <c r="D15" s="162"/>
      <c r="E15" s="149" t="s">
        <v>80</v>
      </c>
      <c r="F15" s="150" t="s">
        <v>79</v>
      </c>
      <c r="G15" s="645"/>
    </row>
    <row r="16" spans="2:7" ht="36" customHeight="1" thickBot="1" x14ac:dyDescent="0.35">
      <c r="B16" s="648"/>
      <c r="C16" s="151"/>
      <c r="D16" s="163" t="str">
        <f>IF(C16="","",(VLOOKUP($C16,EWC,4,FALSE)))</f>
        <v/>
      </c>
      <c r="E16" s="164"/>
      <c r="F16" s="165" t="str">
        <f>IF(E16="","",IF(C16="","",(E16/D16)))</f>
        <v/>
      </c>
      <c r="G16" s="645"/>
    </row>
    <row r="17" spans="2:7" x14ac:dyDescent="0.25">
      <c r="B17" s="648"/>
      <c r="C17" s="651"/>
      <c r="D17" s="651"/>
      <c r="E17" s="651"/>
      <c r="F17" s="651"/>
      <c r="G17" s="645"/>
    </row>
    <row r="18" spans="2:7" ht="15" x14ac:dyDescent="0.3">
      <c r="B18" s="648"/>
      <c r="C18" s="156" t="s">
        <v>86</v>
      </c>
      <c r="D18" s="157"/>
      <c r="E18" s="157"/>
      <c r="F18" s="157"/>
      <c r="G18" s="645"/>
    </row>
    <row r="19" spans="2:7" ht="13.8" x14ac:dyDescent="0.3">
      <c r="B19" s="648"/>
      <c r="C19" s="157" t="s">
        <v>82</v>
      </c>
      <c r="D19" s="157"/>
      <c r="E19" s="157"/>
      <c r="F19" s="157"/>
      <c r="G19" s="645"/>
    </row>
    <row r="20" spans="2:7" ht="13.8" x14ac:dyDescent="0.3">
      <c r="B20" s="648"/>
      <c r="C20" s="157" t="s">
        <v>87</v>
      </c>
      <c r="D20" s="157"/>
      <c r="E20" s="157"/>
      <c r="F20" s="157"/>
      <c r="G20" s="645"/>
    </row>
    <row r="21" spans="2:7" ht="15" x14ac:dyDescent="0.3">
      <c r="B21" s="648"/>
      <c r="C21" s="157" t="s">
        <v>88</v>
      </c>
      <c r="D21" s="157"/>
      <c r="E21" s="157"/>
      <c r="F21" s="157"/>
      <c r="G21" s="645"/>
    </row>
    <row r="22" spans="2:7" ht="13.8" thickBot="1" x14ac:dyDescent="0.3">
      <c r="B22" s="649"/>
      <c r="C22" s="159"/>
      <c r="D22" s="159"/>
      <c r="E22" s="159"/>
      <c r="F22" s="159"/>
      <c r="G22" s="646"/>
    </row>
    <row r="23" spans="2:7" ht="13.8" thickBot="1" x14ac:dyDescent="0.3"/>
    <row r="24" spans="2:7" ht="13.8" thickBot="1" x14ac:dyDescent="0.3">
      <c r="B24" s="647"/>
      <c r="C24" s="142"/>
      <c r="D24" s="142"/>
      <c r="E24" s="142"/>
      <c r="F24" s="142"/>
      <c r="G24" s="644"/>
    </row>
    <row r="25" spans="2:7" ht="30" customHeight="1" x14ac:dyDescent="0.3">
      <c r="B25" s="648"/>
      <c r="C25" s="845" t="s">
        <v>89</v>
      </c>
      <c r="D25" s="848"/>
      <c r="E25" s="848"/>
      <c r="F25" s="161"/>
      <c r="G25" s="645"/>
    </row>
    <row r="26" spans="2:7" ht="21" customHeight="1" thickBot="1" x14ac:dyDescent="0.35">
      <c r="B26" s="648"/>
      <c r="C26" s="147" t="s">
        <v>90</v>
      </c>
      <c r="D26" s="162"/>
      <c r="E26" s="149" t="s">
        <v>91</v>
      </c>
      <c r="F26" s="150" t="s">
        <v>79</v>
      </c>
      <c r="G26" s="645"/>
    </row>
    <row r="27" spans="2:7" ht="36" customHeight="1" thickBot="1" x14ac:dyDescent="0.35">
      <c r="B27" s="648"/>
      <c r="C27" s="166"/>
      <c r="D27" s="643" t="str">
        <f>IF(C27="","",(VLOOKUP($C27,Container_Volume,2,FALSE)))</f>
        <v/>
      </c>
      <c r="E27" s="164"/>
      <c r="F27" s="167" t="str">
        <f>IF(E27="","",(E27*D27))</f>
        <v/>
      </c>
      <c r="G27" s="645"/>
    </row>
    <row r="28" spans="2:7" ht="13.8" x14ac:dyDescent="0.3">
      <c r="B28" s="648"/>
      <c r="C28" s="157"/>
      <c r="D28" s="157"/>
      <c r="E28" s="157"/>
      <c r="F28" s="157"/>
      <c r="G28" s="645"/>
    </row>
    <row r="29" spans="2:7" ht="13.8" x14ac:dyDescent="0.3">
      <c r="B29" s="648"/>
      <c r="C29" s="156" t="s">
        <v>92</v>
      </c>
      <c r="D29" s="157"/>
      <c r="E29" s="157"/>
      <c r="F29" s="157"/>
      <c r="G29" s="645"/>
    </row>
    <row r="30" spans="2:7" ht="13.8" x14ac:dyDescent="0.3">
      <c r="B30" s="648"/>
      <c r="C30" s="157" t="s">
        <v>93</v>
      </c>
      <c r="D30" s="157"/>
      <c r="E30" s="157"/>
      <c r="F30" s="157"/>
      <c r="G30" s="645"/>
    </row>
    <row r="31" spans="2:7" ht="13.8" x14ac:dyDescent="0.3">
      <c r="B31" s="648"/>
      <c r="C31" s="157" t="s">
        <v>94</v>
      </c>
      <c r="D31" s="157"/>
      <c r="E31" s="157"/>
      <c r="F31" s="157"/>
      <c r="G31" s="645"/>
    </row>
    <row r="32" spans="2:7" ht="15" x14ac:dyDescent="0.3">
      <c r="B32" s="648"/>
      <c r="C32" s="157" t="s">
        <v>95</v>
      </c>
      <c r="D32" s="157"/>
      <c r="E32" s="157"/>
      <c r="F32" s="157"/>
      <c r="G32" s="645"/>
    </row>
    <row r="33" spans="2:7" ht="13.8" thickBot="1" x14ac:dyDescent="0.3">
      <c r="B33" s="649"/>
      <c r="C33" s="652"/>
      <c r="D33" s="652"/>
      <c r="E33" s="652"/>
      <c r="F33" s="652"/>
      <c r="G33" s="646"/>
    </row>
    <row r="34" spans="2:7" ht="13.8" thickBot="1" x14ac:dyDescent="0.3"/>
    <row r="35" spans="2:7" ht="13.8" thickBot="1" x14ac:dyDescent="0.3">
      <c r="B35" s="647"/>
      <c r="C35" s="650"/>
      <c r="D35" s="650"/>
      <c r="E35" s="650"/>
      <c r="F35" s="650"/>
      <c r="G35" s="644"/>
    </row>
    <row r="36" spans="2:7" ht="20.25" customHeight="1" thickBot="1" x14ac:dyDescent="0.35">
      <c r="B36" s="648"/>
      <c r="C36" s="157"/>
      <c r="D36" s="168"/>
      <c r="E36" s="169" t="s">
        <v>96</v>
      </c>
      <c r="F36" s="170" t="s">
        <v>79</v>
      </c>
      <c r="G36" s="645"/>
    </row>
    <row r="37" spans="2:7" ht="30" customHeight="1" thickBot="1" x14ac:dyDescent="0.35">
      <c r="B37" s="648"/>
      <c r="C37" s="171" t="s">
        <v>97</v>
      </c>
      <c r="D37" s="168">
        <v>0.76455485798</v>
      </c>
      <c r="E37" s="164"/>
      <c r="F37" s="167">
        <f>E37*D37</f>
        <v>0</v>
      </c>
      <c r="G37" s="645"/>
    </row>
    <row r="38" spans="2:7" ht="13.8" x14ac:dyDescent="0.3">
      <c r="B38" s="648"/>
      <c r="C38" s="157"/>
      <c r="D38" s="157"/>
      <c r="E38" s="157"/>
      <c r="F38" s="157"/>
      <c r="G38" s="645"/>
    </row>
    <row r="39" spans="2:7" ht="13.8" x14ac:dyDescent="0.3">
      <c r="B39" s="648"/>
      <c r="C39" s="156" t="s">
        <v>98</v>
      </c>
      <c r="D39" s="157"/>
      <c r="E39" s="157"/>
      <c r="F39" s="157"/>
      <c r="G39" s="645"/>
    </row>
    <row r="40" spans="2:7" ht="24" customHeight="1" x14ac:dyDescent="0.3">
      <c r="B40" s="648"/>
      <c r="C40" s="849" t="s">
        <v>99</v>
      </c>
      <c r="D40" s="849"/>
      <c r="E40" s="849"/>
      <c r="F40" s="849"/>
      <c r="G40" s="645"/>
    </row>
    <row r="41" spans="2:7" ht="13.8" x14ac:dyDescent="0.3">
      <c r="B41" s="648"/>
      <c r="C41" s="157" t="s">
        <v>100</v>
      </c>
      <c r="D41" s="157"/>
      <c r="E41" s="157"/>
      <c r="F41" s="157"/>
      <c r="G41" s="645"/>
    </row>
    <row r="42" spans="2:7" ht="13.8" x14ac:dyDescent="0.3">
      <c r="B42" s="648"/>
      <c r="C42" s="157" t="s">
        <v>101</v>
      </c>
      <c r="D42" s="157"/>
      <c r="E42" s="157"/>
      <c r="F42" s="157"/>
      <c r="G42" s="645"/>
    </row>
    <row r="43" spans="2:7" ht="15" x14ac:dyDescent="0.3">
      <c r="B43" s="648"/>
      <c r="C43" s="157" t="s">
        <v>95</v>
      </c>
      <c r="D43" s="157"/>
      <c r="E43" s="157"/>
      <c r="F43" s="157"/>
      <c r="G43" s="645"/>
    </row>
    <row r="44" spans="2:7" x14ac:dyDescent="0.25">
      <c r="B44" s="648"/>
      <c r="C44" s="651"/>
      <c r="D44" s="651"/>
      <c r="E44" s="651"/>
      <c r="F44" s="651"/>
      <c r="G44" s="645"/>
    </row>
    <row r="45" spans="2:7" ht="13.8" thickBot="1" x14ac:dyDescent="0.3">
      <c r="B45" s="649"/>
      <c r="C45" s="652"/>
      <c r="D45" s="652"/>
      <c r="E45" s="652"/>
      <c r="F45" s="652"/>
      <c r="G45" s="646"/>
    </row>
  </sheetData>
  <sheetProtection algorithmName="SHA-512" hashValue="MPI9L81e/Jg3RgNr7FHvXezCIxtE+n2TmwRp9qPnmeI0lph1HvL8sAoESKoFbMGT6e/rZVg7SzSYeTn6lzIvcg==" saltValue="8M0ZIhErqn5TIidLWI5nnA==" spinCount="100000" sheet="1" objects="1" scenarios="1"/>
  <mergeCells count="4">
    <mergeCell ref="C3:E3"/>
    <mergeCell ref="C14:E14"/>
    <mergeCell ref="C25:E25"/>
    <mergeCell ref="C40:F40"/>
  </mergeCells>
  <dataValidations count="2">
    <dataValidation type="list" allowBlank="1" showInputMessage="1" showErrorMessage="1" sqref="C5 C16" xr:uid="{4F2732F9-8E0C-45AC-9A48-2F4983489EA3}">
      <formula1>Waste_Type</formula1>
    </dataValidation>
    <dataValidation type="list" allowBlank="1" showInputMessage="1" showErrorMessage="1" sqref="C27" xr:uid="{192D01BB-1857-4FE4-AD64-7768BBCD5327}">
      <formula1>Container_Size</formula1>
    </dataValidation>
  </dataValidations>
  <printOptions horizontalCentered="1"/>
  <pageMargins left="0.15748031496062992" right="0.15748031496062992" top="0.59055118110236227" bottom="0.39370078740157483" header="0.51181102362204722" footer="0.51181102362204722"/>
  <pageSetup paperSize="9" scale="55" orientation="portrait" r:id="rId1"/>
  <headerFooter alignWithMargins="0">
    <oddFooter>&amp;LFM-HSS-W01-01&amp;CJanuary 2020&amp;RRev 17.0</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337E-1D9A-4941-B856-E476631BF9F4}">
  <sheetPr codeName="Sheet1">
    <tabColor indexed="14"/>
  </sheetPr>
  <dimension ref="B2:GE491"/>
  <sheetViews>
    <sheetView showGridLines="0" showZeros="0" zoomScaleNormal="100" workbookViewId="0">
      <selection activeCell="BB26" sqref="BB26"/>
    </sheetView>
  </sheetViews>
  <sheetFormatPr defaultColWidth="9.109375" defaultRowHeight="13.2" x14ac:dyDescent="0.25"/>
  <cols>
    <col min="1" max="1" width="1.109375" style="48" customWidth="1"/>
    <col min="2" max="2" width="3.77734375" style="48" customWidth="1"/>
    <col min="3" max="3" width="43.77734375" style="48" customWidth="1"/>
    <col min="4" max="4" width="17.44140625" style="48" customWidth="1"/>
    <col min="5" max="5" width="12.109375" style="48" customWidth="1"/>
    <col min="6" max="6" width="18.44140625" style="48" customWidth="1"/>
    <col min="7" max="7" width="46.109375" style="48" customWidth="1"/>
    <col min="8" max="8" width="19.109375" style="48" customWidth="1"/>
    <col min="9" max="11" width="12.6640625" style="48" customWidth="1"/>
    <col min="12" max="12" width="2.44140625" style="48" customWidth="1"/>
    <col min="13" max="13" width="10" style="48" customWidth="1"/>
    <col min="14" max="14" width="9.109375" style="48" hidden="1" customWidth="1"/>
    <col min="15" max="21" width="10.33203125" style="48" hidden="1" customWidth="1"/>
    <col min="22" max="22" width="9.109375" style="48" hidden="1" customWidth="1"/>
    <col min="23" max="23" width="16.109375" style="48" hidden="1" customWidth="1"/>
    <col min="24" max="24" width="9.109375" style="48" hidden="1" customWidth="1"/>
    <col min="25" max="25" width="32.6640625" style="48" hidden="1" customWidth="1"/>
    <col min="26" max="27" width="12" style="48" hidden="1" customWidth="1"/>
    <col min="28" max="45" width="17.6640625" style="48" hidden="1" customWidth="1"/>
    <col min="46" max="48" width="9.109375" style="48" hidden="1" customWidth="1"/>
    <col min="49" max="50" width="9.109375" style="48" customWidth="1"/>
    <col min="51" max="51" width="18.109375" style="48" customWidth="1"/>
    <col min="52" max="52" width="14.77734375" style="48" customWidth="1"/>
    <col min="53" max="53" width="9.109375" style="48"/>
    <col min="54" max="55" width="9.44140625" style="48" customWidth="1"/>
    <col min="56" max="85" width="9.109375" style="48"/>
    <col min="86" max="87" width="9.33203125" style="48" customWidth="1"/>
    <col min="88" max="107" width="9.109375" style="48"/>
    <col min="108" max="109" width="9.33203125" style="48" customWidth="1"/>
    <col min="110" max="113" width="9.109375" style="48"/>
    <col min="114" max="115" width="10" style="48" customWidth="1"/>
    <col min="116" max="137" width="9.109375" style="48"/>
    <col min="138" max="139" width="9.44140625" style="48" customWidth="1"/>
    <col min="140" max="147" width="9.109375" style="48"/>
    <col min="148" max="149" width="9" style="48" customWidth="1"/>
    <col min="150" max="179" width="9.109375" style="48"/>
    <col min="180" max="180" width="9.44140625" style="48" customWidth="1"/>
    <col min="181" max="186" width="9.109375" style="48"/>
    <col min="187" max="187" width="9.109375" style="172"/>
    <col min="188" max="197" width="9.109375" style="48"/>
    <col min="198" max="201" width="10" style="48" customWidth="1"/>
    <col min="202" max="202" width="9.109375" style="48"/>
    <col min="203" max="203" width="16.6640625" style="48" customWidth="1"/>
    <col min="204" max="205" width="20.44140625" style="48" customWidth="1"/>
    <col min="206" max="207" width="22.33203125" style="48" customWidth="1"/>
    <col min="208" max="209" width="21.33203125" style="48" customWidth="1"/>
    <col min="210" max="211" width="20" style="48" customWidth="1"/>
    <col min="212" max="213" width="23.6640625" style="48" customWidth="1"/>
    <col min="214" max="215" width="19.6640625" style="48" customWidth="1"/>
    <col min="216" max="217" width="21.44140625" style="48" customWidth="1"/>
    <col min="218" max="219" width="25.109375" style="48" customWidth="1"/>
    <col min="220" max="221" width="21.109375" style="48" customWidth="1"/>
    <col min="222" max="16384" width="9.109375" style="48"/>
  </cols>
  <sheetData>
    <row r="2" spans="2:35" ht="15.6" x14ac:dyDescent="0.25">
      <c r="C2" s="888" t="s">
        <v>102</v>
      </c>
      <c r="D2" s="888"/>
      <c r="E2" s="888"/>
      <c r="F2" s="888"/>
      <c r="G2" s="888"/>
      <c r="H2" s="888"/>
      <c r="I2" s="888"/>
      <c r="J2" s="888"/>
      <c r="K2" s="888"/>
    </row>
    <row r="3" spans="2:35" ht="12" customHeight="1" thickBot="1" x14ac:dyDescent="0.35">
      <c r="C3" s="168"/>
      <c r="D3" s="168"/>
      <c r="E3" s="168"/>
      <c r="F3" s="168"/>
      <c r="G3" s="168"/>
      <c r="H3" s="168"/>
      <c r="I3" s="168"/>
      <c r="J3" s="168"/>
      <c r="K3" s="168"/>
    </row>
    <row r="4" spans="2:35" ht="14.4" hidden="1" thickBot="1" x14ac:dyDescent="0.35">
      <c r="C4" s="168"/>
      <c r="D4" s="168"/>
      <c r="E4" s="168"/>
      <c r="F4" s="168"/>
      <c r="G4" s="168"/>
      <c r="H4" s="168"/>
      <c r="I4" s="168"/>
      <c r="J4" s="168"/>
      <c r="K4" s="168"/>
    </row>
    <row r="5" spans="2:35" ht="26.25" customHeight="1" x14ac:dyDescent="0.3">
      <c r="B5" s="127"/>
      <c r="C5" s="173"/>
      <c r="D5" s="173"/>
      <c r="E5" s="173"/>
      <c r="F5" s="173"/>
      <c r="G5" s="173"/>
      <c r="H5" s="173"/>
      <c r="I5" s="173"/>
      <c r="J5" s="173"/>
      <c r="K5" s="173"/>
      <c r="L5" s="129"/>
      <c r="O5" s="110" t="s">
        <v>103</v>
      </c>
      <c r="P5" s="110"/>
      <c r="Y5" s="889" t="s">
        <v>104</v>
      </c>
      <c r="Z5" s="881" t="s">
        <v>105</v>
      </c>
      <c r="AA5" s="892" t="s">
        <v>106</v>
      </c>
      <c r="AB5" s="894" t="s">
        <v>107</v>
      </c>
      <c r="AC5" s="883" t="s">
        <v>108</v>
      </c>
      <c r="AD5" s="881" t="s">
        <v>109</v>
      </c>
      <c r="AE5" s="883" t="s">
        <v>110</v>
      </c>
      <c r="AF5" s="881" t="s">
        <v>111</v>
      </c>
      <c r="AG5" s="881" t="s">
        <v>112</v>
      </c>
      <c r="AH5" s="886" t="s">
        <v>113</v>
      </c>
      <c r="AI5" s="886" t="s">
        <v>114</v>
      </c>
    </row>
    <row r="6" spans="2:35" ht="51.75" customHeight="1" thickBot="1" x14ac:dyDescent="0.3">
      <c r="B6" s="130"/>
      <c r="C6" s="174" t="s">
        <v>104</v>
      </c>
      <c r="D6" s="174" t="s">
        <v>115</v>
      </c>
      <c r="E6" s="174" t="s">
        <v>105</v>
      </c>
      <c r="F6" s="174" t="s">
        <v>116</v>
      </c>
      <c r="G6" s="174" t="s">
        <v>117</v>
      </c>
      <c r="H6" s="174" t="s">
        <v>118</v>
      </c>
      <c r="I6" s="896" t="s">
        <v>119</v>
      </c>
      <c r="J6" s="897"/>
      <c r="K6" s="898"/>
      <c r="L6" s="176"/>
      <c r="Y6" s="890"/>
      <c r="Z6" s="891"/>
      <c r="AA6" s="893"/>
      <c r="AB6" s="895"/>
      <c r="AC6" s="884"/>
      <c r="AD6" s="882"/>
      <c r="AE6" s="884"/>
      <c r="AF6" s="885"/>
      <c r="AG6" s="885"/>
      <c r="AH6" s="887"/>
      <c r="AI6" s="887"/>
    </row>
    <row r="7" spans="2:35" ht="35.25" customHeight="1" thickBot="1" x14ac:dyDescent="0.3">
      <c r="B7" s="130"/>
      <c r="C7" s="135" t="s">
        <v>120</v>
      </c>
      <c r="D7" s="177" t="s">
        <v>237</v>
      </c>
      <c r="E7" s="178">
        <f t="shared" ref="E7:E18" si="0">IF(C7="","",(VLOOKUP($C7,EWC,2,FALSE)))</f>
        <v>150106</v>
      </c>
      <c r="F7" s="178" t="str">
        <f t="shared" ref="F7:F18" si="1">IF(C7="","",(VLOOKUP($C7,EWC,3,FALSE)))</f>
        <v>NH</v>
      </c>
      <c r="G7" s="137" t="s">
        <v>121</v>
      </c>
      <c r="H7" s="179" t="s">
        <v>29</v>
      </c>
      <c r="I7" s="180"/>
      <c r="J7" s="181" t="e">
        <f>IF(AND(G7="Recycled Off Site - Transfer Station, MRF, EfW",H7&gt;0),(N7*H7),"")</f>
        <v>#VALUE!</v>
      </c>
      <c r="K7" s="181" t="e">
        <f>IF(AND(G7="Recycled Off Site - Transfer Station, MRF, EfW",H7&gt;0),(H7-J7),"")</f>
        <v>#VALUE!</v>
      </c>
      <c r="L7" s="132"/>
      <c r="N7" s="182">
        <f>IF(H7="","",(IF($I7&gt;0,I7,75%)))</f>
        <v>0.75</v>
      </c>
      <c r="O7" s="183" t="str">
        <f t="shared" ref="O7:O30" si="2">IF(OR(E7=170504,E7=170101,E7=170102,E7=170103,E7=170107),H7/2,"0")</f>
        <v>0</v>
      </c>
      <c r="P7" s="184" t="str">
        <f t="shared" ref="P7:P30" si="3">IF(G7="Landfill",O7,"0")</f>
        <v>0</v>
      </c>
      <c r="Q7" s="185" t="e">
        <f>IF(K7="",0,K7)</f>
        <v>#VALUE!</v>
      </c>
      <c r="R7" s="183">
        <f>IF(G7="Landfill",H7,0)</f>
        <v>0</v>
      </c>
      <c r="S7" s="184" t="e">
        <f>R7-P7+Q7</f>
        <v>#VALUE!</v>
      </c>
      <c r="T7" s="185"/>
      <c r="U7" s="186">
        <f>IF(G7="Re Use Off Site",H7,0)</f>
        <v>0</v>
      </c>
      <c r="V7" s="184">
        <f>U7+P7</f>
        <v>0</v>
      </c>
      <c r="Y7" s="187" t="s">
        <v>122</v>
      </c>
      <c r="Z7" s="188">
        <v>80410</v>
      </c>
      <c r="AA7" s="189" t="s">
        <v>123</v>
      </c>
      <c r="AB7" s="190">
        <f t="shared" ref="AB7:AG7" si="4">SUM(AC120:AC122)</f>
        <v>0</v>
      </c>
      <c r="AC7" s="190">
        <f t="shared" si="4"/>
        <v>0</v>
      </c>
      <c r="AD7" s="190">
        <f t="shared" si="4"/>
        <v>0</v>
      </c>
      <c r="AE7" s="190">
        <f t="shared" si="4"/>
        <v>0</v>
      </c>
      <c r="AF7" s="190">
        <f t="shared" si="4"/>
        <v>0</v>
      </c>
      <c r="AG7" s="190">
        <f t="shared" si="4"/>
        <v>0</v>
      </c>
      <c r="AH7" s="191">
        <f t="shared" ref="AH7:AH70" si="5">AB7+AC7+AD7+AE7+AJ7+AL7+AG7</f>
        <v>0</v>
      </c>
      <c r="AI7" s="192">
        <f t="shared" ref="AI7:AI70" si="6">AC7+AE7+AJ7+AL7+AG7</f>
        <v>0</v>
      </c>
    </row>
    <row r="8" spans="2:35" ht="35.25" customHeight="1" thickBot="1" x14ac:dyDescent="0.3">
      <c r="B8" s="130"/>
      <c r="C8" s="135" t="s">
        <v>124</v>
      </c>
      <c r="D8" s="177" t="s">
        <v>237</v>
      </c>
      <c r="E8" s="178">
        <f t="shared" si="0"/>
        <v>170107</v>
      </c>
      <c r="F8" s="178" t="str">
        <f t="shared" si="1"/>
        <v>NH</v>
      </c>
      <c r="G8" s="137" t="s">
        <v>121</v>
      </c>
      <c r="H8" s="179" t="s">
        <v>29</v>
      </c>
      <c r="I8" s="180"/>
      <c r="J8" s="181" t="e">
        <f t="shared" ref="J8:J30" si="7">IF(AND(G8="Recycled Off Site - Transfer Station, MRF, EfW",H8&gt;0),(N8*H8),"")</f>
        <v>#VALUE!</v>
      </c>
      <c r="K8" s="181" t="e">
        <f t="shared" ref="K8:K30" si="8">IF(AND(G8="Recycled Off Site - Transfer Station, MRF, EfW",H8&gt;0),(H8-J8),"")</f>
        <v>#VALUE!</v>
      </c>
      <c r="L8" s="132"/>
      <c r="N8" s="182">
        <f t="shared" ref="N8:N30" si="9">IF(H8="","",(IF($I8&gt;0,I8,75%)))</f>
        <v>0.75</v>
      </c>
      <c r="O8" s="193" t="e">
        <f t="shared" si="2"/>
        <v>#VALUE!</v>
      </c>
      <c r="P8" s="194" t="str">
        <f t="shared" si="3"/>
        <v>0</v>
      </c>
      <c r="Q8" s="185" t="e">
        <f t="shared" ref="Q8:Q31" si="10">IF(K8="",0,K8)</f>
        <v>#VALUE!</v>
      </c>
      <c r="R8" s="193">
        <f t="shared" ref="R8:R30" si="11">IF(G8="Landfill",H8,0)</f>
        <v>0</v>
      </c>
      <c r="S8" s="184" t="e">
        <f t="shared" ref="S8:S30" si="12">R8-P8+Q8</f>
        <v>#VALUE!</v>
      </c>
      <c r="T8" s="185"/>
      <c r="U8" s="186">
        <f t="shared" ref="U8:U30" si="13">IF(G8="Re Use Off Site",H8,0)</f>
        <v>0</v>
      </c>
      <c r="V8" s="184">
        <f t="shared" ref="V8:V30" si="14">U8+P8</f>
        <v>0</v>
      </c>
      <c r="Y8" s="195" t="s">
        <v>125</v>
      </c>
      <c r="Z8" s="196">
        <v>80409</v>
      </c>
      <c r="AA8" s="197" t="s">
        <v>126</v>
      </c>
      <c r="AB8" s="190">
        <f t="shared" ref="AB8:AG8" si="15">SUM(AC123:AC125)</f>
        <v>0</v>
      </c>
      <c r="AC8" s="190">
        <f t="shared" si="15"/>
        <v>0</v>
      </c>
      <c r="AD8" s="190">
        <f t="shared" si="15"/>
        <v>0</v>
      </c>
      <c r="AE8" s="190">
        <f t="shared" si="15"/>
        <v>0</v>
      </c>
      <c r="AF8" s="190">
        <f t="shared" si="15"/>
        <v>0</v>
      </c>
      <c r="AG8" s="190">
        <f t="shared" si="15"/>
        <v>0</v>
      </c>
      <c r="AH8" s="191">
        <f t="shared" si="5"/>
        <v>0</v>
      </c>
      <c r="AI8" s="192">
        <f t="shared" si="6"/>
        <v>0</v>
      </c>
    </row>
    <row r="9" spans="2:35" ht="35.25" customHeight="1" thickBot="1" x14ac:dyDescent="0.3">
      <c r="B9" s="130"/>
      <c r="C9" s="135" t="s">
        <v>127</v>
      </c>
      <c r="D9" s="177" t="s">
        <v>237</v>
      </c>
      <c r="E9" s="178">
        <f t="shared" si="0"/>
        <v>170504</v>
      </c>
      <c r="F9" s="178" t="str">
        <f t="shared" si="1"/>
        <v>I</v>
      </c>
      <c r="G9" s="137" t="s">
        <v>121</v>
      </c>
      <c r="H9" s="179" t="s">
        <v>29</v>
      </c>
      <c r="I9" s="180"/>
      <c r="J9" s="181" t="e">
        <f t="shared" si="7"/>
        <v>#VALUE!</v>
      </c>
      <c r="K9" s="181" t="e">
        <f t="shared" si="8"/>
        <v>#VALUE!</v>
      </c>
      <c r="L9" s="132"/>
      <c r="N9" s="182">
        <f t="shared" si="9"/>
        <v>0.75</v>
      </c>
      <c r="O9" s="193" t="e">
        <f t="shared" si="2"/>
        <v>#VALUE!</v>
      </c>
      <c r="P9" s="194" t="str">
        <f t="shared" si="3"/>
        <v>0</v>
      </c>
      <c r="Q9" s="185" t="e">
        <f t="shared" si="10"/>
        <v>#VALUE!</v>
      </c>
      <c r="R9" s="193">
        <f t="shared" si="11"/>
        <v>0</v>
      </c>
      <c r="S9" s="184" t="e">
        <f t="shared" si="12"/>
        <v>#VALUE!</v>
      </c>
      <c r="T9" s="185"/>
      <c r="U9" s="186">
        <f t="shared" si="13"/>
        <v>0</v>
      </c>
      <c r="V9" s="184">
        <f t="shared" si="14"/>
        <v>0</v>
      </c>
      <c r="Y9" s="195" t="s">
        <v>128</v>
      </c>
      <c r="Z9" s="196">
        <v>80411</v>
      </c>
      <c r="AA9" s="197" t="s">
        <v>126</v>
      </c>
      <c r="AB9" s="198">
        <f t="shared" ref="AB9:AG9" si="16">SUM(AC126:AC128)</f>
        <v>0</v>
      </c>
      <c r="AC9" s="198">
        <f t="shared" si="16"/>
        <v>0</v>
      </c>
      <c r="AD9" s="198">
        <f t="shared" si="16"/>
        <v>0</v>
      </c>
      <c r="AE9" s="198">
        <f t="shared" si="16"/>
        <v>0</v>
      </c>
      <c r="AF9" s="198">
        <f t="shared" si="16"/>
        <v>0</v>
      </c>
      <c r="AG9" s="198">
        <f t="shared" si="16"/>
        <v>0</v>
      </c>
      <c r="AH9" s="191">
        <f t="shared" si="5"/>
        <v>0</v>
      </c>
      <c r="AI9" s="192">
        <f t="shared" si="6"/>
        <v>0</v>
      </c>
    </row>
    <row r="10" spans="2:35" ht="35.25" customHeight="1" thickBot="1" x14ac:dyDescent="0.3">
      <c r="B10" s="130"/>
      <c r="C10" s="135" t="s">
        <v>129</v>
      </c>
      <c r="D10" s="177" t="s">
        <v>237</v>
      </c>
      <c r="E10" s="178">
        <f t="shared" si="0"/>
        <v>170302</v>
      </c>
      <c r="F10" s="178" t="str">
        <f t="shared" si="1"/>
        <v>NH</v>
      </c>
      <c r="G10" s="137" t="s">
        <v>121</v>
      </c>
      <c r="H10" s="179" t="s">
        <v>29</v>
      </c>
      <c r="I10" s="180"/>
      <c r="J10" s="181" t="e">
        <f t="shared" si="7"/>
        <v>#VALUE!</v>
      </c>
      <c r="K10" s="181" t="e">
        <f t="shared" si="8"/>
        <v>#VALUE!</v>
      </c>
      <c r="L10" s="132"/>
      <c r="N10" s="182">
        <f t="shared" si="9"/>
        <v>0.75</v>
      </c>
      <c r="O10" s="193" t="str">
        <f t="shared" si="2"/>
        <v>0</v>
      </c>
      <c r="P10" s="194" t="str">
        <f t="shared" si="3"/>
        <v>0</v>
      </c>
      <c r="Q10" s="185" t="e">
        <f t="shared" si="10"/>
        <v>#VALUE!</v>
      </c>
      <c r="R10" s="193">
        <f t="shared" si="11"/>
        <v>0</v>
      </c>
      <c r="S10" s="184" t="e">
        <f t="shared" si="12"/>
        <v>#VALUE!</v>
      </c>
      <c r="T10" s="185"/>
      <c r="U10" s="186">
        <f t="shared" si="13"/>
        <v>0</v>
      </c>
      <c r="V10" s="184">
        <f t="shared" si="14"/>
        <v>0</v>
      </c>
      <c r="Y10" s="199" t="s">
        <v>130</v>
      </c>
      <c r="Z10" s="196">
        <v>150111</v>
      </c>
      <c r="AA10" s="197" t="s">
        <v>123</v>
      </c>
      <c r="AB10" s="198">
        <f t="shared" ref="AB10:AG10" si="17">SUM(AC129:AC131)</f>
        <v>0</v>
      </c>
      <c r="AC10" s="198">
        <f t="shared" si="17"/>
        <v>0</v>
      </c>
      <c r="AD10" s="198">
        <f t="shared" si="17"/>
        <v>0</v>
      </c>
      <c r="AE10" s="198">
        <f t="shared" si="17"/>
        <v>0</v>
      </c>
      <c r="AF10" s="198">
        <f t="shared" si="17"/>
        <v>0</v>
      </c>
      <c r="AG10" s="198">
        <f t="shared" si="17"/>
        <v>0</v>
      </c>
      <c r="AH10" s="191">
        <f t="shared" si="5"/>
        <v>0</v>
      </c>
      <c r="AI10" s="192">
        <f t="shared" si="6"/>
        <v>0</v>
      </c>
    </row>
    <row r="11" spans="2:35" ht="35.25" customHeight="1" thickBot="1" x14ac:dyDescent="0.3">
      <c r="B11" s="130"/>
      <c r="C11" s="135" t="s">
        <v>131</v>
      </c>
      <c r="D11" s="177" t="s">
        <v>237</v>
      </c>
      <c r="E11" s="178">
        <f t="shared" si="0"/>
        <v>170605</v>
      </c>
      <c r="F11" s="178" t="str">
        <f t="shared" si="1"/>
        <v>H</v>
      </c>
      <c r="G11" s="137" t="s">
        <v>132</v>
      </c>
      <c r="H11" s="179" t="s">
        <v>29</v>
      </c>
      <c r="I11" s="180"/>
      <c r="J11" s="181" t="str">
        <f t="shared" si="7"/>
        <v/>
      </c>
      <c r="K11" s="181" t="str">
        <f t="shared" si="8"/>
        <v/>
      </c>
      <c r="L11" s="132"/>
      <c r="N11" s="182">
        <f t="shared" si="9"/>
        <v>0.75</v>
      </c>
      <c r="O11" s="193" t="str">
        <f t="shared" si="2"/>
        <v>0</v>
      </c>
      <c r="P11" s="194" t="str">
        <f t="shared" si="3"/>
        <v>0</v>
      </c>
      <c r="Q11" s="185">
        <f t="shared" si="10"/>
        <v>0</v>
      </c>
      <c r="R11" s="193" t="str">
        <f t="shared" si="11"/>
        <v>TBC</v>
      </c>
      <c r="S11" s="184" t="e">
        <f t="shared" si="12"/>
        <v>#VALUE!</v>
      </c>
      <c r="T11" s="185"/>
      <c r="U11" s="186">
        <f t="shared" si="13"/>
        <v>0</v>
      </c>
      <c r="V11" s="184">
        <f t="shared" si="14"/>
        <v>0</v>
      </c>
      <c r="Y11" s="199" t="s">
        <v>133</v>
      </c>
      <c r="Z11" s="196">
        <v>160504</v>
      </c>
      <c r="AA11" s="197" t="s">
        <v>126</v>
      </c>
      <c r="AB11" s="198">
        <f t="shared" ref="AB11:AG11" si="18">SUM(AC132:AC134)</f>
        <v>0</v>
      </c>
      <c r="AC11" s="198">
        <f t="shared" si="18"/>
        <v>0</v>
      </c>
      <c r="AD11" s="198">
        <f t="shared" si="18"/>
        <v>0</v>
      </c>
      <c r="AE11" s="198">
        <f t="shared" si="18"/>
        <v>0</v>
      </c>
      <c r="AF11" s="198">
        <f t="shared" si="18"/>
        <v>0</v>
      </c>
      <c r="AG11" s="198">
        <f t="shared" si="18"/>
        <v>0</v>
      </c>
      <c r="AH11" s="191">
        <f t="shared" si="5"/>
        <v>0</v>
      </c>
      <c r="AI11" s="192">
        <f t="shared" si="6"/>
        <v>0</v>
      </c>
    </row>
    <row r="12" spans="2:35" ht="35.25" customHeight="1" thickBot="1" x14ac:dyDescent="0.3">
      <c r="B12" s="130"/>
      <c r="C12" s="135" t="s">
        <v>179</v>
      </c>
      <c r="D12" s="177" t="s">
        <v>237</v>
      </c>
      <c r="E12" s="178">
        <f t="shared" si="0"/>
        <v>170407</v>
      </c>
      <c r="F12" s="178" t="str">
        <f t="shared" si="1"/>
        <v>NH</v>
      </c>
      <c r="G12" s="137" t="s">
        <v>121</v>
      </c>
      <c r="H12" s="179" t="s">
        <v>29</v>
      </c>
      <c r="I12" s="180"/>
      <c r="J12" s="181" t="e">
        <f t="shared" si="7"/>
        <v>#VALUE!</v>
      </c>
      <c r="K12" s="181" t="e">
        <f t="shared" si="8"/>
        <v>#VALUE!</v>
      </c>
      <c r="L12" s="132"/>
      <c r="N12" s="182">
        <f t="shared" si="9"/>
        <v>0.75</v>
      </c>
      <c r="O12" s="193" t="str">
        <f t="shared" si="2"/>
        <v>0</v>
      </c>
      <c r="P12" s="194" t="str">
        <f t="shared" si="3"/>
        <v>0</v>
      </c>
      <c r="Q12" s="185" t="e">
        <f t="shared" si="10"/>
        <v>#VALUE!</v>
      </c>
      <c r="R12" s="193">
        <f t="shared" si="11"/>
        <v>0</v>
      </c>
      <c r="S12" s="184" t="e">
        <f t="shared" si="12"/>
        <v>#VALUE!</v>
      </c>
      <c r="T12" s="185"/>
      <c r="U12" s="186">
        <f t="shared" si="13"/>
        <v>0</v>
      </c>
      <c r="V12" s="184">
        <f t="shared" si="14"/>
        <v>0</v>
      </c>
      <c r="Y12" s="195" t="s">
        <v>134</v>
      </c>
      <c r="Z12" s="196">
        <v>160604</v>
      </c>
      <c r="AA12" s="197" t="s">
        <v>123</v>
      </c>
      <c r="AB12" s="198">
        <f t="shared" ref="AB12:AG12" si="19">SUM(AC135:AC137)</f>
        <v>0</v>
      </c>
      <c r="AC12" s="198">
        <f t="shared" si="19"/>
        <v>0</v>
      </c>
      <c r="AD12" s="198">
        <f t="shared" si="19"/>
        <v>0</v>
      </c>
      <c r="AE12" s="198">
        <f t="shared" si="19"/>
        <v>0</v>
      </c>
      <c r="AF12" s="198">
        <f t="shared" si="19"/>
        <v>0</v>
      </c>
      <c r="AG12" s="198">
        <f t="shared" si="19"/>
        <v>0</v>
      </c>
      <c r="AH12" s="191">
        <f t="shared" si="5"/>
        <v>0</v>
      </c>
      <c r="AI12" s="192">
        <f t="shared" si="6"/>
        <v>0</v>
      </c>
    </row>
    <row r="13" spans="2:35" ht="35.25" customHeight="1" thickBot="1" x14ac:dyDescent="0.3">
      <c r="B13" s="130"/>
      <c r="C13" s="135" t="s">
        <v>317</v>
      </c>
      <c r="D13" s="177" t="s">
        <v>237</v>
      </c>
      <c r="E13" s="178">
        <f t="shared" si="0"/>
        <v>200303</v>
      </c>
      <c r="F13" s="178" t="str">
        <f t="shared" si="1"/>
        <v>NH</v>
      </c>
      <c r="G13" s="137" t="s">
        <v>132</v>
      </c>
      <c r="H13" s="179" t="s">
        <v>29</v>
      </c>
      <c r="I13" s="180"/>
      <c r="J13" s="181" t="str">
        <f t="shared" si="7"/>
        <v/>
      </c>
      <c r="K13" s="181" t="str">
        <f t="shared" si="8"/>
        <v/>
      </c>
      <c r="L13" s="132"/>
      <c r="N13" s="182">
        <f t="shared" si="9"/>
        <v>0.75</v>
      </c>
      <c r="O13" s="193" t="str">
        <f t="shared" si="2"/>
        <v>0</v>
      </c>
      <c r="P13" s="194" t="str">
        <f t="shared" si="3"/>
        <v>0</v>
      </c>
      <c r="Q13" s="185">
        <f t="shared" si="10"/>
        <v>0</v>
      </c>
      <c r="R13" s="193" t="str">
        <f t="shared" si="11"/>
        <v>TBC</v>
      </c>
      <c r="S13" s="184" t="e">
        <f t="shared" si="12"/>
        <v>#VALUE!</v>
      </c>
      <c r="T13" s="185"/>
      <c r="U13" s="186">
        <f t="shared" si="13"/>
        <v>0</v>
      </c>
      <c r="V13" s="184">
        <f t="shared" si="14"/>
        <v>0</v>
      </c>
      <c r="Y13" s="195" t="s">
        <v>135</v>
      </c>
      <c r="Z13" s="196">
        <v>160603</v>
      </c>
      <c r="AA13" s="197" t="s">
        <v>126</v>
      </c>
      <c r="AB13" s="198">
        <f t="shared" ref="AB13:AG13" si="20">SUM(AC138:AC140)</f>
        <v>0</v>
      </c>
      <c r="AC13" s="198">
        <f t="shared" si="20"/>
        <v>0</v>
      </c>
      <c r="AD13" s="198">
        <f t="shared" si="20"/>
        <v>0</v>
      </c>
      <c r="AE13" s="198">
        <f t="shared" si="20"/>
        <v>0</v>
      </c>
      <c r="AF13" s="198">
        <f t="shared" si="20"/>
        <v>0</v>
      </c>
      <c r="AG13" s="198">
        <f t="shared" si="20"/>
        <v>0</v>
      </c>
      <c r="AH13" s="191">
        <f t="shared" si="5"/>
        <v>0</v>
      </c>
      <c r="AI13" s="192">
        <f t="shared" si="6"/>
        <v>0</v>
      </c>
    </row>
    <row r="14" spans="2:35" ht="35.25" customHeight="1" thickBot="1" x14ac:dyDescent="0.3">
      <c r="B14" s="130"/>
      <c r="C14" s="135" t="s">
        <v>318</v>
      </c>
      <c r="D14" s="177" t="s">
        <v>237</v>
      </c>
      <c r="E14" s="178">
        <f t="shared" si="0"/>
        <v>161001</v>
      </c>
      <c r="F14" s="178" t="str">
        <f t="shared" si="1"/>
        <v>H</v>
      </c>
      <c r="G14" s="137" t="s">
        <v>132</v>
      </c>
      <c r="H14" s="179" t="s">
        <v>29</v>
      </c>
      <c r="I14" s="180"/>
      <c r="J14" s="181" t="str">
        <f t="shared" si="7"/>
        <v/>
      </c>
      <c r="K14" s="181" t="str">
        <f t="shared" si="8"/>
        <v/>
      </c>
      <c r="L14" s="132"/>
      <c r="N14" s="182">
        <f t="shared" si="9"/>
        <v>0.75</v>
      </c>
      <c r="O14" s="193" t="str">
        <f t="shared" si="2"/>
        <v>0</v>
      </c>
      <c r="P14" s="194" t="str">
        <f t="shared" si="3"/>
        <v>0</v>
      </c>
      <c r="Q14" s="185">
        <f t="shared" si="10"/>
        <v>0</v>
      </c>
      <c r="R14" s="193" t="str">
        <f t="shared" si="11"/>
        <v>TBC</v>
      </c>
      <c r="S14" s="184" t="e">
        <f t="shared" si="12"/>
        <v>#VALUE!</v>
      </c>
      <c r="T14" s="185"/>
      <c r="U14" s="186">
        <f t="shared" si="13"/>
        <v>0</v>
      </c>
      <c r="V14" s="184">
        <f t="shared" si="14"/>
        <v>0</v>
      </c>
      <c r="Y14" s="195" t="s">
        <v>136</v>
      </c>
      <c r="Z14" s="196">
        <v>160602</v>
      </c>
      <c r="AA14" s="197" t="s">
        <v>126</v>
      </c>
      <c r="AB14" s="198">
        <f t="shared" ref="AB14:AG14" si="21">SUM(AC141:AC143)</f>
        <v>0</v>
      </c>
      <c r="AC14" s="198">
        <f t="shared" si="21"/>
        <v>0</v>
      </c>
      <c r="AD14" s="198">
        <f t="shared" si="21"/>
        <v>0</v>
      </c>
      <c r="AE14" s="198">
        <f t="shared" si="21"/>
        <v>0</v>
      </c>
      <c r="AF14" s="198">
        <f t="shared" si="21"/>
        <v>0</v>
      </c>
      <c r="AG14" s="198">
        <f t="shared" si="21"/>
        <v>0</v>
      </c>
      <c r="AH14" s="191">
        <f t="shared" si="5"/>
        <v>0</v>
      </c>
      <c r="AI14" s="192">
        <f t="shared" si="6"/>
        <v>0</v>
      </c>
    </row>
    <row r="15" spans="2:35" ht="35.25" customHeight="1" thickBot="1" x14ac:dyDescent="0.3">
      <c r="B15" s="130"/>
      <c r="C15" s="135" t="s">
        <v>148</v>
      </c>
      <c r="D15" s="177" t="s">
        <v>237</v>
      </c>
      <c r="E15" s="178">
        <f t="shared" si="0"/>
        <v>170904</v>
      </c>
      <c r="F15" s="178" t="str">
        <f t="shared" si="1"/>
        <v>NH</v>
      </c>
      <c r="G15" s="137" t="s">
        <v>121</v>
      </c>
      <c r="H15" s="179" t="s">
        <v>29</v>
      </c>
      <c r="I15" s="180"/>
      <c r="J15" s="181" t="e">
        <f t="shared" si="7"/>
        <v>#VALUE!</v>
      </c>
      <c r="K15" s="181" t="e">
        <f t="shared" si="8"/>
        <v>#VALUE!</v>
      </c>
      <c r="L15" s="132"/>
      <c r="N15" s="182">
        <f t="shared" si="9"/>
        <v>0.75</v>
      </c>
      <c r="O15" s="193" t="str">
        <f t="shared" si="2"/>
        <v>0</v>
      </c>
      <c r="P15" s="194" t="str">
        <f t="shared" si="3"/>
        <v>0</v>
      </c>
      <c r="Q15" s="185" t="e">
        <f t="shared" si="10"/>
        <v>#VALUE!</v>
      </c>
      <c r="R15" s="193">
        <f t="shared" si="11"/>
        <v>0</v>
      </c>
      <c r="S15" s="184" t="e">
        <f t="shared" si="12"/>
        <v>#VALUE!</v>
      </c>
      <c r="T15" s="185"/>
      <c r="U15" s="186">
        <f t="shared" si="13"/>
        <v>0</v>
      </c>
      <c r="V15" s="184">
        <f t="shared" si="14"/>
        <v>0</v>
      </c>
      <c r="Y15" s="195" t="s">
        <v>137</v>
      </c>
      <c r="Z15" s="196">
        <v>160601</v>
      </c>
      <c r="AA15" s="197" t="s">
        <v>126</v>
      </c>
      <c r="AB15" s="198">
        <f t="shared" ref="AB15:AG15" si="22">SUM(AC144:AC146)</f>
        <v>0</v>
      </c>
      <c r="AC15" s="198">
        <f t="shared" si="22"/>
        <v>0</v>
      </c>
      <c r="AD15" s="198">
        <f t="shared" si="22"/>
        <v>0</v>
      </c>
      <c r="AE15" s="198">
        <f t="shared" si="22"/>
        <v>0</v>
      </c>
      <c r="AF15" s="198">
        <f t="shared" si="22"/>
        <v>0</v>
      </c>
      <c r="AG15" s="198">
        <f t="shared" si="22"/>
        <v>0</v>
      </c>
      <c r="AH15" s="191">
        <f t="shared" si="5"/>
        <v>0</v>
      </c>
      <c r="AI15" s="192">
        <f t="shared" si="6"/>
        <v>0</v>
      </c>
    </row>
    <row r="16" spans="2:35" ht="35.25" customHeight="1" thickBot="1" x14ac:dyDescent="0.3">
      <c r="B16" s="130"/>
      <c r="C16" s="135" t="s">
        <v>447</v>
      </c>
      <c r="D16" s="177" t="s">
        <v>237</v>
      </c>
      <c r="E16" s="178">
        <f t="shared" si="0"/>
        <v>200301</v>
      </c>
      <c r="F16" s="178" t="str">
        <f t="shared" si="1"/>
        <v>NH</v>
      </c>
      <c r="G16" s="137" t="s">
        <v>121</v>
      </c>
      <c r="H16" s="179" t="s">
        <v>29</v>
      </c>
      <c r="I16" s="180"/>
      <c r="J16" s="181" t="e">
        <f t="shared" si="7"/>
        <v>#VALUE!</v>
      </c>
      <c r="K16" s="181" t="e">
        <f t="shared" si="8"/>
        <v>#VALUE!</v>
      </c>
      <c r="L16" s="132"/>
      <c r="N16" s="182">
        <f t="shared" si="9"/>
        <v>0.75</v>
      </c>
      <c r="O16" s="193" t="str">
        <f t="shared" si="2"/>
        <v>0</v>
      </c>
      <c r="P16" s="194" t="str">
        <f t="shared" si="3"/>
        <v>0</v>
      </c>
      <c r="Q16" s="185" t="e">
        <f t="shared" si="10"/>
        <v>#VALUE!</v>
      </c>
      <c r="R16" s="193">
        <f t="shared" si="11"/>
        <v>0</v>
      </c>
      <c r="S16" s="184" t="e">
        <f t="shared" si="12"/>
        <v>#VALUE!</v>
      </c>
      <c r="T16" s="185"/>
      <c r="U16" s="186">
        <f t="shared" si="13"/>
        <v>0</v>
      </c>
      <c r="V16" s="184">
        <f t="shared" si="14"/>
        <v>0</v>
      </c>
      <c r="Y16" s="195" t="s">
        <v>138</v>
      </c>
      <c r="Z16" s="196">
        <v>130802</v>
      </c>
      <c r="AA16" s="197" t="s">
        <v>126</v>
      </c>
      <c r="AB16" s="198">
        <f t="shared" ref="AB16:AG16" si="23">SUM(AC147:AC149)</f>
        <v>0</v>
      </c>
      <c r="AC16" s="198">
        <f t="shared" si="23"/>
        <v>0</v>
      </c>
      <c r="AD16" s="198">
        <f t="shared" si="23"/>
        <v>0</v>
      </c>
      <c r="AE16" s="198">
        <f t="shared" si="23"/>
        <v>0</v>
      </c>
      <c r="AF16" s="198">
        <f t="shared" si="23"/>
        <v>0</v>
      </c>
      <c r="AG16" s="198">
        <f t="shared" si="23"/>
        <v>0</v>
      </c>
      <c r="AH16" s="191">
        <f t="shared" si="5"/>
        <v>0</v>
      </c>
      <c r="AI16" s="192">
        <f t="shared" si="6"/>
        <v>0</v>
      </c>
    </row>
    <row r="17" spans="2:35" ht="35.25" customHeight="1" thickBot="1" x14ac:dyDescent="0.3">
      <c r="B17" s="130"/>
      <c r="C17" s="135" t="s">
        <v>73</v>
      </c>
      <c r="D17" s="177" t="s">
        <v>237</v>
      </c>
      <c r="E17" s="178">
        <f t="shared" si="0"/>
        <v>170201</v>
      </c>
      <c r="F17" s="178" t="str">
        <f t="shared" si="1"/>
        <v>NH</v>
      </c>
      <c r="G17" s="137" t="s">
        <v>121</v>
      </c>
      <c r="H17" s="179" t="s">
        <v>29</v>
      </c>
      <c r="I17" s="180"/>
      <c r="J17" s="181" t="e">
        <f t="shared" si="7"/>
        <v>#VALUE!</v>
      </c>
      <c r="K17" s="181" t="e">
        <f t="shared" si="8"/>
        <v>#VALUE!</v>
      </c>
      <c r="L17" s="132"/>
      <c r="N17" s="182">
        <f t="shared" si="9"/>
        <v>0.75</v>
      </c>
      <c r="O17" s="193" t="str">
        <f t="shared" si="2"/>
        <v>0</v>
      </c>
      <c r="P17" s="194" t="str">
        <f t="shared" si="3"/>
        <v>0</v>
      </c>
      <c r="Q17" s="185" t="e">
        <f t="shared" si="10"/>
        <v>#VALUE!</v>
      </c>
      <c r="R17" s="193">
        <f t="shared" si="11"/>
        <v>0</v>
      </c>
      <c r="S17" s="184" t="e">
        <f t="shared" si="12"/>
        <v>#VALUE!</v>
      </c>
      <c r="T17" s="185"/>
      <c r="U17" s="186">
        <f t="shared" si="13"/>
        <v>0</v>
      </c>
      <c r="V17" s="184">
        <f t="shared" si="14"/>
        <v>0</v>
      </c>
      <c r="Y17" s="199" t="s">
        <v>139</v>
      </c>
      <c r="Z17" s="196">
        <v>170301</v>
      </c>
      <c r="AA17" s="197" t="s">
        <v>126</v>
      </c>
      <c r="AB17" s="198">
        <f t="shared" ref="AB17:AG17" si="24">SUM(AC150:AC152)</f>
        <v>0</v>
      </c>
      <c r="AC17" s="198">
        <f t="shared" si="24"/>
        <v>0</v>
      </c>
      <c r="AD17" s="198">
        <f t="shared" si="24"/>
        <v>0</v>
      </c>
      <c r="AE17" s="198">
        <f t="shared" si="24"/>
        <v>0</v>
      </c>
      <c r="AF17" s="198">
        <f t="shared" si="24"/>
        <v>0</v>
      </c>
      <c r="AG17" s="198">
        <f t="shared" si="24"/>
        <v>0</v>
      </c>
      <c r="AH17" s="191">
        <f t="shared" si="5"/>
        <v>0</v>
      </c>
      <c r="AI17" s="192">
        <f t="shared" si="6"/>
        <v>0</v>
      </c>
    </row>
    <row r="18" spans="2:35" ht="35.25" customHeight="1" thickBot="1" x14ac:dyDescent="0.3">
      <c r="B18" s="130"/>
      <c r="C18" s="135"/>
      <c r="D18" s="177"/>
      <c r="E18" s="178" t="str">
        <f t="shared" si="0"/>
        <v/>
      </c>
      <c r="F18" s="178" t="str">
        <f t="shared" si="1"/>
        <v/>
      </c>
      <c r="G18" s="137"/>
      <c r="H18" s="179"/>
      <c r="I18" s="180"/>
      <c r="J18" s="181" t="str">
        <f t="shared" si="7"/>
        <v/>
      </c>
      <c r="K18" s="181" t="str">
        <f t="shared" si="8"/>
        <v/>
      </c>
      <c r="L18" s="132"/>
      <c r="N18" s="182" t="str">
        <f t="shared" si="9"/>
        <v/>
      </c>
      <c r="O18" s="193" t="str">
        <f t="shared" si="2"/>
        <v>0</v>
      </c>
      <c r="P18" s="194" t="str">
        <f t="shared" si="3"/>
        <v>0</v>
      </c>
      <c r="Q18" s="185">
        <f t="shared" si="10"/>
        <v>0</v>
      </c>
      <c r="R18" s="193">
        <f t="shared" si="11"/>
        <v>0</v>
      </c>
      <c r="S18" s="184">
        <f t="shared" si="12"/>
        <v>0</v>
      </c>
      <c r="T18" s="185"/>
      <c r="U18" s="186">
        <f t="shared" si="13"/>
        <v>0</v>
      </c>
      <c r="V18" s="184">
        <f t="shared" si="14"/>
        <v>0</v>
      </c>
      <c r="Y18" s="199" t="s">
        <v>129</v>
      </c>
      <c r="Z18" s="196">
        <v>170302</v>
      </c>
      <c r="AA18" s="197" t="s">
        <v>123</v>
      </c>
      <c r="AB18" s="198">
        <f t="shared" ref="AB18:AG18" si="25">SUM(AC153:AC155)</f>
        <v>0</v>
      </c>
      <c r="AC18" s="198">
        <f t="shared" si="25"/>
        <v>0</v>
      </c>
      <c r="AD18" s="198">
        <f t="shared" si="25"/>
        <v>0</v>
      </c>
      <c r="AE18" s="198" t="e">
        <f t="shared" si="25"/>
        <v>#VALUE!</v>
      </c>
      <c r="AF18" s="198">
        <f t="shared" si="25"/>
        <v>0</v>
      </c>
      <c r="AG18" s="198" t="e">
        <f t="shared" si="25"/>
        <v>#VALUE!</v>
      </c>
      <c r="AH18" s="191" t="e">
        <f t="shared" si="5"/>
        <v>#VALUE!</v>
      </c>
      <c r="AI18" s="192" t="e">
        <f t="shared" si="6"/>
        <v>#VALUE!</v>
      </c>
    </row>
    <row r="19" spans="2:35" ht="35.25" customHeight="1" thickBot="1" x14ac:dyDescent="0.3">
      <c r="B19" s="130"/>
      <c r="C19" s="135"/>
      <c r="D19" s="177"/>
      <c r="E19" s="178" t="str">
        <f t="shared" ref="E19:E30" si="26">IF(C19="","",(VLOOKUP($C19,EWC,2,FALSE)))</f>
        <v/>
      </c>
      <c r="F19" s="178" t="str">
        <f t="shared" ref="F19:F30" si="27">IF(C19="","",(VLOOKUP($C19,EWC,3,FALSE)))</f>
        <v/>
      </c>
      <c r="G19" s="137"/>
      <c r="H19" s="179"/>
      <c r="I19" s="180"/>
      <c r="J19" s="181" t="str">
        <f t="shared" si="7"/>
        <v/>
      </c>
      <c r="K19" s="181" t="str">
        <f t="shared" si="8"/>
        <v/>
      </c>
      <c r="L19" s="132"/>
      <c r="N19" s="182" t="str">
        <f t="shared" si="9"/>
        <v/>
      </c>
      <c r="O19" s="193" t="str">
        <f t="shared" si="2"/>
        <v>0</v>
      </c>
      <c r="P19" s="194" t="str">
        <f t="shared" si="3"/>
        <v>0</v>
      </c>
      <c r="Q19" s="185">
        <f t="shared" si="10"/>
        <v>0</v>
      </c>
      <c r="R19" s="193">
        <f t="shared" si="11"/>
        <v>0</v>
      </c>
      <c r="S19" s="184">
        <f t="shared" si="12"/>
        <v>0</v>
      </c>
      <c r="T19" s="185"/>
      <c r="U19" s="186">
        <f t="shared" si="13"/>
        <v>0</v>
      </c>
      <c r="V19" s="184">
        <f t="shared" si="14"/>
        <v>0</v>
      </c>
      <c r="Y19" s="199" t="s">
        <v>140</v>
      </c>
      <c r="Z19" s="196">
        <v>170102</v>
      </c>
      <c r="AA19" s="197" t="s">
        <v>141</v>
      </c>
      <c r="AB19" s="198">
        <f t="shared" ref="AB19:AG19" si="28">SUM(AC156:AC158)</f>
        <v>0</v>
      </c>
      <c r="AC19" s="198">
        <f t="shared" si="28"/>
        <v>0</v>
      </c>
      <c r="AD19" s="198">
        <f t="shared" si="28"/>
        <v>0</v>
      </c>
      <c r="AE19" s="198">
        <f t="shared" si="28"/>
        <v>0</v>
      </c>
      <c r="AF19" s="198">
        <f t="shared" si="28"/>
        <v>0</v>
      </c>
      <c r="AG19" s="198">
        <f t="shared" si="28"/>
        <v>0</v>
      </c>
      <c r="AH19" s="191">
        <f t="shared" si="5"/>
        <v>0</v>
      </c>
      <c r="AI19" s="192">
        <f t="shared" si="6"/>
        <v>0</v>
      </c>
    </row>
    <row r="20" spans="2:35" ht="35.25" customHeight="1" thickBot="1" x14ac:dyDescent="0.3">
      <c r="B20" s="130"/>
      <c r="C20" s="135"/>
      <c r="D20" s="177"/>
      <c r="E20" s="178" t="str">
        <f t="shared" si="26"/>
        <v/>
      </c>
      <c r="F20" s="178" t="str">
        <f t="shared" si="27"/>
        <v/>
      </c>
      <c r="G20" s="137"/>
      <c r="H20" s="179"/>
      <c r="I20" s="180"/>
      <c r="J20" s="181" t="str">
        <f t="shared" si="7"/>
        <v/>
      </c>
      <c r="K20" s="181" t="str">
        <f t="shared" si="8"/>
        <v/>
      </c>
      <c r="L20" s="132"/>
      <c r="N20" s="182" t="str">
        <f t="shared" si="9"/>
        <v/>
      </c>
      <c r="O20" s="193" t="str">
        <f t="shared" si="2"/>
        <v>0</v>
      </c>
      <c r="P20" s="194" t="str">
        <f t="shared" si="3"/>
        <v>0</v>
      </c>
      <c r="Q20" s="185">
        <f t="shared" si="10"/>
        <v>0</v>
      </c>
      <c r="R20" s="193">
        <f t="shared" si="11"/>
        <v>0</v>
      </c>
      <c r="S20" s="184">
        <f t="shared" si="12"/>
        <v>0</v>
      </c>
      <c r="T20" s="185"/>
      <c r="U20" s="186">
        <f t="shared" si="13"/>
        <v>0</v>
      </c>
      <c r="V20" s="184">
        <f t="shared" si="14"/>
        <v>0</v>
      </c>
      <c r="Y20" s="195" t="s">
        <v>142</v>
      </c>
      <c r="Z20" s="196">
        <v>170411</v>
      </c>
      <c r="AA20" s="197" t="s">
        <v>123</v>
      </c>
      <c r="AB20" s="198">
        <f t="shared" ref="AB20:AG20" si="29">SUM(AC159:AC161)</f>
        <v>0</v>
      </c>
      <c r="AC20" s="198">
        <f t="shared" si="29"/>
        <v>0</v>
      </c>
      <c r="AD20" s="198">
        <f t="shared" si="29"/>
        <v>0</v>
      </c>
      <c r="AE20" s="198">
        <f t="shared" si="29"/>
        <v>0</v>
      </c>
      <c r="AF20" s="198">
        <f t="shared" si="29"/>
        <v>0</v>
      </c>
      <c r="AG20" s="198">
        <f t="shared" si="29"/>
        <v>0</v>
      </c>
      <c r="AH20" s="191">
        <f t="shared" si="5"/>
        <v>0</v>
      </c>
      <c r="AI20" s="192">
        <f t="shared" si="6"/>
        <v>0</v>
      </c>
    </row>
    <row r="21" spans="2:35" ht="35.25" customHeight="1" thickBot="1" x14ac:dyDescent="0.3">
      <c r="B21" s="130"/>
      <c r="C21" s="135"/>
      <c r="D21" s="177"/>
      <c r="E21" s="178" t="str">
        <f t="shared" si="26"/>
        <v/>
      </c>
      <c r="F21" s="178" t="str">
        <f t="shared" si="27"/>
        <v/>
      </c>
      <c r="G21" s="137"/>
      <c r="H21" s="179"/>
      <c r="I21" s="180"/>
      <c r="J21" s="181" t="str">
        <f t="shared" si="7"/>
        <v/>
      </c>
      <c r="K21" s="181" t="str">
        <f t="shared" si="8"/>
        <v/>
      </c>
      <c r="L21" s="132"/>
      <c r="N21" s="182" t="str">
        <f t="shared" si="9"/>
        <v/>
      </c>
      <c r="O21" s="193" t="str">
        <f t="shared" si="2"/>
        <v>0</v>
      </c>
      <c r="P21" s="194" t="str">
        <f t="shared" si="3"/>
        <v>0</v>
      </c>
      <c r="Q21" s="185">
        <f t="shared" si="10"/>
        <v>0</v>
      </c>
      <c r="R21" s="193">
        <f t="shared" si="11"/>
        <v>0</v>
      </c>
      <c r="S21" s="184">
        <f t="shared" si="12"/>
        <v>0</v>
      </c>
      <c r="T21" s="185"/>
      <c r="U21" s="186">
        <f t="shared" si="13"/>
        <v>0</v>
      </c>
      <c r="V21" s="184">
        <f t="shared" si="14"/>
        <v>0</v>
      </c>
      <c r="Y21" s="195" t="s">
        <v>143</v>
      </c>
      <c r="Z21" s="196">
        <v>170410</v>
      </c>
      <c r="AA21" s="197" t="s">
        <v>126</v>
      </c>
      <c r="AB21" s="198">
        <f t="shared" ref="AB21:AG21" si="30">SUM(AC162:AC164)</f>
        <v>0</v>
      </c>
      <c r="AC21" s="198">
        <f t="shared" si="30"/>
        <v>0</v>
      </c>
      <c r="AD21" s="198">
        <f t="shared" si="30"/>
        <v>0</v>
      </c>
      <c r="AE21" s="198">
        <f t="shared" si="30"/>
        <v>0</v>
      </c>
      <c r="AF21" s="198">
        <f t="shared" si="30"/>
        <v>0</v>
      </c>
      <c r="AG21" s="198">
        <f t="shared" si="30"/>
        <v>0</v>
      </c>
      <c r="AH21" s="191">
        <f t="shared" si="5"/>
        <v>0</v>
      </c>
      <c r="AI21" s="192">
        <f t="shared" si="6"/>
        <v>0</v>
      </c>
    </row>
    <row r="22" spans="2:35" ht="35.25" customHeight="1" thickBot="1" x14ac:dyDescent="0.3">
      <c r="B22" s="130"/>
      <c r="C22" s="135"/>
      <c r="D22" s="177"/>
      <c r="E22" s="178" t="str">
        <f t="shared" si="26"/>
        <v/>
      </c>
      <c r="F22" s="178" t="str">
        <f t="shared" si="27"/>
        <v/>
      </c>
      <c r="G22" s="137"/>
      <c r="H22" s="179"/>
      <c r="I22" s="180"/>
      <c r="J22" s="181" t="str">
        <f t="shared" si="7"/>
        <v/>
      </c>
      <c r="K22" s="181" t="str">
        <f t="shared" si="8"/>
        <v/>
      </c>
      <c r="L22" s="132"/>
      <c r="N22" s="182" t="str">
        <f t="shared" si="9"/>
        <v/>
      </c>
      <c r="O22" s="193" t="str">
        <f t="shared" si="2"/>
        <v>0</v>
      </c>
      <c r="P22" s="194" t="str">
        <f t="shared" si="3"/>
        <v>0</v>
      </c>
      <c r="Q22" s="185">
        <f t="shared" si="10"/>
        <v>0</v>
      </c>
      <c r="R22" s="193">
        <f t="shared" si="11"/>
        <v>0</v>
      </c>
      <c r="S22" s="184">
        <f t="shared" si="12"/>
        <v>0</v>
      </c>
      <c r="T22" s="185"/>
      <c r="U22" s="186">
        <f t="shared" si="13"/>
        <v>0</v>
      </c>
      <c r="V22" s="184">
        <f t="shared" si="14"/>
        <v>0</v>
      </c>
      <c r="Y22" s="195" t="s">
        <v>144</v>
      </c>
      <c r="Z22" s="196">
        <v>170303</v>
      </c>
      <c r="AA22" s="197" t="s">
        <v>126</v>
      </c>
      <c r="AB22" s="198">
        <f t="shared" ref="AB22:AG22" si="31">SUM(AC165:AC167)</f>
        <v>0</v>
      </c>
      <c r="AC22" s="198">
        <f t="shared" si="31"/>
        <v>0</v>
      </c>
      <c r="AD22" s="198">
        <f t="shared" si="31"/>
        <v>0</v>
      </c>
      <c r="AE22" s="198">
        <f t="shared" si="31"/>
        <v>0</v>
      </c>
      <c r="AF22" s="198">
        <f t="shared" si="31"/>
        <v>0</v>
      </c>
      <c r="AG22" s="198">
        <f t="shared" si="31"/>
        <v>0</v>
      </c>
      <c r="AH22" s="191">
        <f t="shared" si="5"/>
        <v>0</v>
      </c>
      <c r="AI22" s="192">
        <f t="shared" si="6"/>
        <v>0</v>
      </c>
    </row>
    <row r="23" spans="2:35" ht="35.25" customHeight="1" thickBot="1" x14ac:dyDescent="0.3">
      <c r="B23" s="130"/>
      <c r="C23" s="135"/>
      <c r="D23" s="177"/>
      <c r="E23" s="178" t="str">
        <f t="shared" si="26"/>
        <v/>
      </c>
      <c r="F23" s="178" t="str">
        <f t="shared" si="27"/>
        <v/>
      </c>
      <c r="G23" s="137"/>
      <c r="H23" s="179"/>
      <c r="I23" s="180"/>
      <c r="J23" s="181" t="str">
        <f t="shared" si="7"/>
        <v/>
      </c>
      <c r="K23" s="181" t="str">
        <f t="shared" si="8"/>
        <v/>
      </c>
      <c r="L23" s="132"/>
      <c r="N23" s="182" t="str">
        <f t="shared" si="9"/>
        <v/>
      </c>
      <c r="O23" s="193" t="str">
        <f t="shared" si="2"/>
        <v>0</v>
      </c>
      <c r="P23" s="194" t="str">
        <f t="shared" si="3"/>
        <v>0</v>
      </c>
      <c r="Q23" s="185">
        <f t="shared" si="10"/>
        <v>0</v>
      </c>
      <c r="R23" s="193">
        <f t="shared" si="11"/>
        <v>0</v>
      </c>
      <c r="S23" s="184">
        <f t="shared" si="12"/>
        <v>0</v>
      </c>
      <c r="T23" s="185"/>
      <c r="U23" s="186">
        <f t="shared" si="13"/>
        <v>0</v>
      </c>
      <c r="V23" s="184">
        <f t="shared" si="14"/>
        <v>0</v>
      </c>
      <c r="Y23" s="199" t="s">
        <v>145</v>
      </c>
      <c r="Z23" s="196">
        <v>170101</v>
      </c>
      <c r="AA23" s="197" t="s">
        <v>141</v>
      </c>
      <c r="AB23" s="198">
        <f t="shared" ref="AB23:AG23" si="32">SUM(AC168:AC170)</f>
        <v>0</v>
      </c>
      <c r="AC23" s="198">
        <f t="shared" si="32"/>
        <v>0</v>
      </c>
      <c r="AD23" s="198">
        <f t="shared" si="32"/>
        <v>0</v>
      </c>
      <c r="AE23" s="198">
        <f t="shared" si="32"/>
        <v>0</v>
      </c>
      <c r="AF23" s="198">
        <f t="shared" si="32"/>
        <v>0</v>
      </c>
      <c r="AG23" s="198">
        <f t="shared" si="32"/>
        <v>0</v>
      </c>
      <c r="AH23" s="191">
        <f t="shared" si="5"/>
        <v>0</v>
      </c>
      <c r="AI23" s="192">
        <f t="shared" si="6"/>
        <v>0</v>
      </c>
    </row>
    <row r="24" spans="2:35" ht="35.25" customHeight="1" thickBot="1" x14ac:dyDescent="0.3">
      <c r="B24" s="130"/>
      <c r="C24" s="135"/>
      <c r="D24" s="177"/>
      <c r="E24" s="178" t="str">
        <f t="shared" si="26"/>
        <v/>
      </c>
      <c r="F24" s="178" t="str">
        <f t="shared" si="27"/>
        <v/>
      </c>
      <c r="G24" s="137"/>
      <c r="H24" s="179"/>
      <c r="I24" s="180"/>
      <c r="J24" s="181" t="str">
        <f t="shared" si="7"/>
        <v/>
      </c>
      <c r="K24" s="181" t="str">
        <f t="shared" si="8"/>
        <v/>
      </c>
      <c r="L24" s="132"/>
      <c r="N24" s="182" t="str">
        <f t="shared" si="9"/>
        <v/>
      </c>
      <c r="O24" s="193" t="str">
        <f t="shared" si="2"/>
        <v>0</v>
      </c>
      <c r="P24" s="194" t="str">
        <f t="shared" si="3"/>
        <v>0</v>
      </c>
      <c r="Q24" s="185">
        <f t="shared" si="10"/>
        <v>0</v>
      </c>
      <c r="R24" s="193">
        <f t="shared" si="11"/>
        <v>0</v>
      </c>
      <c r="S24" s="184">
        <f t="shared" si="12"/>
        <v>0</v>
      </c>
      <c r="T24" s="185"/>
      <c r="U24" s="186">
        <f t="shared" si="13"/>
        <v>0</v>
      </c>
      <c r="V24" s="184">
        <f t="shared" si="14"/>
        <v>0</v>
      </c>
      <c r="Y24" s="199" t="s">
        <v>146</v>
      </c>
      <c r="Z24" s="196">
        <v>170106</v>
      </c>
      <c r="AA24" s="197" t="s">
        <v>126</v>
      </c>
      <c r="AB24" s="198">
        <f t="shared" ref="AB24:AG24" si="33">SUM(AC171:AC173)</f>
        <v>0</v>
      </c>
      <c r="AC24" s="198">
        <f t="shared" si="33"/>
        <v>0</v>
      </c>
      <c r="AD24" s="198">
        <f t="shared" si="33"/>
        <v>0</v>
      </c>
      <c r="AE24" s="198">
        <f t="shared" si="33"/>
        <v>0</v>
      </c>
      <c r="AF24" s="198">
        <f t="shared" si="33"/>
        <v>0</v>
      </c>
      <c r="AG24" s="198">
        <f t="shared" si="33"/>
        <v>0</v>
      </c>
      <c r="AH24" s="191">
        <f t="shared" si="5"/>
        <v>0</v>
      </c>
      <c r="AI24" s="192">
        <f t="shared" si="6"/>
        <v>0</v>
      </c>
    </row>
    <row r="25" spans="2:35" ht="35.25" customHeight="1" thickBot="1" x14ac:dyDescent="0.3">
      <c r="B25" s="130"/>
      <c r="C25" s="135"/>
      <c r="D25" s="177"/>
      <c r="E25" s="178" t="str">
        <f t="shared" si="26"/>
        <v/>
      </c>
      <c r="F25" s="178" t="str">
        <f t="shared" si="27"/>
        <v/>
      </c>
      <c r="G25" s="137"/>
      <c r="H25" s="179"/>
      <c r="I25" s="180"/>
      <c r="J25" s="181" t="str">
        <f t="shared" si="7"/>
        <v/>
      </c>
      <c r="K25" s="181" t="str">
        <f t="shared" si="8"/>
        <v/>
      </c>
      <c r="L25" s="132"/>
      <c r="N25" s="182" t="str">
        <f t="shared" si="9"/>
        <v/>
      </c>
      <c r="O25" s="193" t="str">
        <f t="shared" si="2"/>
        <v>0</v>
      </c>
      <c r="P25" s="194" t="str">
        <f t="shared" si="3"/>
        <v>0</v>
      </c>
      <c r="Q25" s="185">
        <f t="shared" si="10"/>
        <v>0</v>
      </c>
      <c r="R25" s="193">
        <f t="shared" si="11"/>
        <v>0</v>
      </c>
      <c r="S25" s="184">
        <f t="shared" si="12"/>
        <v>0</v>
      </c>
      <c r="T25" s="185"/>
      <c r="U25" s="186">
        <f t="shared" si="13"/>
        <v>0</v>
      </c>
      <c r="V25" s="184">
        <f t="shared" si="14"/>
        <v>0</v>
      </c>
      <c r="Y25" s="199" t="s">
        <v>124</v>
      </c>
      <c r="Z25" s="196">
        <v>170107</v>
      </c>
      <c r="AA25" s="197" t="s">
        <v>123</v>
      </c>
      <c r="AB25" s="198">
        <f t="shared" ref="AB25:AG25" si="34">SUM(AC174:AC176)</f>
        <v>0</v>
      </c>
      <c r="AC25" s="198">
        <f t="shared" si="34"/>
        <v>0</v>
      </c>
      <c r="AD25" s="198">
        <f t="shared" si="34"/>
        <v>0</v>
      </c>
      <c r="AE25" s="198" t="e">
        <f t="shared" si="34"/>
        <v>#VALUE!</v>
      </c>
      <c r="AF25" s="198">
        <f t="shared" si="34"/>
        <v>0</v>
      </c>
      <c r="AG25" s="198" t="e">
        <f t="shared" si="34"/>
        <v>#VALUE!</v>
      </c>
      <c r="AH25" s="191" t="e">
        <f t="shared" si="5"/>
        <v>#VALUE!</v>
      </c>
      <c r="AI25" s="192" t="e">
        <f t="shared" si="6"/>
        <v>#VALUE!</v>
      </c>
    </row>
    <row r="26" spans="2:35" ht="35.25" customHeight="1" thickBot="1" x14ac:dyDescent="0.3">
      <c r="B26" s="130"/>
      <c r="C26" s="135"/>
      <c r="D26" s="177"/>
      <c r="E26" s="178" t="str">
        <f t="shared" si="26"/>
        <v/>
      </c>
      <c r="F26" s="178" t="str">
        <f t="shared" si="27"/>
        <v/>
      </c>
      <c r="G26" s="137"/>
      <c r="H26" s="179"/>
      <c r="I26" s="180"/>
      <c r="J26" s="181" t="str">
        <f t="shared" si="7"/>
        <v/>
      </c>
      <c r="K26" s="181" t="str">
        <f t="shared" si="8"/>
        <v/>
      </c>
      <c r="L26" s="132"/>
      <c r="N26" s="182" t="str">
        <f t="shared" si="9"/>
        <v/>
      </c>
      <c r="O26" s="193" t="str">
        <f t="shared" si="2"/>
        <v>0</v>
      </c>
      <c r="P26" s="194" t="str">
        <f t="shared" si="3"/>
        <v>0</v>
      </c>
      <c r="Q26" s="185">
        <f t="shared" si="10"/>
        <v>0</v>
      </c>
      <c r="R26" s="193">
        <f t="shared" si="11"/>
        <v>0</v>
      </c>
      <c r="S26" s="184">
        <f t="shared" si="12"/>
        <v>0</v>
      </c>
      <c r="T26" s="185"/>
      <c r="U26" s="186">
        <f t="shared" si="13"/>
        <v>0</v>
      </c>
      <c r="V26" s="184">
        <f t="shared" si="14"/>
        <v>0</v>
      </c>
      <c r="Y26" s="199" t="s">
        <v>147</v>
      </c>
      <c r="Z26" s="196">
        <v>170903</v>
      </c>
      <c r="AA26" s="197" t="s">
        <v>126</v>
      </c>
      <c r="AB26" s="198">
        <f t="shared" ref="AB26:AG26" si="35">SUM(AC177:AC179)</f>
        <v>0</v>
      </c>
      <c r="AC26" s="198">
        <f t="shared" si="35"/>
        <v>0</v>
      </c>
      <c r="AD26" s="198">
        <f t="shared" si="35"/>
        <v>0</v>
      </c>
      <c r="AE26" s="198">
        <f t="shared" si="35"/>
        <v>0</v>
      </c>
      <c r="AF26" s="198">
        <f t="shared" si="35"/>
        <v>0</v>
      </c>
      <c r="AG26" s="198">
        <f t="shared" si="35"/>
        <v>0</v>
      </c>
      <c r="AH26" s="191">
        <f t="shared" si="5"/>
        <v>0</v>
      </c>
      <c r="AI26" s="192">
        <f t="shared" si="6"/>
        <v>0</v>
      </c>
    </row>
    <row r="27" spans="2:35" ht="35.25" customHeight="1" thickBot="1" x14ac:dyDescent="0.3">
      <c r="B27" s="130"/>
      <c r="C27" s="135"/>
      <c r="D27" s="177"/>
      <c r="E27" s="178" t="str">
        <f t="shared" si="26"/>
        <v/>
      </c>
      <c r="F27" s="178" t="str">
        <f t="shared" si="27"/>
        <v/>
      </c>
      <c r="G27" s="137"/>
      <c r="H27" s="179"/>
      <c r="I27" s="180"/>
      <c r="J27" s="181" t="str">
        <f t="shared" si="7"/>
        <v/>
      </c>
      <c r="K27" s="181" t="str">
        <f t="shared" si="8"/>
        <v/>
      </c>
      <c r="L27" s="132"/>
      <c r="N27" s="182" t="str">
        <f t="shared" si="9"/>
        <v/>
      </c>
      <c r="O27" s="193" t="str">
        <f t="shared" si="2"/>
        <v>0</v>
      </c>
      <c r="P27" s="194" t="str">
        <f t="shared" si="3"/>
        <v>0</v>
      </c>
      <c r="Q27" s="185">
        <f t="shared" si="10"/>
        <v>0</v>
      </c>
      <c r="R27" s="193">
        <f t="shared" si="11"/>
        <v>0</v>
      </c>
      <c r="S27" s="184">
        <f t="shared" si="12"/>
        <v>0</v>
      </c>
      <c r="T27" s="185"/>
      <c r="U27" s="186">
        <f t="shared" si="13"/>
        <v>0</v>
      </c>
      <c r="V27" s="184">
        <f t="shared" si="14"/>
        <v>0</v>
      </c>
      <c r="Y27" s="199" t="s">
        <v>148</v>
      </c>
      <c r="Z27" s="196">
        <v>170904</v>
      </c>
      <c r="AA27" s="197" t="s">
        <v>123</v>
      </c>
      <c r="AB27" s="198">
        <f t="shared" ref="AB27:AG27" si="36">SUM(AC180:AC182)</f>
        <v>0</v>
      </c>
      <c r="AC27" s="198">
        <f t="shared" si="36"/>
        <v>0</v>
      </c>
      <c r="AD27" s="198">
        <f t="shared" si="36"/>
        <v>0</v>
      </c>
      <c r="AE27" s="198" t="e">
        <f t="shared" si="36"/>
        <v>#VALUE!</v>
      </c>
      <c r="AF27" s="198">
        <f t="shared" si="36"/>
        <v>0</v>
      </c>
      <c r="AG27" s="198" t="e">
        <f t="shared" si="36"/>
        <v>#VALUE!</v>
      </c>
      <c r="AH27" s="191" t="e">
        <f t="shared" si="5"/>
        <v>#VALUE!</v>
      </c>
      <c r="AI27" s="192" t="e">
        <f t="shared" si="6"/>
        <v>#VALUE!</v>
      </c>
    </row>
    <row r="28" spans="2:35" ht="35.25" customHeight="1" thickBot="1" x14ac:dyDescent="0.3">
      <c r="B28" s="130"/>
      <c r="C28" s="135"/>
      <c r="D28" s="177"/>
      <c r="E28" s="178" t="str">
        <f t="shared" si="26"/>
        <v/>
      </c>
      <c r="F28" s="178" t="str">
        <f t="shared" si="27"/>
        <v/>
      </c>
      <c r="G28" s="137"/>
      <c r="H28" s="179"/>
      <c r="I28" s="180"/>
      <c r="J28" s="181" t="str">
        <f t="shared" si="7"/>
        <v/>
      </c>
      <c r="K28" s="181" t="str">
        <f t="shared" si="8"/>
        <v/>
      </c>
      <c r="L28" s="132"/>
      <c r="N28" s="182" t="str">
        <f t="shared" si="9"/>
        <v/>
      </c>
      <c r="O28" s="193" t="str">
        <f t="shared" si="2"/>
        <v>0</v>
      </c>
      <c r="P28" s="194" t="str">
        <f t="shared" si="3"/>
        <v>0</v>
      </c>
      <c r="Q28" s="185">
        <f t="shared" si="10"/>
        <v>0</v>
      </c>
      <c r="R28" s="193">
        <f t="shared" si="11"/>
        <v>0</v>
      </c>
      <c r="S28" s="184">
        <f t="shared" si="12"/>
        <v>0</v>
      </c>
      <c r="T28" s="185"/>
      <c r="U28" s="186">
        <f t="shared" si="13"/>
        <v>0</v>
      </c>
      <c r="V28" s="184">
        <f t="shared" si="14"/>
        <v>0</v>
      </c>
      <c r="Y28" s="195" t="s">
        <v>149</v>
      </c>
      <c r="Z28" s="196">
        <v>170901</v>
      </c>
      <c r="AA28" s="197" t="s">
        <v>126</v>
      </c>
      <c r="AB28" s="198">
        <f t="shared" ref="AB28:AG28" si="37">SUM(AC183:AC185)</f>
        <v>0</v>
      </c>
      <c r="AC28" s="198">
        <f t="shared" si="37"/>
        <v>0</v>
      </c>
      <c r="AD28" s="198">
        <f t="shared" si="37"/>
        <v>0</v>
      </c>
      <c r="AE28" s="198">
        <f t="shared" si="37"/>
        <v>0</v>
      </c>
      <c r="AF28" s="198">
        <f t="shared" si="37"/>
        <v>0</v>
      </c>
      <c r="AG28" s="198">
        <f t="shared" si="37"/>
        <v>0</v>
      </c>
      <c r="AH28" s="191">
        <f t="shared" si="5"/>
        <v>0</v>
      </c>
      <c r="AI28" s="192">
        <f t="shared" si="6"/>
        <v>0</v>
      </c>
    </row>
    <row r="29" spans="2:35" ht="35.25" customHeight="1" thickBot="1" x14ac:dyDescent="0.3">
      <c r="B29" s="130"/>
      <c r="C29" s="135"/>
      <c r="D29" s="177"/>
      <c r="E29" s="178" t="str">
        <f t="shared" si="26"/>
        <v/>
      </c>
      <c r="F29" s="178" t="str">
        <f t="shared" si="27"/>
        <v/>
      </c>
      <c r="G29" s="137"/>
      <c r="H29" s="179"/>
      <c r="I29" s="180"/>
      <c r="J29" s="181" t="str">
        <f t="shared" si="7"/>
        <v/>
      </c>
      <c r="K29" s="181" t="str">
        <f t="shared" si="8"/>
        <v/>
      </c>
      <c r="L29" s="132"/>
      <c r="N29" s="182" t="str">
        <f t="shared" si="9"/>
        <v/>
      </c>
      <c r="O29" s="193" t="str">
        <f t="shared" si="2"/>
        <v>0</v>
      </c>
      <c r="P29" s="194" t="str">
        <f t="shared" si="3"/>
        <v>0</v>
      </c>
      <c r="Q29" s="185">
        <f t="shared" si="10"/>
        <v>0</v>
      </c>
      <c r="R29" s="193">
        <f t="shared" si="11"/>
        <v>0</v>
      </c>
      <c r="S29" s="184">
        <f t="shared" si="12"/>
        <v>0</v>
      </c>
      <c r="T29" s="185"/>
      <c r="U29" s="186">
        <f t="shared" si="13"/>
        <v>0</v>
      </c>
      <c r="V29" s="184">
        <f t="shared" si="14"/>
        <v>0</v>
      </c>
      <c r="Y29" s="195" t="s">
        <v>150</v>
      </c>
      <c r="Z29" s="196">
        <v>170902</v>
      </c>
      <c r="AA29" s="197" t="s">
        <v>126</v>
      </c>
      <c r="AB29" s="198">
        <f t="shared" ref="AB29:AG29" si="38">SUM(AC186:AC188)</f>
        <v>0</v>
      </c>
      <c r="AC29" s="198">
        <f t="shared" si="38"/>
        <v>0</v>
      </c>
      <c r="AD29" s="198">
        <f t="shared" si="38"/>
        <v>0</v>
      </c>
      <c r="AE29" s="198">
        <f t="shared" si="38"/>
        <v>0</v>
      </c>
      <c r="AF29" s="198">
        <f t="shared" si="38"/>
        <v>0</v>
      </c>
      <c r="AG29" s="198">
        <f t="shared" si="38"/>
        <v>0</v>
      </c>
      <c r="AH29" s="191">
        <f t="shared" si="5"/>
        <v>0</v>
      </c>
      <c r="AI29" s="192">
        <f t="shared" si="6"/>
        <v>0</v>
      </c>
    </row>
    <row r="30" spans="2:35" ht="35.25" customHeight="1" thickBot="1" x14ac:dyDescent="0.3">
      <c r="B30" s="130"/>
      <c r="C30" s="135"/>
      <c r="D30" s="177"/>
      <c r="E30" s="178" t="str">
        <f t="shared" si="26"/>
        <v/>
      </c>
      <c r="F30" s="178" t="str">
        <f t="shared" si="27"/>
        <v/>
      </c>
      <c r="G30" s="137"/>
      <c r="H30" s="179"/>
      <c r="I30" s="180"/>
      <c r="J30" s="181" t="str">
        <f t="shared" si="7"/>
        <v/>
      </c>
      <c r="K30" s="181" t="str">
        <f t="shared" si="8"/>
        <v/>
      </c>
      <c r="L30" s="132"/>
      <c r="N30" s="182" t="str">
        <f t="shared" si="9"/>
        <v/>
      </c>
      <c r="O30" s="200" t="str">
        <f t="shared" si="2"/>
        <v>0</v>
      </c>
      <c r="P30" s="201" t="str">
        <f t="shared" si="3"/>
        <v>0</v>
      </c>
      <c r="Q30" s="185">
        <f t="shared" si="10"/>
        <v>0</v>
      </c>
      <c r="R30" s="200">
        <f t="shared" si="11"/>
        <v>0</v>
      </c>
      <c r="S30" s="184">
        <f t="shared" si="12"/>
        <v>0</v>
      </c>
      <c r="T30" s="185"/>
      <c r="U30" s="186">
        <f t="shared" si="13"/>
        <v>0</v>
      </c>
      <c r="V30" s="184">
        <f t="shared" si="14"/>
        <v>0</v>
      </c>
      <c r="Y30" s="199" t="s">
        <v>131</v>
      </c>
      <c r="Z30" s="196">
        <v>170605</v>
      </c>
      <c r="AA30" s="197" t="s">
        <v>126</v>
      </c>
      <c r="AB30" s="198">
        <f t="shared" ref="AB30:AG30" si="39">SUM(AC189:AC191)</f>
        <v>0</v>
      </c>
      <c r="AC30" s="198">
        <f t="shared" si="39"/>
        <v>0</v>
      </c>
      <c r="AD30" s="198">
        <f t="shared" si="39"/>
        <v>0</v>
      </c>
      <c r="AE30" s="198">
        <f t="shared" si="39"/>
        <v>0</v>
      </c>
      <c r="AF30" s="198">
        <f t="shared" si="39"/>
        <v>0</v>
      </c>
      <c r="AG30" s="198" t="e">
        <f t="shared" si="39"/>
        <v>#VALUE!</v>
      </c>
      <c r="AH30" s="191" t="e">
        <f t="shared" si="5"/>
        <v>#VALUE!</v>
      </c>
      <c r="AI30" s="192" t="e">
        <f t="shared" si="6"/>
        <v>#VALUE!</v>
      </c>
    </row>
    <row r="31" spans="2:35" ht="26.25" customHeight="1" thickBot="1" x14ac:dyDescent="0.3">
      <c r="B31" s="139"/>
      <c r="C31" s="140"/>
      <c r="D31" s="140"/>
      <c r="E31" s="140"/>
      <c r="F31" s="140"/>
      <c r="G31" s="140"/>
      <c r="H31" s="202"/>
      <c r="I31" s="140"/>
      <c r="J31" s="140"/>
      <c r="K31" s="140"/>
      <c r="L31" s="141"/>
      <c r="O31" s="185"/>
      <c r="P31" s="185"/>
      <c r="Q31" s="185">
        <f t="shared" si="10"/>
        <v>0</v>
      </c>
      <c r="R31" s="185"/>
      <c r="S31" s="185"/>
      <c r="T31" s="185"/>
      <c r="U31" s="185"/>
      <c r="Y31" s="195" t="s">
        <v>151</v>
      </c>
      <c r="Z31" s="196">
        <v>170506</v>
      </c>
      <c r="AA31" s="197" t="s">
        <v>123</v>
      </c>
      <c r="AB31" s="198">
        <f t="shared" ref="AB31:AG31" si="40">SUM(AC192:AC194)</f>
        <v>0</v>
      </c>
      <c r="AC31" s="198">
        <f t="shared" si="40"/>
        <v>0</v>
      </c>
      <c r="AD31" s="198">
        <f t="shared" si="40"/>
        <v>0</v>
      </c>
      <c r="AE31" s="198">
        <f t="shared" si="40"/>
        <v>0</v>
      </c>
      <c r="AF31" s="198">
        <f t="shared" si="40"/>
        <v>0</v>
      </c>
      <c r="AG31" s="198">
        <f t="shared" si="40"/>
        <v>0</v>
      </c>
      <c r="AH31" s="191">
        <f t="shared" si="5"/>
        <v>0</v>
      </c>
      <c r="AI31" s="192">
        <f t="shared" si="6"/>
        <v>0</v>
      </c>
    </row>
    <row r="32" spans="2:35" ht="26.25" customHeight="1" x14ac:dyDescent="0.25">
      <c r="G32" s="878"/>
      <c r="H32" s="879"/>
      <c r="I32" s="203"/>
      <c r="J32" s="203"/>
      <c r="K32" s="203"/>
      <c r="Y32" s="195" t="s">
        <v>152</v>
      </c>
      <c r="Z32" s="196">
        <v>170505</v>
      </c>
      <c r="AA32" s="197" t="s">
        <v>126</v>
      </c>
      <c r="AB32" s="198">
        <f t="shared" ref="AB32:AG32" si="41">SUM(AC195:AC197)</f>
        <v>0</v>
      </c>
      <c r="AC32" s="198">
        <f t="shared" si="41"/>
        <v>0</v>
      </c>
      <c r="AD32" s="198">
        <f t="shared" si="41"/>
        <v>0</v>
      </c>
      <c r="AE32" s="198">
        <f t="shared" si="41"/>
        <v>0</v>
      </c>
      <c r="AF32" s="198">
        <f t="shared" si="41"/>
        <v>0</v>
      </c>
      <c r="AG32" s="198">
        <f t="shared" si="41"/>
        <v>0</v>
      </c>
      <c r="AH32" s="191">
        <f t="shared" si="5"/>
        <v>0</v>
      </c>
      <c r="AI32" s="192">
        <f t="shared" si="6"/>
        <v>0</v>
      </c>
    </row>
    <row r="33" spans="7:35" ht="26.25" customHeight="1" x14ac:dyDescent="0.25">
      <c r="G33" s="878"/>
      <c r="H33" s="880"/>
      <c r="I33" s="203"/>
      <c r="J33" s="203"/>
      <c r="K33" s="203"/>
      <c r="Y33" s="195" t="s">
        <v>153</v>
      </c>
      <c r="Z33" s="196">
        <v>160214</v>
      </c>
      <c r="AA33" s="197" t="s">
        <v>123</v>
      </c>
      <c r="AB33" s="198">
        <f t="shared" ref="AB33:AG33" si="42">SUM(AC198:AC200)</f>
        <v>0</v>
      </c>
      <c r="AC33" s="198">
        <f t="shared" si="42"/>
        <v>0</v>
      </c>
      <c r="AD33" s="198">
        <f t="shared" si="42"/>
        <v>0</v>
      </c>
      <c r="AE33" s="198">
        <f t="shared" si="42"/>
        <v>0</v>
      </c>
      <c r="AF33" s="198">
        <f t="shared" si="42"/>
        <v>0</v>
      </c>
      <c r="AG33" s="198">
        <f t="shared" si="42"/>
        <v>0</v>
      </c>
      <c r="AH33" s="191">
        <f t="shared" si="5"/>
        <v>0</v>
      </c>
      <c r="AI33" s="192">
        <f t="shared" si="6"/>
        <v>0</v>
      </c>
    </row>
    <row r="34" spans="7:35" ht="26.25" customHeight="1" x14ac:dyDescent="0.25">
      <c r="Y34" s="195" t="s">
        <v>154</v>
      </c>
      <c r="Z34" s="196">
        <v>160211</v>
      </c>
      <c r="AA34" s="197" t="s">
        <v>126</v>
      </c>
      <c r="AB34" s="198">
        <f t="shared" ref="AB34:AG34" si="43">SUM(AC201:AC203)</f>
        <v>0</v>
      </c>
      <c r="AC34" s="198">
        <f t="shared" si="43"/>
        <v>0</v>
      </c>
      <c r="AD34" s="198">
        <f t="shared" si="43"/>
        <v>0</v>
      </c>
      <c r="AE34" s="198">
        <f t="shared" si="43"/>
        <v>0</v>
      </c>
      <c r="AF34" s="198">
        <f t="shared" si="43"/>
        <v>0</v>
      </c>
      <c r="AG34" s="198">
        <f t="shared" si="43"/>
        <v>0</v>
      </c>
      <c r="AH34" s="191">
        <f t="shared" si="5"/>
        <v>0</v>
      </c>
      <c r="AI34" s="192">
        <f t="shared" si="6"/>
        <v>0</v>
      </c>
    </row>
    <row r="35" spans="7:35" ht="26.25" customHeight="1" x14ac:dyDescent="0.25">
      <c r="Y35" s="195" t="s">
        <v>155</v>
      </c>
      <c r="Z35" s="196">
        <v>160213</v>
      </c>
      <c r="AA35" s="197" t="s">
        <v>126</v>
      </c>
      <c r="AB35" s="198">
        <f t="shared" ref="AB35:AG35" si="44">SUM(AC204:AC206)</f>
        <v>0</v>
      </c>
      <c r="AC35" s="198">
        <f t="shared" si="44"/>
        <v>0</v>
      </c>
      <c r="AD35" s="198">
        <f t="shared" si="44"/>
        <v>0</v>
      </c>
      <c r="AE35" s="198">
        <f t="shared" si="44"/>
        <v>0</v>
      </c>
      <c r="AF35" s="198">
        <f t="shared" si="44"/>
        <v>0</v>
      </c>
      <c r="AG35" s="198">
        <f t="shared" si="44"/>
        <v>0</v>
      </c>
      <c r="AH35" s="191">
        <f t="shared" si="5"/>
        <v>0</v>
      </c>
      <c r="AI35" s="192">
        <f t="shared" si="6"/>
        <v>0</v>
      </c>
    </row>
    <row r="36" spans="7:35" ht="26.25" customHeight="1" x14ac:dyDescent="0.25">
      <c r="H36" s="204"/>
      <c r="Y36" s="195" t="s">
        <v>156</v>
      </c>
      <c r="Z36" s="196">
        <v>160210</v>
      </c>
      <c r="AA36" s="197" t="s">
        <v>126</v>
      </c>
      <c r="AB36" s="198">
        <f t="shared" ref="AB36:AG36" si="45">SUM(AC207:AC209)</f>
        <v>0</v>
      </c>
      <c r="AC36" s="198">
        <f t="shared" si="45"/>
        <v>0</v>
      </c>
      <c r="AD36" s="198">
        <f t="shared" si="45"/>
        <v>0</v>
      </c>
      <c r="AE36" s="198">
        <f t="shared" si="45"/>
        <v>0</v>
      </c>
      <c r="AF36" s="198">
        <f t="shared" si="45"/>
        <v>0</v>
      </c>
      <c r="AG36" s="198">
        <f t="shared" si="45"/>
        <v>0</v>
      </c>
      <c r="AH36" s="191">
        <f t="shared" si="5"/>
        <v>0</v>
      </c>
      <c r="AI36" s="192">
        <f t="shared" si="6"/>
        <v>0</v>
      </c>
    </row>
    <row r="37" spans="7:35" ht="26.25" customHeight="1" x14ac:dyDescent="0.25">
      <c r="Y37" s="195" t="s">
        <v>157</v>
      </c>
      <c r="Z37" s="196">
        <v>200199</v>
      </c>
      <c r="AA37" s="197" t="s">
        <v>123</v>
      </c>
      <c r="AB37" s="198">
        <f t="shared" ref="AB37:AG37" si="46">SUM(AC210:AC212)</f>
        <v>0</v>
      </c>
      <c r="AC37" s="198">
        <f t="shared" si="46"/>
        <v>0</v>
      </c>
      <c r="AD37" s="198">
        <f t="shared" si="46"/>
        <v>0</v>
      </c>
      <c r="AE37" s="198">
        <f t="shared" si="46"/>
        <v>0</v>
      </c>
      <c r="AF37" s="198">
        <f t="shared" si="46"/>
        <v>0</v>
      </c>
      <c r="AG37" s="198">
        <f t="shared" si="46"/>
        <v>0</v>
      </c>
      <c r="AH37" s="191">
        <f t="shared" si="5"/>
        <v>0</v>
      </c>
      <c r="AI37" s="192">
        <f t="shared" si="6"/>
        <v>0</v>
      </c>
    </row>
    <row r="38" spans="7:35" ht="26.25" customHeight="1" x14ac:dyDescent="0.25">
      <c r="Y38" s="195" t="s">
        <v>158</v>
      </c>
      <c r="Z38" s="196">
        <v>200121</v>
      </c>
      <c r="AA38" s="197" t="s">
        <v>126</v>
      </c>
      <c r="AB38" s="198">
        <f t="shared" ref="AB38:AG38" si="47">SUM(AC213:AC215)</f>
        <v>0</v>
      </c>
      <c r="AC38" s="198">
        <f t="shared" si="47"/>
        <v>0</v>
      </c>
      <c r="AD38" s="198">
        <f t="shared" si="47"/>
        <v>0</v>
      </c>
      <c r="AE38" s="198">
        <f t="shared" si="47"/>
        <v>0</v>
      </c>
      <c r="AF38" s="198">
        <f t="shared" si="47"/>
        <v>0</v>
      </c>
      <c r="AG38" s="198">
        <f t="shared" si="47"/>
        <v>0</v>
      </c>
      <c r="AH38" s="191">
        <f t="shared" si="5"/>
        <v>0</v>
      </c>
      <c r="AI38" s="192">
        <f t="shared" si="6"/>
        <v>0</v>
      </c>
    </row>
    <row r="39" spans="7:35" ht="26.25" customHeight="1" x14ac:dyDescent="0.25">
      <c r="Y39" s="195" t="s">
        <v>159</v>
      </c>
      <c r="Z39" s="196">
        <v>200123</v>
      </c>
      <c r="AA39" s="197" t="s">
        <v>126</v>
      </c>
      <c r="AB39" s="198">
        <f t="shared" ref="AB39:AG39" si="48">SUM(AC216:AC218)</f>
        <v>0</v>
      </c>
      <c r="AC39" s="198">
        <f t="shared" si="48"/>
        <v>0</v>
      </c>
      <c r="AD39" s="198">
        <f t="shared" si="48"/>
        <v>0</v>
      </c>
      <c r="AE39" s="198">
        <f t="shared" si="48"/>
        <v>0</v>
      </c>
      <c r="AF39" s="198">
        <f t="shared" si="48"/>
        <v>0</v>
      </c>
      <c r="AG39" s="198">
        <f t="shared" si="48"/>
        <v>0</v>
      </c>
      <c r="AH39" s="191">
        <f t="shared" si="5"/>
        <v>0</v>
      </c>
      <c r="AI39" s="192">
        <f t="shared" si="6"/>
        <v>0</v>
      </c>
    </row>
    <row r="40" spans="7:35" ht="26.25" customHeight="1" x14ac:dyDescent="0.25">
      <c r="Y40" s="195" t="s">
        <v>160</v>
      </c>
      <c r="Z40" s="196">
        <v>130703</v>
      </c>
      <c r="AA40" s="197" t="s">
        <v>126</v>
      </c>
      <c r="AB40" s="198">
        <f t="shared" ref="AB40:AG40" si="49">SUM(AC219:AC221)</f>
        <v>0</v>
      </c>
      <c r="AC40" s="198">
        <f t="shared" si="49"/>
        <v>0</v>
      </c>
      <c r="AD40" s="198">
        <f t="shared" si="49"/>
        <v>0</v>
      </c>
      <c r="AE40" s="198">
        <f t="shared" si="49"/>
        <v>0</v>
      </c>
      <c r="AF40" s="198">
        <f t="shared" si="49"/>
        <v>0</v>
      </c>
      <c r="AG40" s="198">
        <f t="shared" si="49"/>
        <v>0</v>
      </c>
      <c r="AH40" s="191">
        <f t="shared" si="5"/>
        <v>0</v>
      </c>
      <c r="AI40" s="192">
        <f t="shared" si="6"/>
        <v>0</v>
      </c>
    </row>
    <row r="41" spans="7:35" ht="26.25" customHeight="1" x14ac:dyDescent="0.25">
      <c r="Y41" s="195" t="s">
        <v>161</v>
      </c>
      <c r="Z41" s="196">
        <v>130702</v>
      </c>
      <c r="AA41" s="197" t="s">
        <v>126</v>
      </c>
      <c r="AB41" s="198">
        <f t="shared" ref="AB41:AG41" si="50">SUM(AC222:AC224)</f>
        <v>0</v>
      </c>
      <c r="AC41" s="198">
        <f t="shared" si="50"/>
        <v>0</v>
      </c>
      <c r="AD41" s="198">
        <f t="shared" si="50"/>
        <v>0</v>
      </c>
      <c r="AE41" s="198">
        <f t="shared" si="50"/>
        <v>0</v>
      </c>
      <c r="AF41" s="198">
        <f t="shared" si="50"/>
        <v>0</v>
      </c>
      <c r="AG41" s="198">
        <f t="shared" si="50"/>
        <v>0</v>
      </c>
      <c r="AH41" s="191">
        <f t="shared" si="5"/>
        <v>0</v>
      </c>
      <c r="AI41" s="192">
        <f t="shared" si="6"/>
        <v>0</v>
      </c>
    </row>
    <row r="42" spans="7:35" ht="26.25" customHeight="1" x14ac:dyDescent="0.25">
      <c r="Y42" s="195" t="s">
        <v>162</v>
      </c>
      <c r="Z42" s="196">
        <v>130701</v>
      </c>
      <c r="AA42" s="197" t="s">
        <v>126</v>
      </c>
      <c r="AB42" s="198">
        <f t="shared" ref="AB42:AG42" si="51">SUM(AC225:AC227)</f>
        <v>0</v>
      </c>
      <c r="AC42" s="198">
        <f t="shared" si="51"/>
        <v>0</v>
      </c>
      <c r="AD42" s="198">
        <f t="shared" si="51"/>
        <v>0</v>
      </c>
      <c r="AE42" s="198">
        <f t="shared" si="51"/>
        <v>0</v>
      </c>
      <c r="AF42" s="198">
        <f t="shared" si="51"/>
        <v>0</v>
      </c>
      <c r="AG42" s="198">
        <f t="shared" si="51"/>
        <v>0</v>
      </c>
      <c r="AH42" s="191">
        <f t="shared" si="5"/>
        <v>0</v>
      </c>
      <c r="AI42" s="192">
        <f t="shared" si="6"/>
        <v>0</v>
      </c>
    </row>
    <row r="43" spans="7:35" ht="26.25" customHeight="1" x14ac:dyDescent="0.25">
      <c r="Y43" s="195" t="s">
        <v>163</v>
      </c>
      <c r="Z43" s="196">
        <v>170202</v>
      </c>
      <c r="AA43" s="197" t="s">
        <v>141</v>
      </c>
      <c r="AB43" s="198">
        <f t="shared" ref="AB43:AG43" si="52">SUM(AC228:AC230)</f>
        <v>0</v>
      </c>
      <c r="AC43" s="198">
        <f t="shared" si="52"/>
        <v>0</v>
      </c>
      <c r="AD43" s="198">
        <f t="shared" si="52"/>
        <v>0</v>
      </c>
      <c r="AE43" s="198">
        <f t="shared" si="52"/>
        <v>0</v>
      </c>
      <c r="AF43" s="198">
        <f t="shared" si="52"/>
        <v>0</v>
      </c>
      <c r="AG43" s="198">
        <f t="shared" si="52"/>
        <v>0</v>
      </c>
      <c r="AH43" s="191">
        <f t="shared" si="5"/>
        <v>0</v>
      </c>
      <c r="AI43" s="192">
        <f t="shared" si="6"/>
        <v>0</v>
      </c>
    </row>
    <row r="44" spans="7:35" ht="26.25" customHeight="1" x14ac:dyDescent="0.25">
      <c r="Y44" s="195" t="s">
        <v>164</v>
      </c>
      <c r="Z44" s="196">
        <v>170204</v>
      </c>
      <c r="AA44" s="197" t="s">
        <v>126</v>
      </c>
      <c r="AB44" s="198">
        <f t="shared" ref="AB44:AG44" si="53">SUM(AC231:AC233)</f>
        <v>0</v>
      </c>
      <c r="AC44" s="198">
        <f t="shared" si="53"/>
        <v>0</v>
      </c>
      <c r="AD44" s="198">
        <f t="shared" si="53"/>
        <v>0</v>
      </c>
      <c r="AE44" s="198">
        <f t="shared" si="53"/>
        <v>0</v>
      </c>
      <c r="AF44" s="198">
        <f t="shared" si="53"/>
        <v>0</v>
      </c>
      <c r="AG44" s="198">
        <f t="shared" si="53"/>
        <v>0</v>
      </c>
      <c r="AH44" s="191">
        <f t="shared" si="5"/>
        <v>0</v>
      </c>
      <c r="AI44" s="192">
        <f t="shared" si="6"/>
        <v>0</v>
      </c>
    </row>
    <row r="45" spans="7:35" ht="26.25" customHeight="1" x14ac:dyDescent="0.25">
      <c r="Y45" s="195" t="s">
        <v>165</v>
      </c>
      <c r="Z45" s="196">
        <v>120117</v>
      </c>
      <c r="AA45" s="197" t="s">
        <v>123</v>
      </c>
      <c r="AB45" s="198">
        <f t="shared" ref="AB45:AG45" si="54">SUM(AC234:AC236)</f>
        <v>0</v>
      </c>
      <c r="AC45" s="198">
        <f t="shared" si="54"/>
        <v>0</v>
      </c>
      <c r="AD45" s="198">
        <f t="shared" si="54"/>
        <v>0</v>
      </c>
      <c r="AE45" s="198">
        <f t="shared" si="54"/>
        <v>0</v>
      </c>
      <c r="AF45" s="198">
        <f t="shared" si="54"/>
        <v>0</v>
      </c>
      <c r="AG45" s="198">
        <f t="shared" si="54"/>
        <v>0</v>
      </c>
      <c r="AH45" s="191">
        <f t="shared" si="5"/>
        <v>0</v>
      </c>
      <c r="AI45" s="192">
        <f t="shared" si="6"/>
        <v>0</v>
      </c>
    </row>
    <row r="46" spans="7:35" ht="26.25" customHeight="1" x14ac:dyDescent="0.25">
      <c r="Y46" s="195" t="s">
        <v>166</v>
      </c>
      <c r="Z46" s="196">
        <v>120116</v>
      </c>
      <c r="AA46" s="197" t="s">
        <v>126</v>
      </c>
      <c r="AB46" s="198">
        <f t="shared" ref="AB46:AG46" si="55">SUM(AC237:AC239)</f>
        <v>0</v>
      </c>
      <c r="AC46" s="198">
        <f t="shared" si="55"/>
        <v>0</v>
      </c>
      <c r="AD46" s="198">
        <f t="shared" si="55"/>
        <v>0</v>
      </c>
      <c r="AE46" s="198">
        <f t="shared" si="55"/>
        <v>0</v>
      </c>
      <c r="AF46" s="198">
        <f t="shared" si="55"/>
        <v>0</v>
      </c>
      <c r="AG46" s="198">
        <f t="shared" si="55"/>
        <v>0</v>
      </c>
      <c r="AH46" s="191">
        <f t="shared" si="5"/>
        <v>0</v>
      </c>
      <c r="AI46" s="192">
        <f t="shared" si="6"/>
        <v>0</v>
      </c>
    </row>
    <row r="47" spans="7:35" ht="26.25" customHeight="1" x14ac:dyDescent="0.25">
      <c r="Y47" s="195" t="s">
        <v>167</v>
      </c>
      <c r="Z47" s="196">
        <v>130508</v>
      </c>
      <c r="AA47" s="197" t="s">
        <v>126</v>
      </c>
      <c r="AB47" s="198">
        <f t="shared" ref="AB47:AG47" si="56">SUM(AC240:AC242)</f>
        <v>0</v>
      </c>
      <c r="AC47" s="198">
        <f t="shared" si="56"/>
        <v>0</v>
      </c>
      <c r="AD47" s="198">
        <f t="shared" si="56"/>
        <v>0</v>
      </c>
      <c r="AE47" s="198">
        <f t="shared" si="56"/>
        <v>0</v>
      </c>
      <c r="AF47" s="198">
        <f t="shared" si="56"/>
        <v>0</v>
      </c>
      <c r="AG47" s="198">
        <f t="shared" si="56"/>
        <v>0</v>
      </c>
      <c r="AH47" s="191">
        <f t="shared" si="5"/>
        <v>0</v>
      </c>
      <c r="AI47" s="192">
        <f t="shared" si="6"/>
        <v>0</v>
      </c>
    </row>
    <row r="48" spans="7:35" ht="26.25" customHeight="1" x14ac:dyDescent="0.25">
      <c r="Y48" s="195" t="s">
        <v>168</v>
      </c>
      <c r="Z48" s="196">
        <v>200303</v>
      </c>
      <c r="AA48" s="197" t="s">
        <v>123</v>
      </c>
      <c r="AB48" s="198">
        <f t="shared" ref="AB48:AG48" si="57">SUM(AC243:AC245)</f>
        <v>0</v>
      </c>
      <c r="AC48" s="198">
        <f t="shared" si="57"/>
        <v>0</v>
      </c>
      <c r="AD48" s="198">
        <f t="shared" si="57"/>
        <v>0</v>
      </c>
      <c r="AE48" s="198">
        <f t="shared" si="57"/>
        <v>0</v>
      </c>
      <c r="AF48" s="198">
        <f t="shared" si="57"/>
        <v>0</v>
      </c>
      <c r="AG48" s="198" t="e">
        <f t="shared" si="57"/>
        <v>#VALUE!</v>
      </c>
      <c r="AH48" s="191" t="e">
        <f t="shared" si="5"/>
        <v>#VALUE!</v>
      </c>
      <c r="AI48" s="192" t="e">
        <f t="shared" si="6"/>
        <v>#VALUE!</v>
      </c>
    </row>
    <row r="49" spans="25:35" ht="26.25" customHeight="1" x14ac:dyDescent="0.25">
      <c r="Y49" s="195" t="s">
        <v>169</v>
      </c>
      <c r="Z49" s="196">
        <v>170802</v>
      </c>
      <c r="AA49" s="197" t="s">
        <v>123</v>
      </c>
      <c r="AB49" s="198">
        <f t="shared" ref="AB49:AG49" si="58">SUM(AC246:AC248)</f>
        <v>0</v>
      </c>
      <c r="AC49" s="198">
        <f t="shared" si="58"/>
        <v>0</v>
      </c>
      <c r="AD49" s="198">
        <f t="shared" si="58"/>
        <v>0</v>
      </c>
      <c r="AE49" s="198">
        <f t="shared" si="58"/>
        <v>0</v>
      </c>
      <c r="AF49" s="198">
        <f t="shared" si="58"/>
        <v>0</v>
      </c>
      <c r="AG49" s="198">
        <f t="shared" si="58"/>
        <v>0</v>
      </c>
      <c r="AH49" s="191">
        <f t="shared" si="5"/>
        <v>0</v>
      </c>
      <c r="AI49" s="192">
        <f t="shared" si="6"/>
        <v>0</v>
      </c>
    </row>
    <row r="50" spans="25:35" ht="26.25" customHeight="1" x14ac:dyDescent="0.25">
      <c r="Y50" s="195" t="s">
        <v>170</v>
      </c>
      <c r="Z50" s="196">
        <v>170801</v>
      </c>
      <c r="AA50" s="197" t="s">
        <v>126</v>
      </c>
      <c r="AB50" s="198">
        <f t="shared" ref="AB50:AG50" si="59">SUM(AC249:AC251)</f>
        <v>0</v>
      </c>
      <c r="AC50" s="198">
        <f t="shared" si="59"/>
        <v>0</v>
      </c>
      <c r="AD50" s="198">
        <f t="shared" si="59"/>
        <v>0</v>
      </c>
      <c r="AE50" s="198">
        <f t="shared" si="59"/>
        <v>0</v>
      </c>
      <c r="AF50" s="198">
        <f t="shared" si="59"/>
        <v>0</v>
      </c>
      <c r="AG50" s="198">
        <f t="shared" si="59"/>
        <v>0</v>
      </c>
      <c r="AH50" s="191">
        <f t="shared" si="5"/>
        <v>0</v>
      </c>
      <c r="AI50" s="192">
        <f t="shared" si="6"/>
        <v>0</v>
      </c>
    </row>
    <row r="51" spans="25:35" ht="26.25" customHeight="1" x14ac:dyDescent="0.25">
      <c r="Y51" s="195" t="s">
        <v>171</v>
      </c>
      <c r="Z51" s="196">
        <v>170604</v>
      </c>
      <c r="AA51" s="197" t="s">
        <v>123</v>
      </c>
      <c r="AB51" s="198">
        <f t="shared" ref="AB51:AG51" si="60">SUM(AC252:AC254)</f>
        <v>0</v>
      </c>
      <c r="AC51" s="198">
        <f t="shared" si="60"/>
        <v>0</v>
      </c>
      <c r="AD51" s="198">
        <f t="shared" si="60"/>
        <v>0</v>
      </c>
      <c r="AE51" s="198">
        <f t="shared" si="60"/>
        <v>0</v>
      </c>
      <c r="AF51" s="198">
        <f t="shared" si="60"/>
        <v>0</v>
      </c>
      <c r="AG51" s="198">
        <f t="shared" si="60"/>
        <v>0</v>
      </c>
      <c r="AH51" s="191">
        <f t="shared" si="5"/>
        <v>0</v>
      </c>
      <c r="AI51" s="192">
        <f t="shared" si="6"/>
        <v>0</v>
      </c>
    </row>
    <row r="52" spans="25:35" ht="26.25" customHeight="1" x14ac:dyDescent="0.25">
      <c r="Y52" s="195" t="s">
        <v>172</v>
      </c>
      <c r="Z52" s="196">
        <v>170603</v>
      </c>
      <c r="AA52" s="197" t="s">
        <v>126</v>
      </c>
      <c r="AB52" s="198">
        <f t="shared" ref="AB52:AG52" si="61">SUM(AC255:AC257)</f>
        <v>0</v>
      </c>
      <c r="AC52" s="198">
        <f t="shared" si="61"/>
        <v>0</v>
      </c>
      <c r="AD52" s="198">
        <f t="shared" si="61"/>
        <v>0</v>
      </c>
      <c r="AE52" s="198">
        <f t="shared" si="61"/>
        <v>0</v>
      </c>
      <c r="AF52" s="198">
        <f t="shared" si="61"/>
        <v>0</v>
      </c>
      <c r="AG52" s="198">
        <f t="shared" si="61"/>
        <v>0</v>
      </c>
      <c r="AH52" s="191">
        <f t="shared" si="5"/>
        <v>0</v>
      </c>
      <c r="AI52" s="192">
        <f t="shared" si="6"/>
        <v>0</v>
      </c>
    </row>
    <row r="53" spans="25:35" ht="26.25" customHeight="1" x14ac:dyDescent="0.25">
      <c r="Y53" s="195" t="s">
        <v>173</v>
      </c>
      <c r="Z53" s="196">
        <v>170601</v>
      </c>
      <c r="AA53" s="197" t="s">
        <v>126</v>
      </c>
      <c r="AB53" s="198">
        <f t="shared" ref="AB53:AG53" si="62">SUM(AC258:AC260)</f>
        <v>0</v>
      </c>
      <c r="AC53" s="198">
        <f t="shared" si="62"/>
        <v>0</v>
      </c>
      <c r="AD53" s="198">
        <f t="shared" si="62"/>
        <v>0</v>
      </c>
      <c r="AE53" s="198">
        <f t="shared" si="62"/>
        <v>0</v>
      </c>
      <c r="AF53" s="198">
        <f t="shared" si="62"/>
        <v>0</v>
      </c>
      <c r="AG53" s="198">
        <f t="shared" si="62"/>
        <v>0</v>
      </c>
      <c r="AH53" s="191">
        <f t="shared" si="5"/>
        <v>0</v>
      </c>
      <c r="AI53" s="192">
        <f t="shared" si="6"/>
        <v>0</v>
      </c>
    </row>
    <row r="54" spans="25:35" ht="26.25" customHeight="1" x14ac:dyDescent="0.25">
      <c r="Y54" s="195" t="s">
        <v>174</v>
      </c>
      <c r="Z54" s="205">
        <v>130503</v>
      </c>
      <c r="AA54" s="197" t="s">
        <v>123</v>
      </c>
      <c r="AB54" s="198">
        <f t="shared" ref="AB54:AG54" si="63">SUM(AC261:AC263)</f>
        <v>0</v>
      </c>
      <c r="AC54" s="198">
        <f t="shared" si="63"/>
        <v>0</v>
      </c>
      <c r="AD54" s="198">
        <f t="shared" si="63"/>
        <v>0</v>
      </c>
      <c r="AE54" s="198">
        <f t="shared" si="63"/>
        <v>0</v>
      </c>
      <c r="AF54" s="198">
        <f t="shared" si="63"/>
        <v>0</v>
      </c>
      <c r="AG54" s="198">
        <f t="shared" si="63"/>
        <v>0</v>
      </c>
      <c r="AH54" s="191">
        <f t="shared" si="5"/>
        <v>0</v>
      </c>
      <c r="AI54" s="192">
        <f t="shared" si="6"/>
        <v>0</v>
      </c>
    </row>
    <row r="55" spans="25:35" ht="26.25" customHeight="1" x14ac:dyDescent="0.25">
      <c r="Y55" s="195" t="s">
        <v>175</v>
      </c>
      <c r="Z55" s="196">
        <v>170402</v>
      </c>
      <c r="AA55" s="197" t="s">
        <v>123</v>
      </c>
      <c r="AB55" s="198">
        <f t="shared" ref="AB55:AG55" si="64">SUM(AC264:AC266)</f>
        <v>0</v>
      </c>
      <c r="AC55" s="198">
        <f t="shared" si="64"/>
        <v>0</v>
      </c>
      <c r="AD55" s="198">
        <f t="shared" si="64"/>
        <v>0</v>
      </c>
      <c r="AE55" s="198">
        <f t="shared" si="64"/>
        <v>0</v>
      </c>
      <c r="AF55" s="198">
        <f t="shared" si="64"/>
        <v>0</v>
      </c>
      <c r="AG55" s="198">
        <f t="shared" si="64"/>
        <v>0</v>
      </c>
      <c r="AH55" s="191">
        <f t="shared" si="5"/>
        <v>0</v>
      </c>
      <c r="AI55" s="192">
        <f t="shared" si="6"/>
        <v>0</v>
      </c>
    </row>
    <row r="56" spans="25:35" ht="26.25" customHeight="1" x14ac:dyDescent="0.25">
      <c r="Y56" s="195" t="s">
        <v>176</v>
      </c>
      <c r="Z56" s="196">
        <v>170401</v>
      </c>
      <c r="AA56" s="197" t="s">
        <v>123</v>
      </c>
      <c r="AB56" s="198">
        <f t="shared" ref="AB56:AG56" si="65">SUM(AC267:AC269)</f>
        <v>0</v>
      </c>
      <c r="AC56" s="198">
        <f t="shared" si="65"/>
        <v>0</v>
      </c>
      <c r="AD56" s="198">
        <f t="shared" si="65"/>
        <v>0</v>
      </c>
      <c r="AE56" s="198">
        <f t="shared" si="65"/>
        <v>0</v>
      </c>
      <c r="AF56" s="198">
        <f t="shared" si="65"/>
        <v>0</v>
      </c>
      <c r="AG56" s="198">
        <f t="shared" si="65"/>
        <v>0</v>
      </c>
      <c r="AH56" s="191">
        <f t="shared" si="5"/>
        <v>0</v>
      </c>
      <c r="AI56" s="192">
        <f t="shared" si="6"/>
        <v>0</v>
      </c>
    </row>
    <row r="57" spans="25:35" ht="26.25" customHeight="1" x14ac:dyDescent="0.25">
      <c r="Y57" s="195" t="s">
        <v>177</v>
      </c>
      <c r="Z57" s="196">
        <v>170405</v>
      </c>
      <c r="AA57" s="197" t="s">
        <v>123</v>
      </c>
      <c r="AB57" s="198">
        <f t="shared" ref="AB57:AG57" si="66">SUM(AC270:AC272)</f>
        <v>0</v>
      </c>
      <c r="AC57" s="198">
        <f t="shared" si="66"/>
        <v>0</v>
      </c>
      <c r="AD57" s="198">
        <f t="shared" si="66"/>
        <v>0</v>
      </c>
      <c r="AE57" s="198">
        <f t="shared" si="66"/>
        <v>0</v>
      </c>
      <c r="AF57" s="198">
        <f t="shared" si="66"/>
        <v>0</v>
      </c>
      <c r="AG57" s="198">
        <f t="shared" si="66"/>
        <v>0</v>
      </c>
      <c r="AH57" s="191">
        <f t="shared" si="5"/>
        <v>0</v>
      </c>
      <c r="AI57" s="192">
        <f t="shared" si="6"/>
        <v>0</v>
      </c>
    </row>
    <row r="58" spans="25:35" ht="26.25" customHeight="1" x14ac:dyDescent="0.25">
      <c r="Y58" s="195" t="s">
        <v>178</v>
      </c>
      <c r="Z58" s="205">
        <v>170403</v>
      </c>
      <c r="AA58" s="197" t="s">
        <v>123</v>
      </c>
      <c r="AB58" s="198">
        <f t="shared" ref="AB58:AG58" si="67">SUM(AC273:AC275)</f>
        <v>0</v>
      </c>
      <c r="AC58" s="198">
        <f t="shared" si="67"/>
        <v>0</v>
      </c>
      <c r="AD58" s="198">
        <f t="shared" si="67"/>
        <v>0</v>
      </c>
      <c r="AE58" s="198">
        <f t="shared" si="67"/>
        <v>0</v>
      </c>
      <c r="AF58" s="198">
        <f t="shared" si="67"/>
        <v>0</v>
      </c>
      <c r="AG58" s="198">
        <f t="shared" si="67"/>
        <v>0</v>
      </c>
      <c r="AH58" s="191">
        <f t="shared" si="5"/>
        <v>0</v>
      </c>
      <c r="AI58" s="192">
        <f t="shared" si="6"/>
        <v>0</v>
      </c>
    </row>
    <row r="59" spans="25:35" ht="26.25" customHeight="1" x14ac:dyDescent="0.25">
      <c r="Y59" s="195" t="s">
        <v>179</v>
      </c>
      <c r="Z59" s="196">
        <v>170407</v>
      </c>
      <c r="AA59" s="197" t="s">
        <v>123</v>
      </c>
      <c r="AB59" s="198">
        <f t="shared" ref="AB59:AG59" si="68">SUM(AC276:AC278)</f>
        <v>0</v>
      </c>
      <c r="AC59" s="198">
        <f t="shared" si="68"/>
        <v>0</v>
      </c>
      <c r="AD59" s="198">
        <f t="shared" si="68"/>
        <v>0</v>
      </c>
      <c r="AE59" s="198" t="e">
        <f t="shared" si="68"/>
        <v>#VALUE!</v>
      </c>
      <c r="AF59" s="198">
        <f t="shared" si="68"/>
        <v>0</v>
      </c>
      <c r="AG59" s="198" t="e">
        <f t="shared" si="68"/>
        <v>#VALUE!</v>
      </c>
      <c r="AH59" s="191" t="e">
        <f t="shared" si="5"/>
        <v>#VALUE!</v>
      </c>
      <c r="AI59" s="192" t="e">
        <f t="shared" si="6"/>
        <v>#VALUE!</v>
      </c>
    </row>
    <row r="60" spans="25:35" ht="26.25" customHeight="1" x14ac:dyDescent="0.25">
      <c r="Y60" s="195" t="s">
        <v>180</v>
      </c>
      <c r="Z60" s="196">
        <v>170409</v>
      </c>
      <c r="AA60" s="197" t="s">
        <v>126</v>
      </c>
      <c r="AB60" s="198">
        <f t="shared" ref="AB60:AG60" si="69">SUM(AC279:AC281)</f>
        <v>0</v>
      </c>
      <c r="AC60" s="198">
        <f t="shared" si="69"/>
        <v>0</v>
      </c>
      <c r="AD60" s="198">
        <f t="shared" si="69"/>
        <v>0</v>
      </c>
      <c r="AE60" s="198">
        <f t="shared" si="69"/>
        <v>0</v>
      </c>
      <c r="AF60" s="198">
        <f t="shared" si="69"/>
        <v>0</v>
      </c>
      <c r="AG60" s="198">
        <f t="shared" si="69"/>
        <v>0</v>
      </c>
      <c r="AH60" s="191">
        <f t="shared" si="5"/>
        <v>0</v>
      </c>
      <c r="AI60" s="192">
        <f t="shared" si="6"/>
        <v>0</v>
      </c>
    </row>
    <row r="61" spans="25:35" ht="26.25" customHeight="1" x14ac:dyDescent="0.25">
      <c r="Y61" s="195" t="s">
        <v>181</v>
      </c>
      <c r="Z61" s="196">
        <v>170406</v>
      </c>
      <c r="AA61" s="197" t="s">
        <v>123</v>
      </c>
      <c r="AB61" s="198">
        <f t="shared" ref="AB61:AG61" si="70">SUM(AC282:AC284)</f>
        <v>0</v>
      </c>
      <c r="AC61" s="198">
        <f t="shared" si="70"/>
        <v>0</v>
      </c>
      <c r="AD61" s="198">
        <f t="shared" si="70"/>
        <v>0</v>
      </c>
      <c r="AE61" s="198">
        <f t="shared" si="70"/>
        <v>0</v>
      </c>
      <c r="AF61" s="198">
        <f t="shared" si="70"/>
        <v>0</v>
      </c>
      <c r="AG61" s="198">
        <f t="shared" si="70"/>
        <v>0</v>
      </c>
      <c r="AH61" s="191">
        <f t="shared" si="5"/>
        <v>0</v>
      </c>
      <c r="AI61" s="192">
        <f t="shared" si="6"/>
        <v>0</v>
      </c>
    </row>
    <row r="62" spans="25:35" ht="26.25" customHeight="1" x14ac:dyDescent="0.25">
      <c r="Y62" s="195" t="s">
        <v>182</v>
      </c>
      <c r="Z62" s="196">
        <v>170404</v>
      </c>
      <c r="AA62" s="197" t="s">
        <v>123</v>
      </c>
      <c r="AB62" s="198">
        <f t="shared" ref="AB62:AG62" si="71">SUM(AC285:AC287)</f>
        <v>0</v>
      </c>
      <c r="AC62" s="198">
        <f t="shared" si="71"/>
        <v>0</v>
      </c>
      <c r="AD62" s="198">
        <f t="shared" si="71"/>
        <v>0</v>
      </c>
      <c r="AE62" s="198">
        <f t="shared" si="71"/>
        <v>0</v>
      </c>
      <c r="AF62" s="198">
        <f t="shared" si="71"/>
        <v>0</v>
      </c>
      <c r="AG62" s="198">
        <f t="shared" si="71"/>
        <v>0</v>
      </c>
      <c r="AH62" s="191">
        <f t="shared" si="5"/>
        <v>0</v>
      </c>
      <c r="AI62" s="192">
        <f t="shared" si="6"/>
        <v>0</v>
      </c>
    </row>
    <row r="63" spans="25:35" ht="26.25" customHeight="1" x14ac:dyDescent="0.25">
      <c r="Y63" s="195" t="s">
        <v>183</v>
      </c>
      <c r="Z63" s="196">
        <v>130205</v>
      </c>
      <c r="AA63" s="197" t="s">
        <v>126</v>
      </c>
      <c r="AB63" s="198">
        <f t="shared" ref="AB63:AG63" si="72">SUM(AC288:AC290)</f>
        <v>0</v>
      </c>
      <c r="AC63" s="198">
        <f t="shared" si="72"/>
        <v>0</v>
      </c>
      <c r="AD63" s="198">
        <f t="shared" si="72"/>
        <v>0</v>
      </c>
      <c r="AE63" s="198">
        <f t="shared" si="72"/>
        <v>0</v>
      </c>
      <c r="AF63" s="198">
        <f t="shared" si="72"/>
        <v>0</v>
      </c>
      <c r="AG63" s="198">
        <f t="shared" si="72"/>
        <v>0</v>
      </c>
      <c r="AH63" s="191">
        <f t="shared" si="5"/>
        <v>0</v>
      </c>
      <c r="AI63" s="192">
        <f t="shared" si="6"/>
        <v>0</v>
      </c>
    </row>
    <row r="64" spans="25:35" ht="26.25" customHeight="1" x14ac:dyDescent="0.25">
      <c r="Y64" s="195" t="s">
        <v>184</v>
      </c>
      <c r="Z64" s="196">
        <v>130112</v>
      </c>
      <c r="AA64" s="197" t="s">
        <v>126</v>
      </c>
      <c r="AB64" s="198">
        <f t="shared" ref="AB64:AG64" si="73">SUM(AC291:AC293)</f>
        <v>0</v>
      </c>
      <c r="AC64" s="198">
        <f t="shared" si="73"/>
        <v>0</v>
      </c>
      <c r="AD64" s="198">
        <f t="shared" si="73"/>
        <v>0</v>
      </c>
      <c r="AE64" s="198">
        <f t="shared" si="73"/>
        <v>0</v>
      </c>
      <c r="AF64" s="198">
        <f t="shared" si="73"/>
        <v>0</v>
      </c>
      <c r="AG64" s="198">
        <f t="shared" si="73"/>
        <v>0</v>
      </c>
      <c r="AH64" s="191">
        <f t="shared" si="5"/>
        <v>0</v>
      </c>
      <c r="AI64" s="192">
        <f t="shared" si="6"/>
        <v>0</v>
      </c>
    </row>
    <row r="65" spans="25:35" ht="26.25" customHeight="1" x14ac:dyDescent="0.25">
      <c r="Y65" s="195" t="s">
        <v>185</v>
      </c>
      <c r="Z65" s="196">
        <v>130111</v>
      </c>
      <c r="AA65" s="197" t="s">
        <v>126</v>
      </c>
      <c r="AB65" s="198">
        <f t="shared" ref="AB65:AG65" si="74">SUM(AC294:AC296)</f>
        <v>0</v>
      </c>
      <c r="AC65" s="198">
        <f t="shared" si="74"/>
        <v>0</v>
      </c>
      <c r="AD65" s="198">
        <f t="shared" si="74"/>
        <v>0</v>
      </c>
      <c r="AE65" s="198">
        <f t="shared" si="74"/>
        <v>0</v>
      </c>
      <c r="AF65" s="198">
        <f t="shared" si="74"/>
        <v>0</v>
      </c>
      <c r="AG65" s="198">
        <f t="shared" si="74"/>
        <v>0</v>
      </c>
      <c r="AH65" s="191">
        <f t="shared" si="5"/>
        <v>0</v>
      </c>
      <c r="AI65" s="192">
        <f t="shared" si="6"/>
        <v>0</v>
      </c>
    </row>
    <row r="66" spans="25:35" ht="26.25" customHeight="1" x14ac:dyDescent="0.25">
      <c r="Y66" s="195" t="s">
        <v>186</v>
      </c>
      <c r="Z66" s="196">
        <v>130207</v>
      </c>
      <c r="AA66" s="197" t="s">
        <v>126</v>
      </c>
      <c r="AB66" s="198">
        <f t="shared" ref="AB66:AG66" si="75">SUM(AC297:AC299)</f>
        <v>0</v>
      </c>
      <c r="AC66" s="198">
        <f t="shared" si="75"/>
        <v>0</v>
      </c>
      <c r="AD66" s="198">
        <f t="shared" si="75"/>
        <v>0</v>
      </c>
      <c r="AE66" s="198">
        <f t="shared" si="75"/>
        <v>0</v>
      </c>
      <c r="AF66" s="198">
        <f t="shared" si="75"/>
        <v>0</v>
      </c>
      <c r="AG66" s="198">
        <f t="shared" si="75"/>
        <v>0</v>
      </c>
      <c r="AH66" s="191">
        <f t="shared" si="5"/>
        <v>0</v>
      </c>
      <c r="AI66" s="192">
        <f t="shared" si="6"/>
        <v>0</v>
      </c>
    </row>
    <row r="67" spans="25:35" ht="26.25" customHeight="1" x14ac:dyDescent="0.25">
      <c r="Y67" s="195" t="s">
        <v>187</v>
      </c>
      <c r="Z67" s="196">
        <v>130206</v>
      </c>
      <c r="AA67" s="197" t="s">
        <v>126</v>
      </c>
      <c r="AB67" s="198">
        <f t="shared" ref="AB67:AG67" si="76">SUM(AC300:AC302)</f>
        <v>0</v>
      </c>
      <c r="AC67" s="198">
        <f t="shared" si="76"/>
        <v>0</v>
      </c>
      <c r="AD67" s="198">
        <f t="shared" si="76"/>
        <v>0</v>
      </c>
      <c r="AE67" s="198">
        <f t="shared" si="76"/>
        <v>0</v>
      </c>
      <c r="AF67" s="198">
        <f t="shared" si="76"/>
        <v>0</v>
      </c>
      <c r="AG67" s="198">
        <f t="shared" si="76"/>
        <v>0</v>
      </c>
      <c r="AH67" s="191">
        <f t="shared" si="5"/>
        <v>0</v>
      </c>
      <c r="AI67" s="192">
        <f t="shared" si="6"/>
        <v>0</v>
      </c>
    </row>
    <row r="68" spans="25:35" ht="26.25" customHeight="1" x14ac:dyDescent="0.25">
      <c r="Y68" s="195" t="s">
        <v>188</v>
      </c>
      <c r="Z68" s="196">
        <v>160107</v>
      </c>
      <c r="AA68" s="197" t="s">
        <v>126</v>
      </c>
      <c r="AB68" s="198">
        <f t="shared" ref="AB68:AG68" si="77">SUM(AC303:AC305)</f>
        <v>0</v>
      </c>
      <c r="AC68" s="198">
        <f t="shared" si="77"/>
        <v>0</v>
      </c>
      <c r="AD68" s="198">
        <f t="shared" si="77"/>
        <v>0</v>
      </c>
      <c r="AE68" s="198">
        <f t="shared" si="77"/>
        <v>0</v>
      </c>
      <c r="AF68" s="198">
        <f t="shared" si="77"/>
        <v>0</v>
      </c>
      <c r="AG68" s="198">
        <f t="shared" si="77"/>
        <v>0</v>
      </c>
      <c r="AH68" s="191">
        <f t="shared" si="5"/>
        <v>0</v>
      </c>
      <c r="AI68" s="192">
        <f t="shared" si="6"/>
        <v>0</v>
      </c>
    </row>
    <row r="69" spans="25:35" ht="26.25" customHeight="1" x14ac:dyDescent="0.25">
      <c r="Y69" s="195" t="s">
        <v>189</v>
      </c>
      <c r="Z69" s="196">
        <v>130506</v>
      </c>
      <c r="AA69" s="197" t="s">
        <v>126</v>
      </c>
      <c r="AB69" s="198">
        <f t="shared" ref="AB69:AG69" si="78">SUM(AC306:AC308)</f>
        <v>0</v>
      </c>
      <c r="AC69" s="198">
        <f t="shared" si="78"/>
        <v>0</v>
      </c>
      <c r="AD69" s="198">
        <f t="shared" si="78"/>
        <v>0</v>
      </c>
      <c r="AE69" s="198">
        <f t="shared" si="78"/>
        <v>0</v>
      </c>
      <c r="AF69" s="198">
        <f t="shared" si="78"/>
        <v>0</v>
      </c>
      <c r="AG69" s="198">
        <f t="shared" si="78"/>
        <v>0</v>
      </c>
      <c r="AH69" s="191">
        <f t="shared" si="5"/>
        <v>0</v>
      </c>
      <c r="AI69" s="192">
        <f t="shared" si="6"/>
        <v>0</v>
      </c>
    </row>
    <row r="70" spans="25:35" ht="26.25" customHeight="1" x14ac:dyDescent="0.25">
      <c r="Y70" s="195" t="s">
        <v>190</v>
      </c>
      <c r="Z70" s="196">
        <v>130507</v>
      </c>
      <c r="AA70" s="197" t="s">
        <v>126</v>
      </c>
      <c r="AB70" s="198">
        <f t="shared" ref="AB70:AG70" si="79">SUM(AC309:AC311)</f>
        <v>0</v>
      </c>
      <c r="AC70" s="198">
        <f t="shared" si="79"/>
        <v>0</v>
      </c>
      <c r="AD70" s="198">
        <f t="shared" si="79"/>
        <v>0</v>
      </c>
      <c r="AE70" s="198">
        <f t="shared" si="79"/>
        <v>0</v>
      </c>
      <c r="AF70" s="198">
        <f t="shared" si="79"/>
        <v>0</v>
      </c>
      <c r="AG70" s="198">
        <f t="shared" si="79"/>
        <v>0</v>
      </c>
      <c r="AH70" s="191">
        <f t="shared" si="5"/>
        <v>0</v>
      </c>
      <c r="AI70" s="192">
        <f t="shared" si="6"/>
        <v>0</v>
      </c>
    </row>
    <row r="71" spans="25:35" ht="26.25" customHeight="1" x14ac:dyDescent="0.25">
      <c r="Y71" s="195" t="s">
        <v>191</v>
      </c>
      <c r="Z71" s="205">
        <v>150107</v>
      </c>
      <c r="AA71" s="197" t="s">
        <v>141</v>
      </c>
      <c r="AB71" s="198">
        <f t="shared" ref="AB71:AG71" si="80">SUM(AC312:AC314)</f>
        <v>0</v>
      </c>
      <c r="AC71" s="198">
        <f t="shared" si="80"/>
        <v>0</v>
      </c>
      <c r="AD71" s="198">
        <f t="shared" si="80"/>
        <v>0</v>
      </c>
      <c r="AE71" s="198">
        <f t="shared" si="80"/>
        <v>0</v>
      </c>
      <c r="AF71" s="198">
        <f t="shared" si="80"/>
        <v>0</v>
      </c>
      <c r="AG71" s="198">
        <f t="shared" si="80"/>
        <v>0</v>
      </c>
      <c r="AH71" s="191">
        <f t="shared" ref="AH71:AH111" si="81">AB71+AC71+AD71+AE71+AJ71+AL71+AG71</f>
        <v>0</v>
      </c>
      <c r="AI71" s="192">
        <f t="shared" ref="AI71:AI111" si="82">AC71+AE71+AJ71+AL71+AG71</f>
        <v>0</v>
      </c>
    </row>
    <row r="72" spans="25:35" ht="26.25" customHeight="1" x14ac:dyDescent="0.25">
      <c r="Y72" s="195" t="s">
        <v>192</v>
      </c>
      <c r="Z72" s="205">
        <v>150104</v>
      </c>
      <c r="AA72" s="197" t="s">
        <v>123</v>
      </c>
      <c r="AB72" s="198">
        <f t="shared" ref="AB72:AG72" si="83">SUM(AC315:AC317)</f>
        <v>0</v>
      </c>
      <c r="AC72" s="198">
        <f t="shared" si="83"/>
        <v>0</v>
      </c>
      <c r="AD72" s="198">
        <f t="shared" si="83"/>
        <v>0</v>
      </c>
      <c r="AE72" s="198">
        <f t="shared" si="83"/>
        <v>0</v>
      </c>
      <c r="AF72" s="198">
        <f t="shared" si="83"/>
        <v>0</v>
      </c>
      <c r="AG72" s="198">
        <f t="shared" si="83"/>
        <v>0</v>
      </c>
      <c r="AH72" s="191">
        <f t="shared" si="81"/>
        <v>0</v>
      </c>
      <c r="AI72" s="192">
        <f t="shared" si="82"/>
        <v>0</v>
      </c>
    </row>
    <row r="73" spans="25:35" ht="26.25" customHeight="1" x14ac:dyDescent="0.25">
      <c r="Y73" s="195" t="s">
        <v>193</v>
      </c>
      <c r="Z73" s="205">
        <v>150106</v>
      </c>
      <c r="AA73" s="197" t="s">
        <v>123</v>
      </c>
      <c r="AB73" s="198">
        <f t="shared" ref="AB73:AG73" si="84">SUM(AC318:AC320)</f>
        <v>0</v>
      </c>
      <c r="AC73" s="198">
        <f t="shared" si="84"/>
        <v>0</v>
      </c>
      <c r="AD73" s="198">
        <f t="shared" si="84"/>
        <v>0</v>
      </c>
      <c r="AE73" s="198">
        <f t="shared" si="84"/>
        <v>0</v>
      </c>
      <c r="AF73" s="198">
        <f t="shared" si="84"/>
        <v>0</v>
      </c>
      <c r="AG73" s="198">
        <f t="shared" si="84"/>
        <v>0</v>
      </c>
      <c r="AH73" s="191">
        <f t="shared" si="81"/>
        <v>0</v>
      </c>
      <c r="AI73" s="192">
        <f t="shared" si="82"/>
        <v>0</v>
      </c>
    </row>
    <row r="74" spans="25:35" ht="26.25" customHeight="1" x14ac:dyDescent="0.25">
      <c r="Y74" s="195" t="s">
        <v>194</v>
      </c>
      <c r="Z74" s="205">
        <v>150102</v>
      </c>
      <c r="AA74" s="197" t="s">
        <v>123</v>
      </c>
      <c r="AB74" s="198">
        <f t="shared" ref="AB74:AG74" si="85">SUM(AC321:AC323)</f>
        <v>0</v>
      </c>
      <c r="AC74" s="198">
        <f t="shared" si="85"/>
        <v>0</v>
      </c>
      <c r="AD74" s="198">
        <f t="shared" si="85"/>
        <v>0</v>
      </c>
      <c r="AE74" s="198">
        <f t="shared" si="85"/>
        <v>0</v>
      </c>
      <c r="AF74" s="198">
        <f t="shared" si="85"/>
        <v>0</v>
      </c>
      <c r="AG74" s="198">
        <f t="shared" si="85"/>
        <v>0</v>
      </c>
      <c r="AH74" s="191">
        <f t="shared" si="81"/>
        <v>0</v>
      </c>
      <c r="AI74" s="192">
        <f t="shared" si="82"/>
        <v>0</v>
      </c>
    </row>
    <row r="75" spans="25:35" ht="26.25" customHeight="1" x14ac:dyDescent="0.25">
      <c r="Y75" s="195" t="s">
        <v>195</v>
      </c>
      <c r="Z75" s="205">
        <v>150103</v>
      </c>
      <c r="AA75" s="197" t="s">
        <v>123</v>
      </c>
      <c r="AB75" s="198">
        <f t="shared" ref="AB75:AG75" si="86">SUM(AC324:AC326)</f>
        <v>0</v>
      </c>
      <c r="AC75" s="198">
        <f t="shared" si="86"/>
        <v>0</v>
      </c>
      <c r="AD75" s="198">
        <f t="shared" si="86"/>
        <v>0</v>
      </c>
      <c r="AE75" s="198">
        <f t="shared" si="86"/>
        <v>0</v>
      </c>
      <c r="AF75" s="198">
        <f t="shared" si="86"/>
        <v>0</v>
      </c>
      <c r="AG75" s="198">
        <f t="shared" si="86"/>
        <v>0</v>
      </c>
      <c r="AH75" s="191">
        <f t="shared" si="81"/>
        <v>0</v>
      </c>
      <c r="AI75" s="192">
        <f t="shared" si="82"/>
        <v>0</v>
      </c>
    </row>
    <row r="76" spans="25:35" ht="26.25" customHeight="1" x14ac:dyDescent="0.25">
      <c r="Y76" s="195" t="s">
        <v>196</v>
      </c>
      <c r="Z76" s="196">
        <v>80112</v>
      </c>
      <c r="AA76" s="197" t="s">
        <v>123</v>
      </c>
      <c r="AB76" s="198">
        <f t="shared" ref="AB76:AG76" si="87">SUM(AC327:AC329)</f>
        <v>0</v>
      </c>
      <c r="AC76" s="198">
        <f t="shared" si="87"/>
        <v>0</v>
      </c>
      <c r="AD76" s="198">
        <f t="shared" si="87"/>
        <v>0</v>
      </c>
      <c r="AE76" s="198">
        <f t="shared" si="87"/>
        <v>0</v>
      </c>
      <c r="AF76" s="198">
        <f t="shared" si="87"/>
        <v>0</v>
      </c>
      <c r="AG76" s="198">
        <f t="shared" si="87"/>
        <v>0</v>
      </c>
      <c r="AH76" s="191">
        <f t="shared" si="81"/>
        <v>0</v>
      </c>
      <c r="AI76" s="192">
        <f t="shared" si="82"/>
        <v>0</v>
      </c>
    </row>
    <row r="77" spans="25:35" ht="26.25" customHeight="1" x14ac:dyDescent="0.25">
      <c r="Y77" s="195" t="s">
        <v>197</v>
      </c>
      <c r="Z77" s="196">
        <v>80111</v>
      </c>
      <c r="AA77" s="197" t="s">
        <v>126</v>
      </c>
      <c r="AB77" s="198">
        <f t="shared" ref="AB77:AG77" si="88">SUM(AC330:AC332)</f>
        <v>0</v>
      </c>
      <c r="AC77" s="198">
        <f t="shared" si="88"/>
        <v>0</v>
      </c>
      <c r="AD77" s="198">
        <f t="shared" si="88"/>
        <v>0</v>
      </c>
      <c r="AE77" s="198">
        <f t="shared" si="88"/>
        <v>0</v>
      </c>
      <c r="AF77" s="198">
        <f t="shared" si="88"/>
        <v>0</v>
      </c>
      <c r="AG77" s="198">
        <f t="shared" si="88"/>
        <v>0</v>
      </c>
      <c r="AH77" s="191">
        <f t="shared" si="81"/>
        <v>0</v>
      </c>
      <c r="AI77" s="192">
        <f t="shared" si="82"/>
        <v>0</v>
      </c>
    </row>
    <row r="78" spans="25:35" ht="26.25" customHeight="1" x14ac:dyDescent="0.25">
      <c r="Y78" s="195" t="s">
        <v>198</v>
      </c>
      <c r="Z78" s="196">
        <v>80118</v>
      </c>
      <c r="AA78" s="197" t="s">
        <v>123</v>
      </c>
      <c r="AB78" s="198">
        <f t="shared" ref="AB78:AG78" si="89">SUM(AC333:AC335)</f>
        <v>0</v>
      </c>
      <c r="AC78" s="198">
        <f t="shared" si="89"/>
        <v>0</v>
      </c>
      <c r="AD78" s="198">
        <f t="shared" si="89"/>
        <v>0</v>
      </c>
      <c r="AE78" s="198">
        <f t="shared" si="89"/>
        <v>0</v>
      </c>
      <c r="AF78" s="198">
        <f t="shared" si="89"/>
        <v>0</v>
      </c>
      <c r="AG78" s="198">
        <f t="shared" si="89"/>
        <v>0</v>
      </c>
      <c r="AH78" s="191">
        <f t="shared" si="81"/>
        <v>0</v>
      </c>
      <c r="AI78" s="192">
        <f t="shared" si="82"/>
        <v>0</v>
      </c>
    </row>
    <row r="79" spans="25:35" ht="26.25" customHeight="1" x14ac:dyDescent="0.25">
      <c r="Y79" s="195" t="s">
        <v>199</v>
      </c>
      <c r="Z79" s="196">
        <v>80117</v>
      </c>
      <c r="AA79" s="197" t="s">
        <v>126</v>
      </c>
      <c r="AB79" s="198">
        <f t="shared" ref="AB79:AG79" si="90">SUM(AC336:AC338)</f>
        <v>0</v>
      </c>
      <c r="AC79" s="198">
        <f t="shared" si="90"/>
        <v>0</v>
      </c>
      <c r="AD79" s="198">
        <f t="shared" si="90"/>
        <v>0</v>
      </c>
      <c r="AE79" s="198">
        <f t="shared" si="90"/>
        <v>0</v>
      </c>
      <c r="AF79" s="198">
        <f t="shared" si="90"/>
        <v>0</v>
      </c>
      <c r="AG79" s="198">
        <f t="shared" si="90"/>
        <v>0</v>
      </c>
      <c r="AH79" s="191">
        <f t="shared" si="81"/>
        <v>0</v>
      </c>
      <c r="AI79" s="192">
        <f t="shared" si="82"/>
        <v>0</v>
      </c>
    </row>
    <row r="80" spans="25:35" ht="26.25" customHeight="1" x14ac:dyDescent="0.25">
      <c r="Y80" s="195" t="s">
        <v>200</v>
      </c>
      <c r="Z80" s="196">
        <v>200101</v>
      </c>
      <c r="AA80" s="197" t="s">
        <v>123</v>
      </c>
      <c r="AB80" s="198">
        <f t="shared" ref="AB80:AG80" si="91">SUM(AC339:AC341)</f>
        <v>0</v>
      </c>
      <c r="AC80" s="198">
        <f t="shared" si="91"/>
        <v>0</v>
      </c>
      <c r="AD80" s="198">
        <f t="shared" si="91"/>
        <v>0</v>
      </c>
      <c r="AE80" s="198">
        <f t="shared" si="91"/>
        <v>0</v>
      </c>
      <c r="AF80" s="198">
        <f t="shared" si="91"/>
        <v>0</v>
      </c>
      <c r="AG80" s="198">
        <f t="shared" si="91"/>
        <v>0</v>
      </c>
      <c r="AH80" s="191">
        <f t="shared" si="81"/>
        <v>0</v>
      </c>
      <c r="AI80" s="192">
        <f t="shared" si="82"/>
        <v>0</v>
      </c>
    </row>
    <row r="81" spans="25:35" ht="26.25" customHeight="1" x14ac:dyDescent="0.25">
      <c r="Y81" s="195" t="s">
        <v>201</v>
      </c>
      <c r="Z81" s="196">
        <v>150101</v>
      </c>
      <c r="AA81" s="197" t="s">
        <v>123</v>
      </c>
      <c r="AB81" s="198">
        <f t="shared" ref="AB81:AG81" si="92">SUM(AC342:AC344)</f>
        <v>0</v>
      </c>
      <c r="AC81" s="198">
        <f t="shared" si="92"/>
        <v>0</v>
      </c>
      <c r="AD81" s="198">
        <f t="shared" si="92"/>
        <v>0</v>
      </c>
      <c r="AE81" s="198">
        <f t="shared" si="92"/>
        <v>0</v>
      </c>
      <c r="AF81" s="198">
        <f t="shared" si="92"/>
        <v>0</v>
      </c>
      <c r="AG81" s="198">
        <f t="shared" si="92"/>
        <v>0</v>
      </c>
      <c r="AH81" s="191">
        <f t="shared" si="81"/>
        <v>0</v>
      </c>
      <c r="AI81" s="192">
        <f t="shared" si="82"/>
        <v>0</v>
      </c>
    </row>
    <row r="82" spans="25:35" ht="26.25" customHeight="1" x14ac:dyDescent="0.25">
      <c r="Y82" s="195" t="s">
        <v>202</v>
      </c>
      <c r="Z82" s="196">
        <v>170203</v>
      </c>
      <c r="AA82" s="197" t="s">
        <v>123</v>
      </c>
      <c r="AB82" s="198">
        <f t="shared" ref="AB82:AG82" si="93">SUM(AC345:AC347)</f>
        <v>0</v>
      </c>
      <c r="AC82" s="198">
        <f t="shared" si="93"/>
        <v>0</v>
      </c>
      <c r="AD82" s="198">
        <f t="shared" si="93"/>
        <v>0</v>
      </c>
      <c r="AE82" s="198">
        <f t="shared" si="93"/>
        <v>0</v>
      </c>
      <c r="AF82" s="198">
        <f t="shared" si="93"/>
        <v>0</v>
      </c>
      <c r="AG82" s="198">
        <f t="shared" si="93"/>
        <v>0</v>
      </c>
      <c r="AH82" s="191">
        <f t="shared" si="81"/>
        <v>0</v>
      </c>
      <c r="AI82" s="192">
        <f t="shared" si="82"/>
        <v>0</v>
      </c>
    </row>
    <row r="83" spans="25:35" ht="26.25" customHeight="1" x14ac:dyDescent="0.25">
      <c r="Y83" s="195" t="s">
        <v>203</v>
      </c>
      <c r="Z83" s="196">
        <v>80318</v>
      </c>
      <c r="AA83" s="197" t="s">
        <v>123</v>
      </c>
      <c r="AB83" s="198">
        <f t="shared" ref="AB83:AG83" si="94">SUM(AC348:AC350)</f>
        <v>0</v>
      </c>
      <c r="AC83" s="198">
        <f t="shared" si="94"/>
        <v>0</v>
      </c>
      <c r="AD83" s="198">
        <f t="shared" si="94"/>
        <v>0</v>
      </c>
      <c r="AE83" s="198">
        <f t="shared" si="94"/>
        <v>0</v>
      </c>
      <c r="AF83" s="198">
        <f t="shared" si="94"/>
        <v>0</v>
      </c>
      <c r="AG83" s="198">
        <f t="shared" si="94"/>
        <v>0</v>
      </c>
      <c r="AH83" s="191">
        <f t="shared" si="81"/>
        <v>0</v>
      </c>
      <c r="AI83" s="192">
        <f t="shared" si="82"/>
        <v>0</v>
      </c>
    </row>
    <row r="84" spans="25:35" ht="26.25" customHeight="1" x14ac:dyDescent="0.25">
      <c r="Y84" s="195" t="s">
        <v>204</v>
      </c>
      <c r="Z84" s="196">
        <v>80317</v>
      </c>
      <c r="AA84" s="197" t="s">
        <v>126</v>
      </c>
      <c r="AB84" s="198">
        <f t="shared" ref="AB84:AG84" si="95">SUM(AC351:AC353)</f>
        <v>0</v>
      </c>
      <c r="AC84" s="198">
        <f t="shared" si="95"/>
        <v>0</v>
      </c>
      <c r="AD84" s="198">
        <f t="shared" si="95"/>
        <v>0</v>
      </c>
      <c r="AE84" s="198">
        <f t="shared" si="95"/>
        <v>0</v>
      </c>
      <c r="AF84" s="198">
        <f t="shared" si="95"/>
        <v>0</v>
      </c>
      <c r="AG84" s="198">
        <f t="shared" si="95"/>
        <v>0</v>
      </c>
      <c r="AH84" s="191">
        <f t="shared" si="81"/>
        <v>0</v>
      </c>
      <c r="AI84" s="192">
        <f t="shared" si="82"/>
        <v>0</v>
      </c>
    </row>
    <row r="85" spans="25:35" ht="26.25" customHeight="1" x14ac:dyDescent="0.25">
      <c r="Y85" s="195" t="s">
        <v>205</v>
      </c>
      <c r="Z85" s="196">
        <v>200304</v>
      </c>
      <c r="AA85" s="197" t="s">
        <v>123</v>
      </c>
      <c r="AB85" s="198">
        <f t="shared" ref="AB85:AG85" si="96">SUM(AC354:AC356)</f>
        <v>0</v>
      </c>
      <c r="AC85" s="198">
        <f t="shared" si="96"/>
        <v>0</v>
      </c>
      <c r="AD85" s="198">
        <f t="shared" si="96"/>
        <v>0</v>
      </c>
      <c r="AE85" s="198">
        <f t="shared" si="96"/>
        <v>0</v>
      </c>
      <c r="AF85" s="198">
        <f t="shared" si="96"/>
        <v>0</v>
      </c>
      <c r="AG85" s="198">
        <f t="shared" si="96"/>
        <v>0</v>
      </c>
      <c r="AH85" s="191">
        <f t="shared" si="81"/>
        <v>0</v>
      </c>
      <c r="AI85" s="192">
        <f t="shared" si="82"/>
        <v>0</v>
      </c>
    </row>
    <row r="86" spans="25:35" ht="26.25" customHeight="1" x14ac:dyDescent="0.25">
      <c r="Y86" s="195" t="s">
        <v>206</v>
      </c>
      <c r="Z86" s="196">
        <v>161002</v>
      </c>
      <c r="AA86" s="197" t="s">
        <v>123</v>
      </c>
      <c r="AB86" s="198">
        <f t="shared" ref="AB86:AG86" si="97">SUM(AC357:AC359)</f>
        <v>0</v>
      </c>
      <c r="AC86" s="198">
        <f t="shared" si="97"/>
        <v>0</v>
      </c>
      <c r="AD86" s="198">
        <f t="shared" si="97"/>
        <v>0</v>
      </c>
      <c r="AE86" s="198">
        <f t="shared" si="97"/>
        <v>0</v>
      </c>
      <c r="AF86" s="198">
        <f t="shared" si="97"/>
        <v>0</v>
      </c>
      <c r="AG86" s="198">
        <f t="shared" si="97"/>
        <v>0</v>
      </c>
      <c r="AH86" s="191">
        <f t="shared" si="81"/>
        <v>0</v>
      </c>
      <c r="AI86" s="192">
        <f t="shared" si="82"/>
        <v>0</v>
      </c>
    </row>
    <row r="87" spans="25:35" ht="26.25" customHeight="1" x14ac:dyDescent="0.25">
      <c r="Y87" s="195" t="s">
        <v>207</v>
      </c>
      <c r="Z87" s="196">
        <v>200301</v>
      </c>
      <c r="AA87" s="197" t="s">
        <v>123</v>
      </c>
      <c r="AB87" s="198">
        <f t="shared" ref="AB87:AG87" si="98">SUM(AC360:AC362)</f>
        <v>0</v>
      </c>
      <c r="AC87" s="198">
        <f t="shared" si="98"/>
        <v>0</v>
      </c>
      <c r="AD87" s="198">
        <f t="shared" si="98"/>
        <v>0</v>
      </c>
      <c r="AE87" s="198" t="e">
        <f t="shared" si="98"/>
        <v>#VALUE!</v>
      </c>
      <c r="AF87" s="198">
        <f t="shared" si="98"/>
        <v>0</v>
      </c>
      <c r="AG87" s="198" t="e">
        <f t="shared" si="98"/>
        <v>#VALUE!</v>
      </c>
      <c r="AH87" s="191" t="e">
        <f t="shared" si="81"/>
        <v>#VALUE!</v>
      </c>
      <c r="AI87" s="192" t="e">
        <f t="shared" si="82"/>
        <v>#VALUE!</v>
      </c>
    </row>
    <row r="88" spans="25:35" ht="26.25" customHeight="1" x14ac:dyDescent="0.25">
      <c r="Y88" s="195" t="s">
        <v>208</v>
      </c>
      <c r="Z88" s="196">
        <v>170503</v>
      </c>
      <c r="AA88" s="197" t="s">
        <v>126</v>
      </c>
      <c r="AB88" s="198">
        <f t="shared" ref="AB88:AG88" si="99">SUM(AC363:AC365)</f>
        <v>0</v>
      </c>
      <c r="AC88" s="198">
        <f t="shared" si="99"/>
        <v>0</v>
      </c>
      <c r="AD88" s="198">
        <f t="shared" si="99"/>
        <v>0</v>
      </c>
      <c r="AE88" s="198">
        <f t="shared" si="99"/>
        <v>0</v>
      </c>
      <c r="AF88" s="198">
        <f t="shared" si="99"/>
        <v>0</v>
      </c>
      <c r="AG88" s="198">
        <f t="shared" si="99"/>
        <v>0</v>
      </c>
      <c r="AH88" s="191">
        <f t="shared" si="81"/>
        <v>0</v>
      </c>
      <c r="AI88" s="192">
        <f t="shared" si="82"/>
        <v>0</v>
      </c>
    </row>
    <row r="89" spans="25:35" ht="26.25" customHeight="1" x14ac:dyDescent="0.25">
      <c r="Y89" s="195" t="s">
        <v>209</v>
      </c>
      <c r="Z89" s="196">
        <v>170504</v>
      </c>
      <c r="AA89" s="197" t="s">
        <v>141</v>
      </c>
      <c r="AB89" s="198">
        <f t="shared" ref="AB89:AG89" si="100">SUM(AC366:AC368)</f>
        <v>0</v>
      </c>
      <c r="AC89" s="198">
        <f t="shared" si="100"/>
        <v>0</v>
      </c>
      <c r="AD89" s="198">
        <f t="shared" si="100"/>
        <v>0</v>
      </c>
      <c r="AE89" s="198" t="e">
        <f t="shared" si="100"/>
        <v>#VALUE!</v>
      </c>
      <c r="AF89" s="198">
        <f t="shared" si="100"/>
        <v>0</v>
      </c>
      <c r="AG89" s="198" t="e">
        <f t="shared" si="100"/>
        <v>#VALUE!</v>
      </c>
      <c r="AH89" s="191" t="e">
        <f t="shared" si="81"/>
        <v>#VALUE!</v>
      </c>
      <c r="AI89" s="192" t="e">
        <f t="shared" si="82"/>
        <v>#VALUE!</v>
      </c>
    </row>
    <row r="90" spans="25:35" ht="26.25" customHeight="1" x14ac:dyDescent="0.25">
      <c r="Y90" s="195" t="s">
        <v>210</v>
      </c>
      <c r="Z90" s="196">
        <v>150202</v>
      </c>
      <c r="AA90" s="197" t="s">
        <v>126</v>
      </c>
      <c r="AB90" s="198">
        <f t="shared" ref="AB90:AG90" si="101">SUM(AC369:AC371)</f>
        <v>0</v>
      </c>
      <c r="AC90" s="198">
        <f t="shared" si="101"/>
        <v>0</v>
      </c>
      <c r="AD90" s="198">
        <f t="shared" si="101"/>
        <v>0</v>
      </c>
      <c r="AE90" s="198">
        <f t="shared" si="101"/>
        <v>0</v>
      </c>
      <c r="AF90" s="198">
        <f t="shared" si="101"/>
        <v>0</v>
      </c>
      <c r="AG90" s="198">
        <f t="shared" si="101"/>
        <v>0</v>
      </c>
      <c r="AH90" s="191">
        <f t="shared" si="81"/>
        <v>0</v>
      </c>
      <c r="AI90" s="192">
        <f t="shared" si="82"/>
        <v>0</v>
      </c>
    </row>
    <row r="91" spans="25:35" ht="26.25" customHeight="1" x14ac:dyDescent="0.25">
      <c r="Y91" s="195" t="s">
        <v>211</v>
      </c>
      <c r="Z91" s="196">
        <v>170103</v>
      </c>
      <c r="AA91" s="197" t="s">
        <v>141</v>
      </c>
      <c r="AB91" s="198">
        <f t="shared" ref="AB91:AG91" si="102">SUM(AC372:AC374)</f>
        <v>0</v>
      </c>
      <c r="AC91" s="198">
        <f t="shared" si="102"/>
        <v>0</v>
      </c>
      <c r="AD91" s="198">
        <f t="shared" si="102"/>
        <v>0</v>
      </c>
      <c r="AE91" s="198">
        <f t="shared" si="102"/>
        <v>0</v>
      </c>
      <c r="AF91" s="198">
        <f t="shared" si="102"/>
        <v>0</v>
      </c>
      <c r="AG91" s="198">
        <f t="shared" si="102"/>
        <v>0</v>
      </c>
      <c r="AH91" s="191">
        <f t="shared" si="81"/>
        <v>0</v>
      </c>
      <c r="AI91" s="192">
        <f t="shared" si="82"/>
        <v>0</v>
      </c>
    </row>
    <row r="92" spans="25:35" ht="26.25" customHeight="1" x14ac:dyDescent="0.25">
      <c r="Y92" s="195" t="s">
        <v>212</v>
      </c>
      <c r="Z92" s="196">
        <v>170508</v>
      </c>
      <c r="AA92" s="197" t="s">
        <v>141</v>
      </c>
      <c r="AB92" s="198">
        <f t="shared" ref="AB92:AG92" si="103">SUM(AC375:AC377)</f>
        <v>0</v>
      </c>
      <c r="AC92" s="198">
        <f t="shared" si="103"/>
        <v>0</v>
      </c>
      <c r="AD92" s="198">
        <f t="shared" si="103"/>
        <v>0</v>
      </c>
      <c r="AE92" s="198">
        <f t="shared" si="103"/>
        <v>0</v>
      </c>
      <c r="AF92" s="198">
        <f t="shared" si="103"/>
        <v>0</v>
      </c>
      <c r="AG92" s="198">
        <f t="shared" si="103"/>
        <v>0</v>
      </c>
      <c r="AH92" s="191">
        <f t="shared" si="81"/>
        <v>0</v>
      </c>
      <c r="AI92" s="192">
        <f t="shared" si="82"/>
        <v>0</v>
      </c>
    </row>
    <row r="93" spans="25:35" ht="26.25" customHeight="1" x14ac:dyDescent="0.25">
      <c r="Y93" s="195" t="s">
        <v>213</v>
      </c>
      <c r="Z93" s="196">
        <v>170507</v>
      </c>
      <c r="AA93" s="197" t="s">
        <v>126</v>
      </c>
      <c r="AB93" s="198">
        <f t="shared" ref="AB93:AG93" si="104">SUM(AC378:AC380)</f>
        <v>0</v>
      </c>
      <c r="AC93" s="198">
        <f t="shared" si="104"/>
        <v>0</v>
      </c>
      <c r="AD93" s="198">
        <f t="shared" si="104"/>
        <v>0</v>
      </c>
      <c r="AE93" s="198">
        <f t="shared" si="104"/>
        <v>0</v>
      </c>
      <c r="AF93" s="198">
        <f t="shared" si="104"/>
        <v>0</v>
      </c>
      <c r="AG93" s="198">
        <f t="shared" si="104"/>
        <v>0</v>
      </c>
      <c r="AH93" s="191">
        <f t="shared" si="81"/>
        <v>0</v>
      </c>
      <c r="AI93" s="192">
        <f t="shared" si="82"/>
        <v>0</v>
      </c>
    </row>
    <row r="94" spans="25:35" ht="26.25" customHeight="1" x14ac:dyDescent="0.25">
      <c r="Y94" s="195" t="s">
        <v>214</v>
      </c>
      <c r="Z94" s="205">
        <v>160103</v>
      </c>
      <c r="AA94" s="197" t="s">
        <v>123</v>
      </c>
      <c r="AB94" s="198">
        <f t="shared" ref="AB94:AG94" si="105">SUM(AC381:AC383)</f>
        <v>0</v>
      </c>
      <c r="AC94" s="198">
        <f t="shared" si="105"/>
        <v>0</v>
      </c>
      <c r="AD94" s="198">
        <f t="shared" si="105"/>
        <v>0</v>
      </c>
      <c r="AE94" s="198">
        <f t="shared" si="105"/>
        <v>0</v>
      </c>
      <c r="AF94" s="198">
        <f t="shared" si="105"/>
        <v>0</v>
      </c>
      <c r="AG94" s="198">
        <f t="shared" si="105"/>
        <v>0</v>
      </c>
      <c r="AH94" s="191">
        <f t="shared" si="81"/>
        <v>0</v>
      </c>
      <c r="AI94" s="192">
        <f t="shared" si="82"/>
        <v>0</v>
      </c>
    </row>
    <row r="95" spans="25:35" ht="26.25" customHeight="1" x14ac:dyDescent="0.25">
      <c r="Y95" s="195" t="s">
        <v>215</v>
      </c>
      <c r="Z95" s="196">
        <v>200201</v>
      </c>
      <c r="AA95" s="197" t="s">
        <v>123</v>
      </c>
      <c r="AB95" s="198">
        <f t="shared" ref="AB95:AG95" si="106">SUM(AC384:AC386)</f>
        <v>0</v>
      </c>
      <c r="AC95" s="198">
        <f t="shared" si="106"/>
        <v>0</v>
      </c>
      <c r="AD95" s="198">
        <f t="shared" si="106"/>
        <v>0</v>
      </c>
      <c r="AE95" s="198">
        <f t="shared" si="106"/>
        <v>0</v>
      </c>
      <c r="AF95" s="198">
        <f t="shared" si="106"/>
        <v>0</v>
      </c>
      <c r="AG95" s="198">
        <f t="shared" si="106"/>
        <v>0</v>
      </c>
      <c r="AH95" s="191">
        <f t="shared" si="81"/>
        <v>0</v>
      </c>
      <c r="AI95" s="192">
        <f t="shared" si="82"/>
        <v>0</v>
      </c>
    </row>
    <row r="96" spans="25:35" ht="26.25" customHeight="1" x14ac:dyDescent="0.25">
      <c r="Y96" s="206" t="s">
        <v>73</v>
      </c>
      <c r="Z96" s="207">
        <v>170201</v>
      </c>
      <c r="AA96" s="208" t="s">
        <v>123</v>
      </c>
      <c r="AB96" s="198">
        <f t="shared" ref="AB96:AG96" si="107">SUM(AC387:AC389)</f>
        <v>0</v>
      </c>
      <c r="AC96" s="198">
        <f t="shared" si="107"/>
        <v>0</v>
      </c>
      <c r="AD96" s="198">
        <f t="shared" si="107"/>
        <v>0</v>
      </c>
      <c r="AE96" s="198" t="e">
        <f t="shared" si="107"/>
        <v>#VALUE!</v>
      </c>
      <c r="AF96" s="198">
        <f t="shared" si="107"/>
        <v>0</v>
      </c>
      <c r="AG96" s="198" t="e">
        <f t="shared" si="107"/>
        <v>#VALUE!</v>
      </c>
      <c r="AH96" s="191" t="e">
        <f t="shared" si="81"/>
        <v>#VALUE!</v>
      </c>
      <c r="AI96" s="192" t="e">
        <f t="shared" si="82"/>
        <v>#VALUE!</v>
      </c>
    </row>
    <row r="97" spans="25:35" ht="26.25" customHeight="1" x14ac:dyDescent="0.25">
      <c r="Y97" s="209" t="s">
        <v>216</v>
      </c>
      <c r="Z97" s="196">
        <v>190801</v>
      </c>
      <c r="AA97" s="210" t="s">
        <v>123</v>
      </c>
      <c r="AB97" s="198">
        <f t="shared" ref="AB97:AG97" si="108">SUM(AC390:AC392)</f>
        <v>0</v>
      </c>
      <c r="AC97" s="198">
        <f t="shared" si="108"/>
        <v>0</v>
      </c>
      <c r="AD97" s="198">
        <f t="shared" si="108"/>
        <v>0</v>
      </c>
      <c r="AE97" s="198">
        <f t="shared" si="108"/>
        <v>0</v>
      </c>
      <c r="AF97" s="198">
        <f t="shared" si="108"/>
        <v>0</v>
      </c>
      <c r="AG97" s="198">
        <f t="shared" si="108"/>
        <v>0</v>
      </c>
      <c r="AH97" s="191">
        <f t="shared" si="81"/>
        <v>0</v>
      </c>
      <c r="AI97" s="192">
        <f t="shared" si="82"/>
        <v>0</v>
      </c>
    </row>
    <row r="98" spans="25:35" ht="26.25" customHeight="1" x14ac:dyDescent="0.25">
      <c r="Y98" s="209" t="s">
        <v>217</v>
      </c>
      <c r="Z98" s="196">
        <v>190802</v>
      </c>
      <c r="AA98" s="210" t="s">
        <v>123</v>
      </c>
      <c r="AB98" s="198">
        <f t="shared" ref="AB98:AG98" si="109">SUM(AC393:AC395)</f>
        <v>0</v>
      </c>
      <c r="AC98" s="198">
        <f t="shared" si="109"/>
        <v>0</v>
      </c>
      <c r="AD98" s="198">
        <f t="shared" si="109"/>
        <v>0</v>
      </c>
      <c r="AE98" s="198">
        <f t="shared" si="109"/>
        <v>0</v>
      </c>
      <c r="AF98" s="198">
        <f t="shared" si="109"/>
        <v>0</v>
      </c>
      <c r="AG98" s="198">
        <f t="shared" si="109"/>
        <v>0</v>
      </c>
      <c r="AH98" s="191">
        <f t="shared" si="81"/>
        <v>0</v>
      </c>
      <c r="AI98" s="192">
        <f t="shared" si="82"/>
        <v>0</v>
      </c>
    </row>
    <row r="99" spans="25:35" ht="26.25" customHeight="1" x14ac:dyDescent="0.25">
      <c r="Y99" s="209" t="s">
        <v>218</v>
      </c>
      <c r="Z99" s="196">
        <v>190805</v>
      </c>
      <c r="AA99" s="210" t="s">
        <v>123</v>
      </c>
      <c r="AB99" s="198">
        <f t="shared" ref="AB99:AG99" si="110">SUM(AC396:AC398)</f>
        <v>0</v>
      </c>
      <c r="AC99" s="198">
        <f t="shared" si="110"/>
        <v>0</v>
      </c>
      <c r="AD99" s="198">
        <f t="shared" si="110"/>
        <v>0</v>
      </c>
      <c r="AE99" s="198">
        <f t="shared" si="110"/>
        <v>0</v>
      </c>
      <c r="AF99" s="198">
        <f t="shared" si="110"/>
        <v>0</v>
      </c>
      <c r="AG99" s="198">
        <f t="shared" si="110"/>
        <v>0</v>
      </c>
      <c r="AH99" s="191">
        <f t="shared" si="81"/>
        <v>0</v>
      </c>
      <c r="AI99" s="192">
        <f t="shared" si="82"/>
        <v>0</v>
      </c>
    </row>
    <row r="100" spans="25:35" ht="26.25" customHeight="1" x14ac:dyDescent="0.25">
      <c r="Y100" s="209" t="s">
        <v>219</v>
      </c>
      <c r="Z100" s="196">
        <v>190904</v>
      </c>
      <c r="AA100" s="210" t="s">
        <v>123</v>
      </c>
      <c r="AB100" s="198">
        <f t="shared" ref="AB100:AG100" si="111">SUM(AC399:AC401)</f>
        <v>0</v>
      </c>
      <c r="AC100" s="198">
        <f t="shared" si="111"/>
        <v>0</v>
      </c>
      <c r="AD100" s="198">
        <f t="shared" si="111"/>
        <v>0</v>
      </c>
      <c r="AE100" s="198">
        <f t="shared" si="111"/>
        <v>0</v>
      </c>
      <c r="AF100" s="198">
        <f t="shared" si="111"/>
        <v>0</v>
      </c>
      <c r="AG100" s="198">
        <f t="shared" si="111"/>
        <v>0</v>
      </c>
      <c r="AH100" s="191">
        <f t="shared" si="81"/>
        <v>0</v>
      </c>
      <c r="AI100" s="192">
        <f t="shared" si="82"/>
        <v>0</v>
      </c>
    </row>
    <row r="101" spans="25:35" ht="26.25" customHeight="1" x14ac:dyDescent="0.25">
      <c r="Y101" s="209" t="s">
        <v>220</v>
      </c>
      <c r="Z101" s="196">
        <v>190901</v>
      </c>
      <c r="AA101" s="210" t="s">
        <v>123</v>
      </c>
      <c r="AB101" s="198">
        <f t="shared" ref="AB101:AG101" si="112">SUM(AC402:AC404)</f>
        <v>0</v>
      </c>
      <c r="AC101" s="198">
        <f t="shared" si="112"/>
        <v>0</v>
      </c>
      <c r="AD101" s="198">
        <f t="shared" si="112"/>
        <v>0</v>
      </c>
      <c r="AE101" s="198">
        <f t="shared" si="112"/>
        <v>0</v>
      </c>
      <c r="AF101" s="198">
        <f t="shared" si="112"/>
        <v>0</v>
      </c>
      <c r="AG101" s="198">
        <f t="shared" si="112"/>
        <v>0</v>
      </c>
      <c r="AH101" s="191">
        <f t="shared" si="81"/>
        <v>0</v>
      </c>
      <c r="AI101" s="192">
        <f t="shared" si="82"/>
        <v>0</v>
      </c>
    </row>
    <row r="102" spans="25:35" ht="26.25" customHeight="1" x14ac:dyDescent="0.25">
      <c r="Y102" s="211" t="s">
        <v>221</v>
      </c>
      <c r="Z102" s="207">
        <v>200203</v>
      </c>
      <c r="AA102" s="212" t="s">
        <v>123</v>
      </c>
      <c r="AB102" s="198">
        <f t="shared" ref="AB102:AG102" si="113">SUM(AC405:AC407)</f>
        <v>0</v>
      </c>
      <c r="AC102" s="198">
        <f t="shared" si="113"/>
        <v>0</v>
      </c>
      <c r="AD102" s="198">
        <f t="shared" si="113"/>
        <v>0</v>
      </c>
      <c r="AE102" s="198">
        <f t="shared" si="113"/>
        <v>0</v>
      </c>
      <c r="AF102" s="198">
        <f t="shared" si="113"/>
        <v>0</v>
      </c>
      <c r="AG102" s="198">
        <f t="shared" si="113"/>
        <v>0</v>
      </c>
      <c r="AH102" s="191">
        <f t="shared" si="81"/>
        <v>0</v>
      </c>
      <c r="AI102" s="192">
        <f t="shared" si="82"/>
        <v>0</v>
      </c>
    </row>
    <row r="103" spans="25:35" ht="26.25" customHeight="1" x14ac:dyDescent="0.25">
      <c r="Y103" s="206" t="s">
        <v>222</v>
      </c>
      <c r="Z103" s="207">
        <v>170504</v>
      </c>
      <c r="AA103" s="212" t="s">
        <v>123</v>
      </c>
      <c r="AB103" s="198">
        <f t="shared" ref="AB103:AG103" si="114">SUM(AC408:AC410)</f>
        <v>0</v>
      </c>
      <c r="AC103" s="198">
        <f t="shared" si="114"/>
        <v>0</v>
      </c>
      <c r="AD103" s="198">
        <f t="shared" si="114"/>
        <v>0</v>
      </c>
      <c r="AE103" s="198">
        <f t="shared" si="114"/>
        <v>0</v>
      </c>
      <c r="AF103" s="198">
        <f t="shared" si="114"/>
        <v>0</v>
      </c>
      <c r="AG103" s="198">
        <f t="shared" si="114"/>
        <v>0</v>
      </c>
      <c r="AH103" s="191">
        <f t="shared" si="81"/>
        <v>0</v>
      </c>
      <c r="AI103" s="192">
        <f t="shared" si="82"/>
        <v>0</v>
      </c>
    </row>
    <row r="104" spans="25:35" ht="26.25" customHeight="1" x14ac:dyDescent="0.25">
      <c r="Y104" s="213" t="s">
        <v>223</v>
      </c>
      <c r="Z104" s="214">
        <v>200306</v>
      </c>
      <c r="AA104" s="215" t="s">
        <v>123</v>
      </c>
      <c r="AB104" s="198">
        <f t="shared" ref="AB104:AG104" si="115">SUM(AC411:AC413)</f>
        <v>0</v>
      </c>
      <c r="AC104" s="198">
        <f t="shared" si="115"/>
        <v>0</v>
      </c>
      <c r="AD104" s="198">
        <f t="shared" si="115"/>
        <v>0</v>
      </c>
      <c r="AE104" s="198">
        <f t="shared" si="115"/>
        <v>0</v>
      </c>
      <c r="AF104" s="198">
        <f t="shared" si="115"/>
        <v>0</v>
      </c>
      <c r="AG104" s="198">
        <f t="shared" si="115"/>
        <v>0</v>
      </c>
      <c r="AH104" s="191">
        <f t="shared" si="81"/>
        <v>0</v>
      </c>
      <c r="AI104" s="192">
        <f t="shared" si="82"/>
        <v>0</v>
      </c>
    </row>
    <row r="105" spans="25:35" ht="26.25" customHeight="1" x14ac:dyDescent="0.25">
      <c r="Y105" s="216" t="s">
        <v>224</v>
      </c>
      <c r="Z105" s="217">
        <v>60102</v>
      </c>
      <c r="AA105" s="51" t="s">
        <v>126</v>
      </c>
      <c r="AB105" s="198">
        <f t="shared" ref="AB105:AG105" si="116">SUM(AC414:AC416)</f>
        <v>0</v>
      </c>
      <c r="AC105" s="198">
        <f t="shared" si="116"/>
        <v>0</v>
      </c>
      <c r="AD105" s="198">
        <f t="shared" si="116"/>
        <v>0</v>
      </c>
      <c r="AE105" s="198">
        <f t="shared" si="116"/>
        <v>0</v>
      </c>
      <c r="AF105" s="198">
        <f t="shared" si="116"/>
        <v>0</v>
      </c>
      <c r="AG105" s="198">
        <f t="shared" si="116"/>
        <v>0</v>
      </c>
      <c r="AH105" s="191">
        <f t="shared" si="81"/>
        <v>0</v>
      </c>
      <c r="AI105" s="192">
        <f t="shared" si="82"/>
        <v>0</v>
      </c>
    </row>
    <row r="106" spans="25:35" ht="26.25" customHeight="1" x14ac:dyDescent="0.25">
      <c r="Y106" s="216" t="s">
        <v>225</v>
      </c>
      <c r="Z106" s="217">
        <v>60106</v>
      </c>
      <c r="AA106" s="51" t="s">
        <v>126</v>
      </c>
      <c r="AB106" s="198">
        <f t="shared" ref="AB106:AG106" si="117">SUM(AC417:AC419)</f>
        <v>0</v>
      </c>
      <c r="AC106" s="198">
        <f t="shared" si="117"/>
        <v>0</v>
      </c>
      <c r="AD106" s="198">
        <f t="shared" si="117"/>
        <v>0</v>
      </c>
      <c r="AE106" s="198">
        <f t="shared" si="117"/>
        <v>0</v>
      </c>
      <c r="AF106" s="198">
        <f t="shared" si="117"/>
        <v>0</v>
      </c>
      <c r="AG106" s="198">
        <f t="shared" si="117"/>
        <v>0</v>
      </c>
      <c r="AH106" s="191">
        <f t="shared" si="81"/>
        <v>0</v>
      </c>
      <c r="AI106" s="192">
        <f t="shared" si="82"/>
        <v>0</v>
      </c>
    </row>
    <row r="107" spans="25:35" ht="26.25" customHeight="1" x14ac:dyDescent="0.25">
      <c r="Y107" s="216" t="s">
        <v>226</v>
      </c>
      <c r="Z107" s="217">
        <v>60101</v>
      </c>
      <c r="AA107" s="51" t="s">
        <v>126</v>
      </c>
      <c r="AB107" s="198">
        <f t="shared" ref="AB107:AG107" si="118">SUM(AC420:AC422)</f>
        <v>0</v>
      </c>
      <c r="AC107" s="198">
        <f t="shared" si="118"/>
        <v>0</v>
      </c>
      <c r="AD107" s="198">
        <f t="shared" si="118"/>
        <v>0</v>
      </c>
      <c r="AE107" s="198">
        <f t="shared" si="118"/>
        <v>0</v>
      </c>
      <c r="AF107" s="198">
        <f t="shared" si="118"/>
        <v>0</v>
      </c>
      <c r="AG107" s="198">
        <f t="shared" si="118"/>
        <v>0</v>
      </c>
      <c r="AH107" s="191">
        <f t="shared" si="81"/>
        <v>0</v>
      </c>
      <c r="AI107" s="192">
        <f t="shared" si="82"/>
        <v>0</v>
      </c>
    </row>
    <row r="108" spans="25:35" ht="26.25" customHeight="1" x14ac:dyDescent="0.25">
      <c r="Y108" s="216" t="s">
        <v>227</v>
      </c>
      <c r="Z108" s="217">
        <v>60201</v>
      </c>
      <c r="AA108" s="51" t="s">
        <v>126</v>
      </c>
      <c r="AB108" s="198">
        <f t="shared" ref="AB108:AG108" si="119">SUM(AC423:AC425)</f>
        <v>0</v>
      </c>
      <c r="AC108" s="198">
        <f t="shared" si="119"/>
        <v>0</v>
      </c>
      <c r="AD108" s="198">
        <f t="shared" si="119"/>
        <v>0</v>
      </c>
      <c r="AE108" s="198">
        <f t="shared" si="119"/>
        <v>0</v>
      </c>
      <c r="AF108" s="198">
        <f t="shared" si="119"/>
        <v>0</v>
      </c>
      <c r="AG108" s="198">
        <f t="shared" si="119"/>
        <v>0</v>
      </c>
      <c r="AH108" s="191">
        <f t="shared" si="81"/>
        <v>0</v>
      </c>
      <c r="AI108" s="192">
        <f t="shared" si="82"/>
        <v>0</v>
      </c>
    </row>
    <row r="109" spans="25:35" ht="26.25" customHeight="1" x14ac:dyDescent="0.25">
      <c r="Y109" s="195" t="s">
        <v>228</v>
      </c>
      <c r="Z109" s="196">
        <v>60205</v>
      </c>
      <c r="AA109" s="218" t="s">
        <v>126</v>
      </c>
      <c r="AB109" s="198">
        <f t="shared" ref="AB109:AG109" si="120">SUM(AC426:AC428)</f>
        <v>0</v>
      </c>
      <c r="AC109" s="198">
        <f t="shared" si="120"/>
        <v>0</v>
      </c>
      <c r="AD109" s="198">
        <f t="shared" si="120"/>
        <v>0</v>
      </c>
      <c r="AE109" s="198">
        <f t="shared" si="120"/>
        <v>0</v>
      </c>
      <c r="AF109" s="198">
        <f t="shared" si="120"/>
        <v>0</v>
      </c>
      <c r="AG109" s="198">
        <f t="shared" si="120"/>
        <v>0</v>
      </c>
      <c r="AH109" s="191">
        <f t="shared" si="81"/>
        <v>0</v>
      </c>
      <c r="AI109" s="192">
        <f t="shared" si="82"/>
        <v>0</v>
      </c>
    </row>
    <row r="110" spans="25:35" ht="26.25" customHeight="1" thickBot="1" x14ac:dyDescent="0.3">
      <c r="Y110" s="219" t="s">
        <v>229</v>
      </c>
      <c r="Z110" s="220">
        <v>200111</v>
      </c>
      <c r="AA110" s="221" t="s">
        <v>123</v>
      </c>
      <c r="AB110" s="198">
        <f t="shared" ref="AB110:AG110" si="121">SUM(AC429:AC431)</f>
        <v>0</v>
      </c>
      <c r="AC110" s="198">
        <f t="shared" si="121"/>
        <v>0</v>
      </c>
      <c r="AD110" s="198">
        <f t="shared" si="121"/>
        <v>0</v>
      </c>
      <c r="AE110" s="198">
        <f t="shared" si="121"/>
        <v>0</v>
      </c>
      <c r="AF110" s="198">
        <f t="shared" si="121"/>
        <v>0</v>
      </c>
      <c r="AG110" s="198">
        <f t="shared" si="121"/>
        <v>0</v>
      </c>
      <c r="AH110" s="191">
        <f t="shared" si="81"/>
        <v>0</v>
      </c>
      <c r="AI110" s="192">
        <f t="shared" si="82"/>
        <v>0</v>
      </c>
    </row>
    <row r="111" spans="25:35" ht="27" customHeight="1" x14ac:dyDescent="0.25">
      <c r="Y111" s="222" t="s">
        <v>120</v>
      </c>
      <c r="Z111" s="223">
        <v>150106</v>
      </c>
      <c r="AA111" s="224" t="s">
        <v>123</v>
      </c>
      <c r="AB111" s="198" t="e">
        <f>SUM(AC432:AC434)</f>
        <v>#VALUE!</v>
      </c>
      <c r="AC111" s="198" t="e">
        <f t="shared" ref="AC111:AG111" si="122">SUM(AD432:AD434)</f>
        <v>#VALUE!</v>
      </c>
      <c r="AD111" s="198">
        <f t="shared" si="122"/>
        <v>0</v>
      </c>
      <c r="AE111" s="198" t="e">
        <f t="shared" si="122"/>
        <v>#VALUE!</v>
      </c>
      <c r="AF111" s="198">
        <f t="shared" si="122"/>
        <v>0</v>
      </c>
      <c r="AG111" s="198" t="e">
        <f t="shared" si="122"/>
        <v>#VALUE!</v>
      </c>
      <c r="AH111" s="191" t="e">
        <f t="shared" si="81"/>
        <v>#VALUE!</v>
      </c>
      <c r="AI111" s="192" t="e">
        <f t="shared" si="82"/>
        <v>#VALUE!</v>
      </c>
    </row>
    <row r="114" spans="25:36" x14ac:dyDescent="0.25">
      <c r="AE114" s="48" t="s">
        <v>121</v>
      </c>
    </row>
    <row r="117" spans="25:36" x14ac:dyDescent="0.25">
      <c r="AC117" s="48" t="s">
        <v>230</v>
      </c>
      <c r="AD117" s="48" t="s">
        <v>231</v>
      </c>
      <c r="AE117" s="112" t="s">
        <v>232</v>
      </c>
      <c r="AF117" s="48" t="s">
        <v>231</v>
      </c>
      <c r="AG117" s="48" t="s">
        <v>230</v>
      </c>
      <c r="AH117" s="48" t="s">
        <v>231</v>
      </c>
      <c r="AI117" s="48" t="s">
        <v>230</v>
      </c>
      <c r="AJ117" s="48" t="s">
        <v>231</v>
      </c>
    </row>
    <row r="118" spans="25:36" ht="13.8" thickBot="1" x14ac:dyDescent="0.3"/>
    <row r="119" spans="25:36" ht="52.5" customHeight="1" thickBot="1" x14ac:dyDescent="0.3">
      <c r="Y119" s="225" t="s">
        <v>104</v>
      </c>
      <c r="Z119" s="226" t="s">
        <v>105</v>
      </c>
      <c r="AA119" s="226" t="s">
        <v>106</v>
      </c>
      <c r="AB119" s="225" t="s">
        <v>115</v>
      </c>
      <c r="AC119" s="227" t="s">
        <v>107</v>
      </c>
      <c r="AD119" s="228" t="s">
        <v>108</v>
      </c>
      <c r="AE119" s="229" t="s">
        <v>109</v>
      </c>
      <c r="AF119" s="228" t="s">
        <v>110</v>
      </c>
      <c r="AG119" s="229" t="s">
        <v>111</v>
      </c>
      <c r="AH119" s="228" t="s">
        <v>112</v>
      </c>
      <c r="AI119" s="226" t="s">
        <v>233</v>
      </c>
      <c r="AJ119" s="226" t="s">
        <v>234</v>
      </c>
    </row>
    <row r="120" spans="25:36" x14ac:dyDescent="0.25">
      <c r="Y120" s="850" t="s">
        <v>122</v>
      </c>
      <c r="Z120" s="853">
        <v>80410</v>
      </c>
      <c r="AA120" s="230" t="s">
        <v>123</v>
      </c>
      <c r="AB120" s="231" t="s">
        <v>235</v>
      </c>
      <c r="AC120" s="232">
        <f t="array" ref="AC120">SUM(IF((E7:E30=80410)*(D7:D30="Demolition")*(G7:G30="Re Use On Site"),H7:H30,0))</f>
        <v>0</v>
      </c>
      <c r="AD120" s="232">
        <f t="array" ref="AD120">SUM(IF((E7:E30=80410)*(D7:D30="Demolition"),V7:V30,0))</f>
        <v>0</v>
      </c>
      <c r="AE120" s="232">
        <f t="array" ref="AE120">SUM(IF((E7:E30=80410)*(D7:D30="Demolition")*(G7:G30="Recycled On Site"),H7:H30,0))</f>
        <v>0</v>
      </c>
      <c r="AF120" s="232">
        <f t="array" ref="AF120">SUM(IF((E7:E30=80410)*(D7:D30="Demolition")*(G7:G30="Recycled Off Site - Transfer Station, MRF, EfW"),J7:J30,0))</f>
        <v>0</v>
      </c>
      <c r="AG120" s="232">
        <f t="array" ref="AG120">SUM(IF((E7:E30=80410)*(D7:D30="Demolition"),R7:R30,0))</f>
        <v>0</v>
      </c>
      <c r="AH120" s="232">
        <f t="array" ref="AH120">SUM(IF((E7:E30=80410)*(D7:D30="Demolition"),S7:S30,0))</f>
        <v>0</v>
      </c>
      <c r="AI120" s="192">
        <f t="shared" ref="AI120:AI183" si="123">AC120+AD120+AE120+AF120+AK120+AM120+AH120</f>
        <v>0</v>
      </c>
      <c r="AJ120" s="192">
        <f t="shared" ref="AJ120:AJ183" si="124">AD120+AF120+AK120+AM120+AH120</f>
        <v>0</v>
      </c>
    </row>
    <row r="121" spans="25:36" x14ac:dyDescent="0.25">
      <c r="Y121" s="871"/>
      <c r="Z121" s="854"/>
      <c r="AA121" s="218" t="s">
        <v>123</v>
      </c>
      <c r="AB121" s="234" t="s">
        <v>236</v>
      </c>
      <c r="AC121" s="191">
        <f t="array" ref="AC121">SUM(IF((E7:E30=80410)*(D7:D30="Excavation")*(G7:G30="Re Use On Site"),H7:H30,0))</f>
        <v>0</v>
      </c>
      <c r="AD121" s="191">
        <f t="array" ref="AD121">SUM(IF((E7:E30=80410)*(D7:D30="Excavation"),V7:V30,0))</f>
        <v>0</v>
      </c>
      <c r="AE121" s="191">
        <f t="array" ref="AE121">SUM(IF((E7:E30=80410)*(D7:D30="Excavation")*(G7:G30="Recycled On Site"),H7:H30,0))</f>
        <v>0</v>
      </c>
      <c r="AF121" s="191">
        <f t="array" ref="AF121">SUM(IF((E7:E30=80410)*(D7:D30="Excavation")*(G7:G30="Recycled Off Site - Transfer Station, MRF, EfW"),J7:J30,0))</f>
        <v>0</v>
      </c>
      <c r="AG121" s="191">
        <f t="array" ref="AG121">SUM(IF((E7:E30=80410)*(D7:D30="Excavation"),R7:R30,0))</f>
        <v>0</v>
      </c>
      <c r="AH121" s="191">
        <f t="array" ref="AH121">SUM(IF((E7:E30=80410)*(D7:D30="Excavation"),S7:S30,0))</f>
        <v>0</v>
      </c>
      <c r="AI121" s="192">
        <f t="shared" si="123"/>
        <v>0</v>
      </c>
      <c r="AJ121" s="192">
        <f t="shared" si="124"/>
        <v>0</v>
      </c>
    </row>
    <row r="122" spans="25:36" ht="13.5" customHeight="1" thickBot="1" x14ac:dyDescent="0.3">
      <c r="Y122" s="874"/>
      <c r="Z122" s="870"/>
      <c r="AA122" s="233" t="s">
        <v>123</v>
      </c>
      <c r="AB122" s="234" t="s">
        <v>237</v>
      </c>
      <c r="AC122" s="191">
        <f t="array" ref="AC122">SUM(IF((E7:E30=80410)*(D7:D30="Construction")*(G7:G30="Re Use On Site"),H7:H30,0))</f>
        <v>0</v>
      </c>
      <c r="AD122" s="191">
        <f t="array" ref="AD122">SUM(IF((E7:E30=80410)*(D7:D30="Construction"),V7:V30,0))</f>
        <v>0</v>
      </c>
      <c r="AE122" s="191">
        <f t="array" ref="AE122">SUM(IF((E7:E30=80410)*(D7:D30="Construction")*(G7:G30="Recycled On Site"),H7:H30,0))</f>
        <v>0</v>
      </c>
      <c r="AF122" s="191">
        <f t="array" ref="AF122">SUM(IF((E7:E30=80410)*(D7:D30="Construction")*(G7:G30="Recycled Off Site - Transfer Station, MRF, EfW"),J7:J30,0))</f>
        <v>0</v>
      </c>
      <c r="AG122" s="191">
        <f t="array" ref="AG122">SUM(IF((E7:E30=80410)*(D7:D30="Construction"),R7:R30,0))</f>
        <v>0</v>
      </c>
      <c r="AH122" s="191">
        <f t="array" ref="AH122">SUM(IF((E7:E30=80410)*(D7:D30="Construction"),S7:S30,0))</f>
        <v>0</v>
      </c>
      <c r="AI122" s="192">
        <f t="shared" si="123"/>
        <v>0</v>
      </c>
      <c r="AJ122" s="192">
        <f t="shared" si="124"/>
        <v>0</v>
      </c>
    </row>
    <row r="123" spans="25:36" x14ac:dyDescent="0.25">
      <c r="Y123" s="865" t="s">
        <v>125</v>
      </c>
      <c r="Z123" s="867">
        <v>80409</v>
      </c>
      <c r="AA123" s="235" t="s">
        <v>126</v>
      </c>
      <c r="AB123" s="231" t="s">
        <v>235</v>
      </c>
      <c r="AC123" s="232">
        <f t="array" ref="AC123">SUM(IF((E7:E30=80409)*(D7:D30="Demolition")*(G7:G30="Re Use On Site"),H7:H30,0))</f>
        <v>0</v>
      </c>
      <c r="AD123" s="232">
        <f t="array" ref="AD123">SUM(IF((E7:E30=80409)*(D7:D30="Demolition"),V7:V30,0))</f>
        <v>0</v>
      </c>
      <c r="AE123" s="232">
        <f t="array" ref="AE123">SUM(IF((E7:E30=80409)*(D7:D30="Demolition")*(G7:G30="Recycled On Site"),H7:H30,0))</f>
        <v>0</v>
      </c>
      <c r="AF123" s="232">
        <f t="array" ref="AF123">SUM(IF((E7:E30=80409)*(D7:D30="Demolition")*(G7:G30="Recycled Off Site - Transfer Station, MRF, EfW"),J7:J30,0))</f>
        <v>0</v>
      </c>
      <c r="AG123" s="232">
        <f t="array" ref="AG123">SUM(IF((E7:E30=80409)*(D7:D30="Demolition"),R7:R30,0))</f>
        <v>0</v>
      </c>
      <c r="AH123" s="232">
        <f t="array" ref="AH123">SUM(IF((E7:E30=80409)*(D7:D30="Demolition"),S7:S30,0))</f>
        <v>0</v>
      </c>
      <c r="AI123" s="192">
        <f t="shared" si="123"/>
        <v>0</v>
      </c>
      <c r="AJ123" s="192">
        <f t="shared" si="124"/>
        <v>0</v>
      </c>
    </row>
    <row r="124" spans="25:36" x14ac:dyDescent="0.25">
      <c r="Y124" s="871"/>
      <c r="Z124" s="868"/>
      <c r="AA124" s="235" t="s">
        <v>126</v>
      </c>
      <c r="AB124" s="234" t="s">
        <v>236</v>
      </c>
      <c r="AC124" s="191">
        <f t="array" ref="AC124">SUM(IF((E7:E30=80409)*(D7:D30="Excavation")*(G7:G30="Re Use On Site"),H7:H30,0))</f>
        <v>0</v>
      </c>
      <c r="AD124" s="191">
        <f t="array" ref="AD124">SUM(IF((E7:E30=80409)*(D7:D30="Excavation"),V7:V30,0))</f>
        <v>0</v>
      </c>
      <c r="AE124" s="191">
        <f t="array" ref="AE124">SUM(IF((E7:E30=80409)*(D7:D30="Excavation")*(G7:G30="Recycled On Site"),H7:H30,0))</f>
        <v>0</v>
      </c>
      <c r="AF124" s="191">
        <f t="array" ref="AF124">SUM(IF((E7:E30=80409)*(D7:D30="Excavation")*(G7:G30="Recycled Off Site - Transfer Station, MRF, EfW"),J7:J30,0))</f>
        <v>0</v>
      </c>
      <c r="AG124" s="191">
        <f t="array" ref="AG124">SUM(IF((E7:E30=80409)*(D7:D30="Excavation"),R7:R30,0))</f>
        <v>0</v>
      </c>
      <c r="AH124" s="191">
        <f t="array" ref="AH124">SUM(IF((E7:E30=80409)*(D7:D30="Excavation"),S7:S30,0))</f>
        <v>0</v>
      </c>
      <c r="AI124" s="192">
        <f t="shared" si="123"/>
        <v>0</v>
      </c>
      <c r="AJ124" s="192">
        <f t="shared" si="124"/>
        <v>0</v>
      </c>
    </row>
    <row r="125" spans="25:36" ht="13.8" thickBot="1" x14ac:dyDescent="0.3">
      <c r="Y125" s="874"/>
      <c r="Z125" s="869"/>
      <c r="AA125" s="235" t="s">
        <v>126</v>
      </c>
      <c r="AB125" s="234" t="s">
        <v>237</v>
      </c>
      <c r="AC125" s="191">
        <f t="array" ref="AC125">SUM(IF((E7:E30=80409)*(D7:D30="Construction")*(G7:G30="Re Use On Site"),H7:H30,0))</f>
        <v>0</v>
      </c>
      <c r="AD125" s="191">
        <f t="array" ref="AD125">SUM(IF((E7:E30=80409)*(D7:D30="Construction"),V7:V30,0))</f>
        <v>0</v>
      </c>
      <c r="AE125" s="191">
        <f t="array" ref="AE125">SUM(IF((E7:E30=80409)*(D7:D30="Construction")*(G7:G30="Recycled On Site"),H7:H30,0))</f>
        <v>0</v>
      </c>
      <c r="AF125" s="191">
        <f t="array" ref="AF125">SUM(IF((E7:E30=80409)*(D7:D30="Construction")*(G7:G30="Recycled Off Site - Transfer Station, MRF, EfW"),J7:J30,0))</f>
        <v>0</v>
      </c>
      <c r="AG125" s="191">
        <f t="array" ref="AG125">SUM(IF((E7:E30=80409)*(D7:D30="Construction"),R7:R30,0))</f>
        <v>0</v>
      </c>
      <c r="AH125" s="191">
        <f t="array" ref="AH125">SUM(IF((E7:E30=80409)*(D7:D30="Construction"),S7:S30,0))</f>
        <v>0</v>
      </c>
      <c r="AI125" s="192">
        <f t="shared" si="123"/>
        <v>0</v>
      </c>
      <c r="AJ125" s="192">
        <f t="shared" si="124"/>
        <v>0</v>
      </c>
    </row>
    <row r="126" spans="25:36" x14ac:dyDescent="0.25">
      <c r="Y126" s="865" t="s">
        <v>128</v>
      </c>
      <c r="Z126" s="867">
        <v>80411</v>
      </c>
      <c r="AA126" s="235" t="s">
        <v>126</v>
      </c>
      <c r="AB126" s="231" t="s">
        <v>235</v>
      </c>
      <c r="AC126" s="232">
        <f t="array" ref="AC126">SUM(IF((E7:E30=80411)*(D7:D30="Demolition")*(G7:G30="Re Use On Site"),H7:H30,0))</f>
        <v>0</v>
      </c>
      <c r="AD126" s="232">
        <f t="array" ref="AD126">SUM(IF((E7:E30=80411)*(D7:D30="Demolition"),V7:V30,0))</f>
        <v>0</v>
      </c>
      <c r="AE126" s="232">
        <f t="array" ref="AE126">SUM(IF((E7:E30=80411)*(D7:D30="Demolition")*(G7:G30="Recycled On Site"),H7:H30,0))</f>
        <v>0</v>
      </c>
      <c r="AF126" s="232">
        <f t="array" ref="AF126">SUM(IF((E7:E30=80411)*(D7:D30="Demolition")*(G7:G30="Recycled Off Site - Transfer Station, MRF, EfW"),J7:J30,0))</f>
        <v>0</v>
      </c>
      <c r="AG126" s="232">
        <f t="array" ref="AG126">SUM(IF((E7:E30=80411)*(D7:D30="Demolition"),R7:R30,0))</f>
        <v>0</v>
      </c>
      <c r="AH126" s="232">
        <f t="array" ref="AH126">SUM(IF((E7:E30=80411)*(D7:D30="Demolition"),S7:S30,0))</f>
        <v>0</v>
      </c>
      <c r="AI126" s="192">
        <f t="shared" si="123"/>
        <v>0</v>
      </c>
      <c r="AJ126" s="192">
        <f t="shared" si="124"/>
        <v>0</v>
      </c>
    </row>
    <row r="127" spans="25:36" x14ac:dyDescent="0.25">
      <c r="Y127" s="871"/>
      <c r="Z127" s="868"/>
      <c r="AA127" s="235" t="s">
        <v>126</v>
      </c>
      <c r="AB127" s="234" t="s">
        <v>236</v>
      </c>
      <c r="AC127" s="191">
        <f t="array" ref="AC127">SUM(IF((E7:E30=80411)*(D7:D30="Excavation")*(G7:G30="Re Use On Site"),H7:H30,0))</f>
        <v>0</v>
      </c>
      <c r="AD127" s="191">
        <f t="array" ref="AD127">SUM(IF((E7:E30=80411)*(D7:D30="Excavation"),V7:V30,0))</f>
        <v>0</v>
      </c>
      <c r="AE127" s="191">
        <f t="array" ref="AE127">SUM(IF((E7:E30=80411)*(D7:D30="Excavation")*(G7:G30="Recycled On Site"),H7:H30,0))</f>
        <v>0</v>
      </c>
      <c r="AF127" s="191">
        <f t="array" ref="AF127">SUM(IF((E7:E30=80411)*(D7:D30="Excavation")*(G7:G30="Recycled Off Site - Transfer Station, MRF, EfW"),J7:J30,0))</f>
        <v>0</v>
      </c>
      <c r="AG127" s="191">
        <f t="array" ref="AG127">SUM(IF((E7:E30=80411)*(D7:D30="Excavation"),R7:R30,0))</f>
        <v>0</v>
      </c>
      <c r="AH127" s="191">
        <f t="array" ref="AH127">SUM(IF((E7:E30=80411)*(D7:D30="Excavation"),S7:S30,0))</f>
        <v>0</v>
      </c>
      <c r="AI127" s="192">
        <f t="shared" si="123"/>
        <v>0</v>
      </c>
      <c r="AJ127" s="192">
        <f t="shared" si="124"/>
        <v>0</v>
      </c>
    </row>
    <row r="128" spans="25:36" ht="13.8" thickBot="1" x14ac:dyDescent="0.3">
      <c r="Y128" s="874"/>
      <c r="Z128" s="869"/>
      <c r="AA128" s="235" t="s">
        <v>126</v>
      </c>
      <c r="AB128" s="234" t="s">
        <v>237</v>
      </c>
      <c r="AC128" s="191">
        <f t="array" ref="AC128">SUM(IF((E7:E30=80411)*(D7:D30="Construction")*(G7:G30="Re Use On Site"),H7:H30,0))</f>
        <v>0</v>
      </c>
      <c r="AD128" s="191">
        <f t="array" ref="AD128">SUM(IF((E7:E30=80411)*(D7:D30="Construction"),V7:V30,0))</f>
        <v>0</v>
      </c>
      <c r="AE128" s="191">
        <f t="array" ref="AE128">SUM(IF((E7:E30=80411)*(D7:D30="Construction")*(G7:G30="Recycled On Site"),H7:H30,0))</f>
        <v>0</v>
      </c>
      <c r="AF128" s="191">
        <f t="array" ref="AF128">SUM(IF((E7:E30=80411)*(D7:D30="Construction")*(G7:G30="Recycled Off Site - Transfer Station, MRF, EfW"),J7:J30,0))</f>
        <v>0</v>
      </c>
      <c r="AG128" s="191">
        <f t="array" ref="AG128">SUM(IF((E7:E30=80411)*(D7:D30="Construction"),R7:R30,0))</f>
        <v>0</v>
      </c>
      <c r="AH128" s="191">
        <f t="array" ref="AH128">SUM(IF((E7:E30=80411)*(D7:D30="Construction"),S7:S30,0))</f>
        <v>0</v>
      </c>
      <c r="AI128" s="192">
        <f t="shared" si="123"/>
        <v>0</v>
      </c>
      <c r="AJ128" s="192">
        <f t="shared" si="124"/>
        <v>0</v>
      </c>
    </row>
    <row r="129" spans="25:36" x14ac:dyDescent="0.25">
      <c r="Y129" s="865" t="s">
        <v>130</v>
      </c>
      <c r="Z129" s="867">
        <v>160505</v>
      </c>
      <c r="AA129" s="235" t="s">
        <v>123</v>
      </c>
      <c r="AB129" s="231" t="s">
        <v>235</v>
      </c>
      <c r="AC129" s="232">
        <f t="array" ref="AC129">SUM(IF((E7:E30=160505)*(D7:D30="Demolition")*(G7:G30="Re Use On Site"),H7:H30,0))</f>
        <v>0</v>
      </c>
      <c r="AD129" s="232">
        <f t="array" ref="AD129">SUM(IF((E7:E30=160505)*(D7:D30="Demolition"),V7:V30,0))</f>
        <v>0</v>
      </c>
      <c r="AE129" s="232">
        <f t="array" ref="AE129">SUM(IF((E7:E30=160505)*(D7:D30="Demolition")*(G7:G30="Recycled On Site"),H7:H30,0))</f>
        <v>0</v>
      </c>
      <c r="AF129" s="232">
        <f t="array" ref="AF129">SUM(IF((E7:E30=160505)*(D7:D30="Demolition")*(G7:G30="Recycled Off Site - Transfer Station, MRF, EfW"),J7:J30,0))</f>
        <v>0</v>
      </c>
      <c r="AG129" s="232">
        <f t="array" ref="AG129">SUM(IF((E7:E30=160505)*(D7:D30="Demolition"),R7:R30,0))</f>
        <v>0</v>
      </c>
      <c r="AH129" s="232">
        <f t="array" ref="AH129">SUM(IF((E7:E30=160505)*(D7:D30="Demolition"),S7:S30,0))</f>
        <v>0</v>
      </c>
      <c r="AI129" s="192">
        <f t="shared" si="123"/>
        <v>0</v>
      </c>
      <c r="AJ129" s="192">
        <f t="shared" si="124"/>
        <v>0</v>
      </c>
    </row>
    <row r="130" spans="25:36" x14ac:dyDescent="0.25">
      <c r="Y130" s="871"/>
      <c r="Z130" s="868"/>
      <c r="AA130" s="235" t="s">
        <v>123</v>
      </c>
      <c r="AB130" s="234" t="s">
        <v>236</v>
      </c>
      <c r="AC130" s="191">
        <f t="array" ref="AC130">SUM(IF((E7:E30=160505)*(D7:D30="Excavation")*(G7:G30="Re Use On Site"),H7:H30,0))</f>
        <v>0</v>
      </c>
      <c r="AD130" s="191">
        <f t="array" ref="AD130">SUM(IF((E7:E30=160505)*(D7:D30="Excavation"),V7:V30,0))</f>
        <v>0</v>
      </c>
      <c r="AE130" s="191">
        <f t="array" ref="AE130">SUM(IF((E7:E30=160505)*(D7:D30="Excavation")*(G7:G30="Recycled On Site"),H7:H30,0))</f>
        <v>0</v>
      </c>
      <c r="AF130" s="191">
        <f t="array" ref="AF130">SUM(IF((E7:E30=160505)*(D7:D30="Excavation")*(G7:G30="Recycled Off Site - Transfer Station, MRF, EfW"),J7:J30,0))</f>
        <v>0</v>
      </c>
      <c r="AG130" s="191">
        <f t="array" ref="AG130">SUM(IF((E7:E30=160505)*(D7:D30="Excavation"),R7:R30,0))</f>
        <v>0</v>
      </c>
      <c r="AH130" s="191">
        <f t="array" ref="AH130">SUM(IF((E7:E30=160505)*(D7:D30="Excavation"),S7:S30,0))</f>
        <v>0</v>
      </c>
      <c r="AI130" s="192">
        <f t="shared" si="123"/>
        <v>0</v>
      </c>
      <c r="AJ130" s="192">
        <f t="shared" si="124"/>
        <v>0</v>
      </c>
    </row>
    <row r="131" spans="25:36" ht="13.8" thickBot="1" x14ac:dyDescent="0.3">
      <c r="Y131" s="874"/>
      <c r="Z131" s="869"/>
      <c r="AA131" s="235" t="s">
        <v>123</v>
      </c>
      <c r="AB131" s="234" t="s">
        <v>237</v>
      </c>
      <c r="AC131" s="191">
        <f t="array" ref="AC131">SUM(IF((E7:E30=160505)*(D7:D30="Construction")*(G7:G30="Re Use On Site"),H7:H30,0))</f>
        <v>0</v>
      </c>
      <c r="AD131" s="191">
        <f t="array" ref="AD131">SUM(IF((E7:E30=160505)*(D7:D30="Construction"),V7:V30,0))</f>
        <v>0</v>
      </c>
      <c r="AE131" s="191">
        <f t="array" ref="AE131">SUM(IF((E7:E30=160505)*(D7:D30="Construction")*(G7:G30="Recycled On Site"),H7:H30,0))</f>
        <v>0</v>
      </c>
      <c r="AF131" s="191">
        <f t="array" ref="AF131">SUM(IF((E7:E30=160505)*(D7:D30="Construction")*(G7:G30="Recycled Off Site - Transfer Station, MRF, EfW"),J7:J30,0))</f>
        <v>0</v>
      </c>
      <c r="AG131" s="191">
        <f t="array" ref="AG131">SUM(IF((E7:E30=160505)*(D7:D30="Construction"),R7:R30,0))</f>
        <v>0</v>
      </c>
      <c r="AH131" s="191">
        <f t="array" ref="AH131">SUM(IF((E7:E30=160505)*(D7:D30="Construction"),S7:S30,0))</f>
        <v>0</v>
      </c>
      <c r="AI131" s="192">
        <f t="shared" si="123"/>
        <v>0</v>
      </c>
      <c r="AJ131" s="192">
        <f t="shared" si="124"/>
        <v>0</v>
      </c>
    </row>
    <row r="132" spans="25:36" x14ac:dyDescent="0.25">
      <c r="Y132" s="865" t="s">
        <v>133</v>
      </c>
      <c r="Z132" s="867">
        <v>160504</v>
      </c>
      <c r="AA132" s="235" t="s">
        <v>126</v>
      </c>
      <c r="AB132" s="231" t="s">
        <v>235</v>
      </c>
      <c r="AC132" s="232">
        <f t="array" ref="AC132">SUM(IF((E7:E30=160504)*(D7:D30="Demolition")*(G7:G30="Re Use On Site"),H7:H30,0))</f>
        <v>0</v>
      </c>
      <c r="AD132" s="232">
        <f t="array" ref="AD132">SUM(IF((E7:E30=160504)*(D7:D30="Demolition"),V7:V30,0))</f>
        <v>0</v>
      </c>
      <c r="AE132" s="232">
        <f t="array" ref="AE132">SUM(IF((E7:E30=160504)*(D7:D30="Demolition")*(G7:G30="Recycled On Site"),H7:H30,0))</f>
        <v>0</v>
      </c>
      <c r="AF132" s="232">
        <f t="array" ref="AF132">SUM(IF((E7:E30=160504)*(D7:D30="Demolition")*(G7:G30="Recycled Off Site - Transfer Station, MRF, EfW"),J7:J30,0))</f>
        <v>0</v>
      </c>
      <c r="AG132" s="232">
        <f t="array" ref="AG132">SUM(IF((E7:E30=160504)*(D7:D30="Demolition"),R7:R30,0))</f>
        <v>0</v>
      </c>
      <c r="AH132" s="232">
        <f t="array" ref="AH132">SUM(IF((E7:E30=160504)*(D7:D30="Demolition"),S7:S30,0))</f>
        <v>0</v>
      </c>
      <c r="AI132" s="192">
        <f t="shared" si="123"/>
        <v>0</v>
      </c>
      <c r="AJ132" s="192">
        <f t="shared" si="124"/>
        <v>0</v>
      </c>
    </row>
    <row r="133" spans="25:36" x14ac:dyDescent="0.25">
      <c r="Y133" s="871"/>
      <c r="Z133" s="868"/>
      <c r="AA133" s="235" t="s">
        <v>126</v>
      </c>
      <c r="AB133" s="234" t="s">
        <v>236</v>
      </c>
      <c r="AC133" s="191">
        <f t="array" ref="AC133">SUM(IF((E7:E30=160504)*(D7:D30="Excavation")*(G7:G30="Re Use On Site"),H7:H30,0))</f>
        <v>0</v>
      </c>
      <c r="AD133" s="191">
        <f t="array" ref="AD133">SUM(IF((E7:E30=160504)*(D7:D30="Excavation"),V7:V30,0))</f>
        <v>0</v>
      </c>
      <c r="AE133" s="191">
        <f t="array" ref="AE133">SUM(IF((E7:E30=160504)*(D7:D30="Excavation")*(G7:G30="Recycled On Site"),H7:H30,0))</f>
        <v>0</v>
      </c>
      <c r="AF133" s="191">
        <f t="array" ref="AF133">SUM(IF((E7:E30=160504)*(D7:D30="Excavation")*(G7:G30="Recycled Off Site - Transfer Station, MRF, EfW"),J7:J30,0))</f>
        <v>0</v>
      </c>
      <c r="AG133" s="191">
        <f t="array" ref="AG133">SUM(IF((E7:E30=160504)*(D7:D30="Excavation"),R7:R30,0))</f>
        <v>0</v>
      </c>
      <c r="AH133" s="191">
        <f t="array" ref="AH133">SUM(IF((E7:E30=160504)*(D7:D30="Excavation"),S7:S30,0))</f>
        <v>0</v>
      </c>
      <c r="AI133" s="192">
        <f t="shared" si="123"/>
        <v>0</v>
      </c>
      <c r="AJ133" s="192">
        <f t="shared" si="124"/>
        <v>0</v>
      </c>
    </row>
    <row r="134" spans="25:36" ht="13.8" thickBot="1" x14ac:dyDescent="0.3">
      <c r="Y134" s="874"/>
      <c r="Z134" s="869"/>
      <c r="AA134" s="235" t="s">
        <v>126</v>
      </c>
      <c r="AB134" s="234" t="s">
        <v>237</v>
      </c>
      <c r="AC134" s="191">
        <f t="array" ref="AC134">SUM(IF((E7:E30=160504)*(D7:D30="Construction")*(G7:G30="Re Use On Site"),H7:H30,0))</f>
        <v>0</v>
      </c>
      <c r="AD134" s="191">
        <f t="array" ref="AD134">SUM(IF((E7:E30=160504)*(D7:D30="Construction"),V7:V30,0))</f>
        <v>0</v>
      </c>
      <c r="AE134" s="191">
        <f t="array" ref="AE134">SUM(IF((E7:E30=160504)*(D7:D30="Construction")*(G7:G30="Recycled On Site"),H7:H30,0))</f>
        <v>0</v>
      </c>
      <c r="AF134" s="191">
        <f t="array" ref="AF134">SUM(IF((E7:E30=160504)*(D7:D30="Construction")*(G7:G30="Recycled Off Site - Transfer Station, MRF, EfW"),J7:J30,0))</f>
        <v>0</v>
      </c>
      <c r="AG134" s="191">
        <f t="array" ref="AG134">SUM(IF((E7:E30=160504)*(D7:D30="Construction"),R7:R30,0))</f>
        <v>0</v>
      </c>
      <c r="AH134" s="191">
        <f t="array" ref="AH134">SUM(IF((E7:E30=160504)*(D7:D30="Construction"),S7:S30,0))</f>
        <v>0</v>
      </c>
      <c r="AI134" s="192">
        <f t="shared" si="123"/>
        <v>0</v>
      </c>
      <c r="AJ134" s="192">
        <f t="shared" si="124"/>
        <v>0</v>
      </c>
    </row>
    <row r="135" spans="25:36" x14ac:dyDescent="0.25">
      <c r="Y135" s="865" t="s">
        <v>134</v>
      </c>
      <c r="Z135" s="867">
        <v>160604</v>
      </c>
      <c r="AA135" s="235" t="s">
        <v>123</v>
      </c>
      <c r="AB135" s="231" t="s">
        <v>235</v>
      </c>
      <c r="AC135" s="232">
        <f t="array" ref="AC135">SUM(IF((E7:E30=160604)*(D7:D30="Demolition")*(G7:G30="Re Use On Site"),H7:H30,0))</f>
        <v>0</v>
      </c>
      <c r="AD135" s="232">
        <f t="array" ref="AD135">SUM(IF((E7:E30=160604)*(D7:D30="Demolition"),V7:V30,0))</f>
        <v>0</v>
      </c>
      <c r="AE135" s="232">
        <f t="array" ref="AE135">SUM(IF((E7:E30=160604)*(D7:D30="Demolition")*(G7:G30="Recycled On Site"),H7:H30,0))</f>
        <v>0</v>
      </c>
      <c r="AF135" s="232">
        <f t="array" ref="AF135">SUM(IF((E7:E30=160604)*(D7:D30="Demolition")*(G7:G30="Recycled Off Site - Transfer Station, MRF, EfW"),J7:J30,0))</f>
        <v>0</v>
      </c>
      <c r="AG135" s="232">
        <f t="array" ref="AG135">SUM(IF((E7:E30=160604)*(D7:D30="Demolition"),R7:R30,0))</f>
        <v>0</v>
      </c>
      <c r="AH135" s="232">
        <f t="array" ref="AH135">SUM(IF((E7:E30=160604)*(D7:D30="Demolition"),S7:S30,0))</f>
        <v>0</v>
      </c>
      <c r="AI135" s="192">
        <f t="shared" si="123"/>
        <v>0</v>
      </c>
      <c r="AJ135" s="192">
        <f t="shared" si="124"/>
        <v>0</v>
      </c>
    </row>
    <row r="136" spans="25:36" x14ac:dyDescent="0.25">
      <c r="Y136" s="871"/>
      <c r="Z136" s="868"/>
      <c r="AA136" s="235" t="s">
        <v>123</v>
      </c>
      <c r="AB136" s="234" t="s">
        <v>236</v>
      </c>
      <c r="AC136" s="191">
        <f t="array" ref="AC136">SUM(IF((E7:E30=160604)*(D7:D30="Excavation")*(G7:G30="Re Use On Site"),H7:H30,0))</f>
        <v>0</v>
      </c>
      <c r="AD136" s="191">
        <f t="array" ref="AD136">SUM(IF((E7:E30=160604)*(D7:D30="Excavation"),V7:V30,0))</f>
        <v>0</v>
      </c>
      <c r="AE136" s="191">
        <f t="array" ref="AE136">SUM(IF((E7:E30=160604)*(D7:D30="Excavation")*(G7:G30="Recycled On Site"),H7:H30,0))</f>
        <v>0</v>
      </c>
      <c r="AF136" s="191">
        <f t="array" ref="AF136">SUM(IF((E7:E30=160604)*(D7:D30="Excavation")*(G7:G30="Recycled Off Site - Transfer Station, MRF, EfW"),J7:J30,0))</f>
        <v>0</v>
      </c>
      <c r="AG136" s="191">
        <f t="array" ref="AG136">SUM(IF((E7:E30=160604)*(D7:D30="Excavation"),R7:R30,0))</f>
        <v>0</v>
      </c>
      <c r="AH136" s="191">
        <f t="array" ref="AH136">SUM(IF((E7:E30=160604)*(D7:D30="Excavation"),S7:S30,0))</f>
        <v>0</v>
      </c>
      <c r="AI136" s="192">
        <f t="shared" si="123"/>
        <v>0</v>
      </c>
      <c r="AJ136" s="192">
        <f t="shared" si="124"/>
        <v>0</v>
      </c>
    </row>
    <row r="137" spans="25:36" ht="13.8" thickBot="1" x14ac:dyDescent="0.3">
      <c r="Y137" s="874"/>
      <c r="Z137" s="869"/>
      <c r="AA137" s="235" t="s">
        <v>123</v>
      </c>
      <c r="AB137" s="234" t="s">
        <v>237</v>
      </c>
      <c r="AC137" s="191">
        <f t="array" ref="AC137">SUM(IF((E7:E30=160604)*(D7:D30="Construction")*(G7:G30="Re Use On Site"),H7:H30,0))</f>
        <v>0</v>
      </c>
      <c r="AD137" s="191">
        <f t="array" ref="AD137">SUM(IF((E7:E30=160604)*(D7:D30="Construction"),V7:V30,0))</f>
        <v>0</v>
      </c>
      <c r="AE137" s="191">
        <f t="array" ref="AE137">SUM(IF((E7:E30=160604)*(D7:D30="Construction")*(G7:G30="Recycled On Site"),H7:H30,0))</f>
        <v>0</v>
      </c>
      <c r="AF137" s="191">
        <f t="array" ref="AF137">SUM(IF((E7:E30=160604)*(D7:D30="Construction")*(G7:G30="Recycled Off Site - Transfer Station, MRF, EfW"),J7:J30,0))</f>
        <v>0</v>
      </c>
      <c r="AG137" s="191">
        <f t="array" ref="AG137">SUM(IF((E7:E30=160604)*(D7:D30="Construction"),R7:R30,0))</f>
        <v>0</v>
      </c>
      <c r="AH137" s="191">
        <f t="array" ref="AH137">SUM(IF((E7:E30=160604)*(D7:D30="Construction"),S7:S30,0))</f>
        <v>0</v>
      </c>
      <c r="AI137" s="192">
        <f t="shared" si="123"/>
        <v>0</v>
      </c>
      <c r="AJ137" s="192">
        <f t="shared" si="124"/>
        <v>0</v>
      </c>
    </row>
    <row r="138" spans="25:36" x14ac:dyDescent="0.25">
      <c r="Y138" s="865" t="s">
        <v>135</v>
      </c>
      <c r="Z138" s="867">
        <v>160603</v>
      </c>
      <c r="AA138" s="235" t="s">
        <v>126</v>
      </c>
      <c r="AB138" s="231" t="s">
        <v>235</v>
      </c>
      <c r="AC138" s="232">
        <f t="array" ref="AC138">SUM(IF((E7:E30=160603)*(D7:D30="Demolition")*(G7:G30="Re Use On Site"),H7:H30,0))</f>
        <v>0</v>
      </c>
      <c r="AD138" s="232">
        <f t="array" ref="AD138">SUM(IF((E7:E30=160603)*(D7:D30="Demolition"),V7:V30,0))</f>
        <v>0</v>
      </c>
      <c r="AE138" s="232">
        <f t="array" ref="AE138">SUM(IF((E7:E30=160603)*(D7:D30="Demolition")*(G7:G30="Recycled On Site"),H7:H30,0))</f>
        <v>0</v>
      </c>
      <c r="AF138" s="232">
        <f t="array" ref="AF138">SUM(IF((E7:E30=160603)*(D7:D30="Demolition")*(G7:G30="Recycled Off Site - Transfer Station, MRF, EfW"),J7:J30,0))</f>
        <v>0</v>
      </c>
      <c r="AG138" s="232">
        <f t="array" ref="AG138">SUM(IF((E7:E30=160603)*(D7:D30="Demolition"),R7:R30,0))</f>
        <v>0</v>
      </c>
      <c r="AH138" s="232">
        <f t="array" ref="AH138">SUM(IF((E7:E30=160603)*(D7:D30="Demolition"),S7:S30,0))</f>
        <v>0</v>
      </c>
      <c r="AI138" s="192">
        <f t="shared" si="123"/>
        <v>0</v>
      </c>
      <c r="AJ138" s="192">
        <f t="shared" si="124"/>
        <v>0</v>
      </c>
    </row>
    <row r="139" spans="25:36" x14ac:dyDescent="0.25">
      <c r="Y139" s="871"/>
      <c r="Z139" s="868"/>
      <c r="AA139" s="235" t="s">
        <v>126</v>
      </c>
      <c r="AB139" s="234" t="s">
        <v>236</v>
      </c>
      <c r="AC139" s="191">
        <f t="array" ref="AC139">SUM(IF((E7:E30=160603)*(D7:D30="Excavation")*(G7:G30="Re Use On Site"),H7:H30,0))</f>
        <v>0</v>
      </c>
      <c r="AD139" s="191">
        <f t="array" ref="AD139">SUM(IF((E7:E30=160603)*(D7:D30="Excavation"),V7:V30,0))</f>
        <v>0</v>
      </c>
      <c r="AE139" s="191">
        <f t="array" ref="AE139">SUM(IF((E7:E30=160603)*(D7:D30="Excavation")*(G7:G30="Recycled On Site"),H7:H30,0))</f>
        <v>0</v>
      </c>
      <c r="AF139" s="191">
        <f t="array" ref="AF139">SUM(IF((E7:E30=160603)*(D7:D30="Excavation")*(G7:G30="Recycled Off Site - Transfer Station, MRF, EfW"),J7:J30,0))</f>
        <v>0</v>
      </c>
      <c r="AG139" s="191">
        <f t="array" ref="AG139">SUM(IF((E7:E30=160603)*(D7:D30="Excavation"),R7:R30,0))</f>
        <v>0</v>
      </c>
      <c r="AH139" s="191">
        <f t="array" ref="AH139">SUM(IF((E7:E30=160603)*(D7:D30="Excavation"),S7:S30,0))</f>
        <v>0</v>
      </c>
      <c r="AI139" s="192">
        <f t="shared" si="123"/>
        <v>0</v>
      </c>
      <c r="AJ139" s="192">
        <f t="shared" si="124"/>
        <v>0</v>
      </c>
    </row>
    <row r="140" spans="25:36" ht="13.8" thickBot="1" x14ac:dyDescent="0.3">
      <c r="Y140" s="874"/>
      <c r="Z140" s="869"/>
      <c r="AA140" s="235" t="s">
        <v>126</v>
      </c>
      <c r="AB140" s="234" t="s">
        <v>237</v>
      </c>
      <c r="AC140" s="191">
        <f t="array" ref="AC140">SUM(IF((E7:E30=160603)*(D7:D30="Construction")*(G7:G30="Re Use On Site"),H7:H30,0))</f>
        <v>0</v>
      </c>
      <c r="AD140" s="191">
        <f t="array" ref="AD140">SUM(IF((E7:E30=160603)*(D7:D30="Construction"),V7:V30,0))</f>
        <v>0</v>
      </c>
      <c r="AE140" s="191">
        <f t="array" ref="AE140">SUM(IF((E7:E30=160603)*(D7:D30="Construction")*(G7:G30="Recycled On Site"),H7:H30,0))</f>
        <v>0</v>
      </c>
      <c r="AF140" s="191">
        <f t="array" ref="AF140">SUM(IF((E7:E30=160603)*(D7:D30="Construction")*(G7:G30="Recycled Off Site - Transfer Station, MRF, EfW"),J7:J30,0))</f>
        <v>0</v>
      </c>
      <c r="AG140" s="191">
        <f t="array" ref="AG140">SUM(IF((E7:E30=160603)*(D7:D30="Construction"),R7:R30,0))</f>
        <v>0</v>
      </c>
      <c r="AH140" s="191">
        <f t="array" ref="AH140">SUM(IF((E7:E30=160603)*(D7:D30="Construction"),S7:S30,0))</f>
        <v>0</v>
      </c>
      <c r="AI140" s="192">
        <f t="shared" si="123"/>
        <v>0</v>
      </c>
      <c r="AJ140" s="192">
        <f t="shared" si="124"/>
        <v>0</v>
      </c>
    </row>
    <row r="141" spans="25:36" x14ac:dyDescent="0.25">
      <c r="Y141" s="865" t="s">
        <v>136</v>
      </c>
      <c r="Z141" s="867">
        <v>160602</v>
      </c>
      <c r="AA141" s="235" t="s">
        <v>126</v>
      </c>
      <c r="AB141" s="231" t="s">
        <v>235</v>
      </c>
      <c r="AC141" s="232">
        <f t="array" ref="AC141">SUM(IF((E7:E30=160602)*(D7:D30="Demolition")*(G7:G30="Re Use On Site"),H7:H30,0))</f>
        <v>0</v>
      </c>
      <c r="AD141" s="232">
        <f t="array" ref="AD141">SUM(IF((E7:E30=160602)*(D7:D30="Demolition"),V7:V30,0))</f>
        <v>0</v>
      </c>
      <c r="AE141" s="232">
        <f t="array" ref="AE141">SUM(IF((E7:E30=160602)*(D7:D30="Demolition")*(G7:G30="Recycled On Site"),H7:H30,0))</f>
        <v>0</v>
      </c>
      <c r="AF141" s="232">
        <f t="array" ref="AF141">SUM(IF((E7:E30=160602)*(D7:D30="Demolition")*(G7:G30="Recycled Off Site - Transfer Station, MRF, EfW"),J7:J30,0))</f>
        <v>0</v>
      </c>
      <c r="AG141" s="232">
        <f t="array" ref="AG141">SUM(IF((E7:E30=160602)*(D7:D30="Demolition"),R7:R30,0))</f>
        <v>0</v>
      </c>
      <c r="AH141" s="232">
        <f t="array" ref="AH141">SUM(IF((E7:E30=160602)*(D7:D30="Demolition"),S7:S30,0))</f>
        <v>0</v>
      </c>
      <c r="AI141" s="192">
        <f t="shared" si="123"/>
        <v>0</v>
      </c>
      <c r="AJ141" s="192">
        <f t="shared" si="124"/>
        <v>0</v>
      </c>
    </row>
    <row r="142" spans="25:36" x14ac:dyDescent="0.25">
      <c r="Y142" s="871"/>
      <c r="Z142" s="868"/>
      <c r="AA142" s="235" t="s">
        <v>126</v>
      </c>
      <c r="AB142" s="234" t="s">
        <v>236</v>
      </c>
      <c r="AC142" s="191">
        <f t="array" ref="AC142">SUM(IF((E7:E30=160602)*(D7:D30="Excavation")*(G7:G30="Re Use On Site"),H7:H30,0))</f>
        <v>0</v>
      </c>
      <c r="AD142" s="191">
        <f t="array" ref="AD142">SUM(IF((E7:E30=160602)*(D7:D30="Excavation"),V7:V30,0))</f>
        <v>0</v>
      </c>
      <c r="AE142" s="191">
        <f t="array" ref="AE142">SUM(IF((E7:E30=160602)*(D7:D30="Excavation")*(G7:G30="Recycled On Site"),H7:H30,0))</f>
        <v>0</v>
      </c>
      <c r="AF142" s="191">
        <f t="array" ref="AF142">SUM(IF((E7:E30=160602)*(D7:D30="Excavation")*(G7:G30="Recycled Off Site - Transfer Station, MRF, EfW"),J7:J30,0))</f>
        <v>0</v>
      </c>
      <c r="AG142" s="191">
        <f t="array" ref="AG142">SUM(IF((E7:E30=160602)*(D7:D30="Excavation"),R7:R30,0))</f>
        <v>0</v>
      </c>
      <c r="AH142" s="191">
        <f t="array" ref="AH142">SUM(IF((E7:E30=160602)*(D7:D30="Excavation"),S7:S30,0))</f>
        <v>0</v>
      </c>
      <c r="AI142" s="192">
        <f t="shared" si="123"/>
        <v>0</v>
      </c>
      <c r="AJ142" s="192">
        <f t="shared" si="124"/>
        <v>0</v>
      </c>
    </row>
    <row r="143" spans="25:36" ht="13.8" thickBot="1" x14ac:dyDescent="0.3">
      <c r="Y143" s="874"/>
      <c r="Z143" s="869"/>
      <c r="AA143" s="235" t="s">
        <v>126</v>
      </c>
      <c r="AB143" s="234" t="s">
        <v>237</v>
      </c>
      <c r="AC143" s="191">
        <f t="array" ref="AC143">SUM(IF((E7:E30=160602)*(D7:D30="Construction")*(G7:G30="Re Use On Site"),H7:H30,0))</f>
        <v>0</v>
      </c>
      <c r="AD143" s="191">
        <f t="array" ref="AD143">SUM(IF((E7:E30=160602)*(D7:D30="Construction"),V7:V30,0))</f>
        <v>0</v>
      </c>
      <c r="AE143" s="191">
        <f t="array" ref="AE143">SUM(IF((E7:E30=160602)*(D7:D30="Construction")*(G7:G30="Recycled On Site"),H7:H30,0))</f>
        <v>0</v>
      </c>
      <c r="AF143" s="191">
        <f t="array" ref="AF143">SUM(IF((E7:E30=160602)*(D7:D30="Construction")*(G7:G30="Recycled Off Site - Transfer Station, MRF, EfW"),J7:J30,0))</f>
        <v>0</v>
      </c>
      <c r="AG143" s="191">
        <f t="array" ref="AG143">SUM(IF((E7:E30=160602)*(D7:D30="Construction"),R7:R30,0))</f>
        <v>0</v>
      </c>
      <c r="AH143" s="191">
        <f t="array" ref="AH143">SUM(IF((E7:E30=160602)*(D7:D30="Construction"),S7:S30,0))</f>
        <v>0</v>
      </c>
      <c r="AI143" s="192">
        <f t="shared" si="123"/>
        <v>0</v>
      </c>
      <c r="AJ143" s="192">
        <f t="shared" si="124"/>
        <v>0</v>
      </c>
    </row>
    <row r="144" spans="25:36" x14ac:dyDescent="0.25">
      <c r="Y144" s="865" t="s">
        <v>137</v>
      </c>
      <c r="Z144" s="867">
        <v>160601</v>
      </c>
      <c r="AA144" s="235" t="s">
        <v>126</v>
      </c>
      <c r="AB144" s="231" t="s">
        <v>235</v>
      </c>
      <c r="AC144" s="232">
        <f t="array" ref="AC144">SUM(IF((E7:E30=160601)*(D7:D30="Demolition")*(G7:G30="Re Use On Site"),H7:H30,0))</f>
        <v>0</v>
      </c>
      <c r="AD144" s="232">
        <f t="array" ref="AD144">SUM(IF((E7:E30=160601)*(D7:D30="Demolition"),V7:V30,0))</f>
        <v>0</v>
      </c>
      <c r="AE144" s="232">
        <f t="array" ref="AE144">SUM(IF((E7:E30=160601)*(D7:D30="Demolition")*(G7:G30="Recycled On Site"),H7:H30,0))</f>
        <v>0</v>
      </c>
      <c r="AF144" s="232">
        <f t="array" ref="AF144">SUM(IF((E7:E30=160601)*(D7:D30="Demolition")*(G7:G30="Recycled Off Site - Transfer Station, MRF, EfW"),J7:J30,0))</f>
        <v>0</v>
      </c>
      <c r="AG144" s="232">
        <f t="array" ref="AG144">SUM(IF((E7:E30=160601)*(D7:D30="Demolition"),R7:R30,0))</f>
        <v>0</v>
      </c>
      <c r="AH144" s="232">
        <f t="array" ref="AH144">SUM(IF((E7:E30=160601)*(D7:D30="Demolition"),S7:S30,0))</f>
        <v>0</v>
      </c>
      <c r="AI144" s="192">
        <f t="shared" si="123"/>
        <v>0</v>
      </c>
      <c r="AJ144" s="192">
        <f t="shared" si="124"/>
        <v>0</v>
      </c>
    </row>
    <row r="145" spans="25:36" x14ac:dyDescent="0.25">
      <c r="Y145" s="871"/>
      <c r="Z145" s="868"/>
      <c r="AA145" s="235" t="s">
        <v>126</v>
      </c>
      <c r="AB145" s="234" t="s">
        <v>236</v>
      </c>
      <c r="AC145" s="191">
        <f t="array" ref="AC145">SUM(IF((E7:E30=160601)*(D7:D30="Excavation")*(G7:G30="Re Use On Site"),H7:H30,0))</f>
        <v>0</v>
      </c>
      <c r="AD145" s="191">
        <f t="array" ref="AD145">SUM(IF((E7:E30=160601)*(D7:D30="Excavation"),V7:V30,0))</f>
        <v>0</v>
      </c>
      <c r="AE145" s="191">
        <f t="array" ref="AE145">SUM(IF((E7:E30=160601)*(D7:D30="Excavation")*(G7:G30="Recycled On Site"),H7:H30,0))</f>
        <v>0</v>
      </c>
      <c r="AF145" s="191">
        <f t="array" ref="AF145">SUM(IF((E7:E30=160601)*(D7:D30="Excavation")*(G7:G30="Recycled Off Site - Transfer Station, MRF, EfW"),J7:J30,0))</f>
        <v>0</v>
      </c>
      <c r="AG145" s="191">
        <f t="array" ref="AG145">SUM(IF((E7:E30=160601)*(D7:D30="Excavation"),R7:R30,0))</f>
        <v>0</v>
      </c>
      <c r="AH145" s="191">
        <f t="array" ref="AH145">SUM(IF((E7:E30=160601)*(D7:D30="Excavation"),S7:S30,0))</f>
        <v>0</v>
      </c>
      <c r="AI145" s="192">
        <f t="shared" si="123"/>
        <v>0</v>
      </c>
      <c r="AJ145" s="192">
        <f t="shared" si="124"/>
        <v>0</v>
      </c>
    </row>
    <row r="146" spans="25:36" ht="13.8" thickBot="1" x14ac:dyDescent="0.3">
      <c r="Y146" s="874"/>
      <c r="Z146" s="869"/>
      <c r="AA146" s="235" t="s">
        <v>126</v>
      </c>
      <c r="AB146" s="234" t="s">
        <v>237</v>
      </c>
      <c r="AC146" s="191">
        <f t="array" ref="AC146">SUM(IF((E7:E30=160601)*(D7:D30="Construction")*(G7:G30="Re Use On Site"),H7:H30,0))</f>
        <v>0</v>
      </c>
      <c r="AD146" s="191">
        <f t="array" ref="AD146">SUM(IF((E7:E30=160601)*(D7:D30="Construction"),V7:V30,0))</f>
        <v>0</v>
      </c>
      <c r="AE146" s="191">
        <f t="array" ref="AE146">SUM(IF((E7:E30=160601)*(D7:D30="Construction")*(G7:G30="Recycled On Site"),H7:H30,0))</f>
        <v>0</v>
      </c>
      <c r="AF146" s="191">
        <f t="array" ref="AF146">SUM(IF((E7:E30=160601)*(D7:D30="Construction")*(G7:G30="Recycled Off Site - Transfer Station, MRF, EfW"),J7:J30,0))</f>
        <v>0</v>
      </c>
      <c r="AG146" s="191">
        <f t="array" ref="AG146">SUM(IF((E7:E30=160601)*(D7:D30="Construction"),R7:R30,0))</f>
        <v>0</v>
      </c>
      <c r="AH146" s="191">
        <f t="array" ref="AH146">SUM(IF((E7:E30=160601)*(D7:D30="Construction"),S7:S30,0))</f>
        <v>0</v>
      </c>
      <c r="AI146" s="192">
        <f t="shared" si="123"/>
        <v>0</v>
      </c>
      <c r="AJ146" s="192">
        <f t="shared" si="124"/>
        <v>0</v>
      </c>
    </row>
    <row r="147" spans="25:36" x14ac:dyDescent="0.25">
      <c r="Y147" s="865" t="s">
        <v>138</v>
      </c>
      <c r="Z147" s="867">
        <v>130802</v>
      </c>
      <c r="AA147" s="235" t="s">
        <v>126</v>
      </c>
      <c r="AB147" s="231" t="s">
        <v>235</v>
      </c>
      <c r="AC147" s="232">
        <f t="array" ref="AC147">SUM(IF((E7:E30=130802)*(D7:D30="Demolition")*(G7:G30="Re Use On Site"),H7:H30,0))</f>
        <v>0</v>
      </c>
      <c r="AD147" s="232">
        <f t="array" ref="AD147">SUM(IF((E7:E30=130802)*(D7:D30="Demolition"),V7:V30,0))</f>
        <v>0</v>
      </c>
      <c r="AE147" s="232">
        <f t="array" ref="AE147">SUM(IF((E7:E30=130802)*(D7:D30="Demolition")*(G7:G30="Recycled On Site"),H7:H30,0))</f>
        <v>0</v>
      </c>
      <c r="AF147" s="232">
        <f t="array" ref="AF147">SUM(IF((E7:E30=130802)*(D7:D30="Demolition")*(G7:G30="Recycled Off Site - Transfer Station, MRF, EfW"),J7:J30,0))</f>
        <v>0</v>
      </c>
      <c r="AG147" s="232">
        <f t="array" ref="AG147">SUM(IF((E7:E30=130802)*(D7:D30="Demolition"),R7:R30,0))</f>
        <v>0</v>
      </c>
      <c r="AH147" s="232">
        <f t="array" ref="AH147">SUM(IF((E7:E30=130802)*(D7:D30="Demolition"),S7:S30,0))</f>
        <v>0</v>
      </c>
      <c r="AI147" s="192">
        <f t="shared" si="123"/>
        <v>0</v>
      </c>
      <c r="AJ147" s="192">
        <f t="shared" si="124"/>
        <v>0</v>
      </c>
    </row>
    <row r="148" spans="25:36" x14ac:dyDescent="0.25">
      <c r="Y148" s="871"/>
      <c r="Z148" s="868"/>
      <c r="AA148" s="235" t="s">
        <v>126</v>
      </c>
      <c r="AB148" s="234" t="s">
        <v>236</v>
      </c>
      <c r="AC148" s="191">
        <f t="array" ref="AC148">SUM(IF((E7:E30=130802)*(D7:D30="Excavation")*(G7:G30="Re Use On Site"),H7:H30,0))</f>
        <v>0</v>
      </c>
      <c r="AD148" s="191">
        <f t="array" ref="AD148">SUM(IF((E7:E30=130802)*(D7:D30="Excavation"),V7:V30,0))</f>
        <v>0</v>
      </c>
      <c r="AE148" s="191">
        <f t="array" ref="AE148">SUM(IF((E7:E30=130802)*(D7:D30="Excavation")*(G7:G30="Recycled On Site"),H7:H30,0))</f>
        <v>0</v>
      </c>
      <c r="AF148" s="191">
        <f t="array" ref="AF148">SUM(IF((E7:E30=130802)*(D7:D30="Excavation")*(G7:G30="Recycled Off Site - Transfer Station, MRF, EfW"),J7:J30,0))</f>
        <v>0</v>
      </c>
      <c r="AG148" s="191">
        <f t="array" ref="AG148">SUM(IF((E7:E30=130802)*(D7:D30="Excavation"),R7:R30,0))</f>
        <v>0</v>
      </c>
      <c r="AH148" s="191">
        <f t="array" ref="AH148">SUM(IF((E7:E30=130802)*(D7:D30="Excavation"),S7:S30,0))</f>
        <v>0</v>
      </c>
      <c r="AI148" s="192">
        <f t="shared" si="123"/>
        <v>0</v>
      </c>
      <c r="AJ148" s="192">
        <f t="shared" si="124"/>
        <v>0</v>
      </c>
    </row>
    <row r="149" spans="25:36" ht="13.8" thickBot="1" x14ac:dyDescent="0.3">
      <c r="Y149" s="874"/>
      <c r="Z149" s="869"/>
      <c r="AA149" s="235" t="s">
        <v>126</v>
      </c>
      <c r="AB149" s="234" t="s">
        <v>237</v>
      </c>
      <c r="AC149" s="191">
        <f t="array" ref="AC149">SUM(IF((E7:E30=130802)*(D7:D30="Construction")*(G7:G30="Re Use On Site"),H7:H30,0))</f>
        <v>0</v>
      </c>
      <c r="AD149" s="191">
        <f t="array" ref="AD149">SUM(IF((E7:E30=130802)*(D7:D30="Construction"),V7:V30,0))</f>
        <v>0</v>
      </c>
      <c r="AE149" s="191">
        <f t="array" ref="AE149">SUM(IF((E7:E30=130802)*(D7:D30="Construction")*(G7:G30="Recycled On Site"),H7:H30,0))</f>
        <v>0</v>
      </c>
      <c r="AF149" s="191">
        <f t="array" ref="AF149">SUM(IF((E7:E30=130802)*(D7:D30="Construction")*(G7:G30="Recycled Off Site - Transfer Station, MRF, EfW"),J7:J30,0))</f>
        <v>0</v>
      </c>
      <c r="AG149" s="191">
        <f t="array" ref="AG149">SUM(IF((E7:E30=130802)*(D7:D30="Construction"),R7:R30,0))</f>
        <v>0</v>
      </c>
      <c r="AH149" s="191">
        <f t="array" ref="AH149">SUM(IF((E7:E30=130802)*(D7:D30="Construction"),S7:S30,0))</f>
        <v>0</v>
      </c>
      <c r="AI149" s="192">
        <f t="shared" si="123"/>
        <v>0</v>
      </c>
      <c r="AJ149" s="192">
        <f t="shared" si="124"/>
        <v>0</v>
      </c>
    </row>
    <row r="150" spans="25:36" x14ac:dyDescent="0.25">
      <c r="Y150" s="865" t="s">
        <v>139</v>
      </c>
      <c r="Z150" s="867">
        <v>170301</v>
      </c>
      <c r="AA150" s="235" t="s">
        <v>126</v>
      </c>
      <c r="AB150" s="231" t="s">
        <v>235</v>
      </c>
      <c r="AC150" s="232">
        <f t="array" ref="AC150">SUM(IF((E7:E30=170301)*(D7:D30="Demolition")*(G7:G30="Re Use On Site"),H7:H30,0))</f>
        <v>0</v>
      </c>
      <c r="AD150" s="232">
        <f t="array" ref="AD150">SUM(IF((E7:E30=170301)*(D7:D30="Demolition"),V7:V30,0))</f>
        <v>0</v>
      </c>
      <c r="AE150" s="232">
        <f t="array" ref="AE150">SUM(IF((E7:E30=170301)*(D7:D30="Demolition")*(G7:G30="Recycled On Site"),H7:H30,0))</f>
        <v>0</v>
      </c>
      <c r="AF150" s="232">
        <f t="array" ref="AF150">SUM(IF((E7:E30=170301)*(D7:D30="Demolition")*(G7:G30="Recycled Off Site - Transfer Station, MRF, EfW"),J7:J30,0))</f>
        <v>0</v>
      </c>
      <c r="AG150" s="232">
        <f t="array" ref="AG150">SUM(IF((E7:E30=170301)*(D7:D30="Demolition"),R7:R30,0))</f>
        <v>0</v>
      </c>
      <c r="AH150" s="232">
        <f t="array" ref="AH150">SUM(IF((E7:E30=170301)*(D7:D30="Demolition"),S7:S30,0))</f>
        <v>0</v>
      </c>
      <c r="AI150" s="192">
        <f t="shared" si="123"/>
        <v>0</v>
      </c>
      <c r="AJ150" s="192">
        <f t="shared" si="124"/>
        <v>0</v>
      </c>
    </row>
    <row r="151" spans="25:36" x14ac:dyDescent="0.25">
      <c r="Y151" s="871"/>
      <c r="Z151" s="868"/>
      <c r="AA151" s="235" t="s">
        <v>126</v>
      </c>
      <c r="AB151" s="234" t="s">
        <v>236</v>
      </c>
      <c r="AC151" s="191">
        <f t="array" ref="AC151">SUM(IF((E7:E30=170301)*(D7:D30="Excavation")*(G7:G30="Re Use On Site"),H7:H30,0))</f>
        <v>0</v>
      </c>
      <c r="AD151" s="191">
        <f t="array" ref="AD151">SUM(IF((E7:E30=170301)*(D7:D30="Excavation"),V7:V30,0))</f>
        <v>0</v>
      </c>
      <c r="AE151" s="191">
        <f t="array" ref="AE151">SUM(IF((E7:E30=170301)*(D7:D30="Excavation")*(G7:G30="Recycled On Site"),H7:H30,0))</f>
        <v>0</v>
      </c>
      <c r="AF151" s="191">
        <f t="array" ref="AF151">SUM(IF((E7:E30=170301)*(D7:D30="Excavation")*(G7:G30="Recycled Off Site - Transfer Station, MRF, EfW"),J7:J30,0))</f>
        <v>0</v>
      </c>
      <c r="AG151" s="191">
        <f t="array" ref="AG151">SUM(IF((E7:E30=170301)*(D7:D30="Excavation"),R7:R30,0))</f>
        <v>0</v>
      </c>
      <c r="AH151" s="191">
        <f t="array" ref="AH151">SUM(IF((E7:E30=170301)*(D7:D30="Excavation"),S7:S30,0))</f>
        <v>0</v>
      </c>
      <c r="AI151" s="192">
        <f t="shared" si="123"/>
        <v>0</v>
      </c>
      <c r="AJ151" s="192">
        <f t="shared" si="124"/>
        <v>0</v>
      </c>
    </row>
    <row r="152" spans="25:36" ht="13.8" thickBot="1" x14ac:dyDescent="0.3">
      <c r="Y152" s="874"/>
      <c r="Z152" s="869"/>
      <c r="AA152" s="235" t="s">
        <v>126</v>
      </c>
      <c r="AB152" s="234" t="s">
        <v>237</v>
      </c>
      <c r="AC152" s="191">
        <f t="array" ref="AC152">SUM(IF((E7:E30=170301)*(D7:D30="Construction")*(G7:G30="Re Use On Site"),H7:H30,0))</f>
        <v>0</v>
      </c>
      <c r="AD152" s="191">
        <f t="array" ref="AD152">SUM(IF((E7:E30=170301)*(D7:D30="Construction"),V7:V30,0))</f>
        <v>0</v>
      </c>
      <c r="AE152" s="191">
        <f t="array" ref="AE152">SUM(IF((E7:E30=170301)*(D7:D30="Construction")*(G7:G30="Recycled On Site"),H7:H30,0))</f>
        <v>0</v>
      </c>
      <c r="AF152" s="191">
        <f t="array" ref="AF152">SUM(IF((E7:E30=170301)*(D7:D30="Construction")*(G7:G30="Recycled Off Site - Transfer Station, MRF, EfW"),J7:J30,0))</f>
        <v>0</v>
      </c>
      <c r="AG152" s="191">
        <f t="array" ref="AG152">SUM(IF((E7:E30=170301)*(D7:D30="Construction"),R7:R30,0))</f>
        <v>0</v>
      </c>
      <c r="AH152" s="191">
        <f t="array" ref="AH152">SUM(IF((E7:E30=170301)*(D7:D30="Construction"),S7:S30,0))</f>
        <v>0</v>
      </c>
      <c r="AI152" s="192">
        <f t="shared" si="123"/>
        <v>0</v>
      </c>
      <c r="AJ152" s="192">
        <f t="shared" si="124"/>
        <v>0</v>
      </c>
    </row>
    <row r="153" spans="25:36" x14ac:dyDescent="0.25">
      <c r="Y153" s="865" t="s">
        <v>129</v>
      </c>
      <c r="Z153" s="867">
        <v>170302</v>
      </c>
      <c r="AA153" s="235" t="s">
        <v>123</v>
      </c>
      <c r="AB153" s="231" t="s">
        <v>235</v>
      </c>
      <c r="AC153" s="232">
        <f t="array" ref="AC153">SUM(IF((E7:E30=170302)*(D7:D30="Demolition")*(G7:G30="Re Use On Site"),H7:H30,0))</f>
        <v>0</v>
      </c>
      <c r="AD153" s="232">
        <f t="array" ref="AD153">SUM(IF((E7:E30=170302)*(D7:D30="Demolition"),V7:V30,0))</f>
        <v>0</v>
      </c>
      <c r="AE153" s="232">
        <f t="array" ref="AE153">SUM(IF((E7:E30=170302)*(D7:D30="Demolition")*(G7:G30="Recycled On Site"),H7:H30,0))</f>
        <v>0</v>
      </c>
      <c r="AF153" s="232">
        <f t="array" ref="AF153">SUM(IF((E7:E30=170302)*(D7:D30="Demolition")*(G7:G30="Recycled Off Site - Transfer Station, MRF, EfW"),J7:J30,0))</f>
        <v>0</v>
      </c>
      <c r="AG153" s="232">
        <f t="array" ref="AG153">SUM(IF((E7:E30=170302)*(D7:D30="Demolition"),R7:R30,0))</f>
        <v>0</v>
      </c>
      <c r="AH153" s="232">
        <f t="array" ref="AH153">SUM(IF((E7:E30=170302)*(D7:D30="Demolition"),S7:S30,0))</f>
        <v>0</v>
      </c>
      <c r="AI153" s="192">
        <f t="shared" si="123"/>
        <v>0</v>
      </c>
      <c r="AJ153" s="192">
        <f t="shared" si="124"/>
        <v>0</v>
      </c>
    </row>
    <row r="154" spans="25:36" x14ac:dyDescent="0.25">
      <c r="Y154" s="871"/>
      <c r="Z154" s="868"/>
      <c r="AA154" s="235" t="s">
        <v>123</v>
      </c>
      <c r="AB154" s="234" t="s">
        <v>236</v>
      </c>
      <c r="AC154" s="191">
        <f t="array" ref="AC154">SUM(IF((E7:E30=170302)*(D7:D30="Excavation")*(G7:G30="Re Use On Site"),H7:H30,0))</f>
        <v>0</v>
      </c>
      <c r="AD154" s="191">
        <f t="array" ref="AD154">SUM(IF((E7:E30=170302)*(D7:D30="Excavation"),V7:V30,0))</f>
        <v>0</v>
      </c>
      <c r="AE154" s="191">
        <f t="array" ref="AE154">SUM(IF((E7:E30=170302)*(D7:D30="Excavation")*(G7:G30="Recycled On Site"),H7:H30,0))</f>
        <v>0</v>
      </c>
      <c r="AF154" s="191">
        <f t="array" ref="AF154">SUM(IF((E7:E30=170302)*(D7:D30="Excavation")*(G7:G30="Recycled Off Site - Transfer Station, MRF, EfW"),J7:J30,0))</f>
        <v>0</v>
      </c>
      <c r="AG154" s="191">
        <f t="array" ref="AG154">SUM(IF((E7:E30=170302)*(D7:D30="Excavation"),R7:R30,0))</f>
        <v>0</v>
      </c>
      <c r="AH154" s="191">
        <f t="array" ref="AH154">SUM(IF((E7:E30=170302)*(D7:D30="Excavation"),S7:S30,0))</f>
        <v>0</v>
      </c>
      <c r="AI154" s="192">
        <f t="shared" si="123"/>
        <v>0</v>
      </c>
      <c r="AJ154" s="192">
        <f t="shared" si="124"/>
        <v>0</v>
      </c>
    </row>
    <row r="155" spans="25:36" ht="13.8" thickBot="1" x14ac:dyDescent="0.3">
      <c r="Y155" s="874"/>
      <c r="Z155" s="869"/>
      <c r="AA155" s="235" t="s">
        <v>123</v>
      </c>
      <c r="AB155" s="234" t="s">
        <v>237</v>
      </c>
      <c r="AC155" s="191">
        <f t="array" ref="AC155">SUM(IF((E7:E30=170302)*(D7:D30="Construction")*(G7:G30="Re Use On Site"),H7:H30,0))</f>
        <v>0</v>
      </c>
      <c r="AD155" s="191">
        <f t="array" ref="AD155">SUM(IF((E7:E30=170302)*(D7:D30="Construction"),V7:V30,0))</f>
        <v>0</v>
      </c>
      <c r="AE155" s="191">
        <f t="array" ref="AE155">SUM(IF((E7:E30=170302)*(D7:D30="Construction")*(G7:G30="Recycled On Site"),H7:H30,0))</f>
        <v>0</v>
      </c>
      <c r="AF155" s="191" t="e">
        <f t="array" ref="AF155">SUM(IF((E7:E30=170302)*(D7:D30="Construction")*(G7:G30="Recycled Off Site - Transfer Station, MRF, EfW"),J7:J30,0))</f>
        <v>#VALUE!</v>
      </c>
      <c r="AG155" s="191">
        <f t="array" ref="AG155">SUM(IF((E7:E30=170302)*(D7:D30="Construction"),R7:R30,0))</f>
        <v>0</v>
      </c>
      <c r="AH155" s="191" t="e">
        <f t="array" ref="AH155">SUM(IF((E7:E30=170302)*(D7:D30="Construction"),S7:S30,0))</f>
        <v>#VALUE!</v>
      </c>
      <c r="AI155" s="192" t="e">
        <f t="shared" si="123"/>
        <v>#VALUE!</v>
      </c>
      <c r="AJ155" s="192" t="e">
        <f t="shared" si="124"/>
        <v>#VALUE!</v>
      </c>
    </row>
    <row r="156" spans="25:36" x14ac:dyDescent="0.25">
      <c r="Y156" s="865" t="s">
        <v>140</v>
      </c>
      <c r="Z156" s="867">
        <v>170102</v>
      </c>
      <c r="AA156" s="235" t="s">
        <v>141</v>
      </c>
      <c r="AB156" s="231" t="s">
        <v>235</v>
      </c>
      <c r="AC156" s="232">
        <f t="array" ref="AC156">SUM(IF((E7:E30=170102)*(D7:D30="Demolition")*(G7:G30="Re Use On Site"),H7:H30,0))</f>
        <v>0</v>
      </c>
      <c r="AD156" s="232">
        <f t="array" ref="AD156">SUM(IF((E7:E30=170102)*(D7:D30="Demolition"),V7:V30,0))</f>
        <v>0</v>
      </c>
      <c r="AE156" s="232">
        <f t="array" ref="AE156">SUM(IF((E7:E30=170102)*(D7:D30="Demolition")*(G7:G30="Recycled On Site"),H7:H30,0))</f>
        <v>0</v>
      </c>
      <c r="AF156" s="232">
        <f t="array" ref="AF156">SUM(IF((E7:E30=170102)*(D7:D30="Demolition")*(G7:G30="Recycled Off Site - Transfer Station, MRF, EfW"),J7:J30,0))</f>
        <v>0</v>
      </c>
      <c r="AG156" s="232">
        <f t="array" ref="AG156">SUM(IF((E7:E30=170102)*(D7:D30="Demolition"),R7:R30,0))</f>
        <v>0</v>
      </c>
      <c r="AH156" s="232">
        <f t="array" ref="AH156">SUM(IF((E7:E30=170102)*(D7:D30="Demolition"),S7:S30,0))</f>
        <v>0</v>
      </c>
      <c r="AI156" s="192">
        <f t="shared" si="123"/>
        <v>0</v>
      </c>
      <c r="AJ156" s="192">
        <f t="shared" si="124"/>
        <v>0</v>
      </c>
    </row>
    <row r="157" spans="25:36" x14ac:dyDescent="0.25">
      <c r="Y157" s="871"/>
      <c r="Z157" s="868"/>
      <c r="AA157" s="235" t="s">
        <v>141</v>
      </c>
      <c r="AB157" s="234" t="s">
        <v>236</v>
      </c>
      <c r="AC157" s="191">
        <f t="array" ref="AC157">SUM(IF((E7:E30=170102)*(D7:D30="Excavation")*(G7:G30="Re Use On Site"),H7:H30,0))</f>
        <v>0</v>
      </c>
      <c r="AD157" s="191">
        <f t="array" ref="AD157">SUM(IF((E7:E30=170102)*(D7:D30="Excavation"),V7:V30,0))</f>
        <v>0</v>
      </c>
      <c r="AE157" s="191">
        <f t="array" ref="AE157">SUM(IF((E7:E30=170102)*(D7:D30="Excavation")*(G7:G30="Recycled On Site"),H7:H30,0))</f>
        <v>0</v>
      </c>
      <c r="AF157" s="191">
        <f t="array" ref="AF157">SUM(IF((E7:E30=170102)*(D7:D30="Excavation")*(G7:G30="Recycled Off Site - Transfer Station, MRF, EfW"),J7:J30,0))</f>
        <v>0</v>
      </c>
      <c r="AG157" s="191">
        <f t="array" ref="AG157">SUM(IF((E7:E30=170102)*(D7:D30="Excavation"),R7:R30,0))</f>
        <v>0</v>
      </c>
      <c r="AH157" s="191">
        <f t="array" ref="AH157">SUM(IF((E7:E30=170102)*(D7:D30="Excavation"),S7:S30,0))</f>
        <v>0</v>
      </c>
      <c r="AI157" s="192">
        <f t="shared" si="123"/>
        <v>0</v>
      </c>
      <c r="AJ157" s="192">
        <f t="shared" si="124"/>
        <v>0</v>
      </c>
    </row>
    <row r="158" spans="25:36" ht="13.8" thickBot="1" x14ac:dyDescent="0.3">
      <c r="Y158" s="874"/>
      <c r="Z158" s="869"/>
      <c r="AA158" s="235" t="s">
        <v>141</v>
      </c>
      <c r="AB158" s="234" t="s">
        <v>237</v>
      </c>
      <c r="AC158" s="191">
        <f t="array" ref="AC158">SUM(IF((E7:E30=170102)*(D7:D30="Construction")*(G7:G30="Re Use On Site"),H7:H30,0))</f>
        <v>0</v>
      </c>
      <c r="AD158" s="191">
        <f t="array" ref="AD158">SUM(IF((E7:E30=170102)*(D7:D30="Construction"),V7:V30,0))</f>
        <v>0</v>
      </c>
      <c r="AE158" s="191">
        <f t="array" ref="AE158">SUM(IF((E7:E30=170102)*(D7:D30="Construction")*(G7:G30="Recycled On Site"),H7:H30,0))</f>
        <v>0</v>
      </c>
      <c r="AF158" s="191">
        <f t="array" ref="AF158">SUM(IF((E7:E30=170102)*(D7:D30="Construction")*(G7:G30="Recycled Off Site - Transfer Station, MRF, EfW"),J7:J30,0))</f>
        <v>0</v>
      </c>
      <c r="AG158" s="191">
        <f t="array" ref="AG158">SUM(IF((E7:E30=170102)*(D7:D30="Construction"),R7:R30,0))</f>
        <v>0</v>
      </c>
      <c r="AH158" s="191">
        <f t="array" ref="AH158">SUM(IF((E7:E30=170102)*(D7:D30="Construction"),S7:S30,0))</f>
        <v>0</v>
      </c>
      <c r="AI158" s="192">
        <f t="shared" si="123"/>
        <v>0</v>
      </c>
      <c r="AJ158" s="192">
        <f t="shared" si="124"/>
        <v>0</v>
      </c>
    </row>
    <row r="159" spans="25:36" ht="13.5" customHeight="1" x14ac:dyDescent="0.25">
      <c r="Y159" s="865" t="s">
        <v>142</v>
      </c>
      <c r="Z159" s="867">
        <v>170411</v>
      </c>
      <c r="AA159" s="235" t="s">
        <v>123</v>
      </c>
      <c r="AB159" s="231" t="s">
        <v>235</v>
      </c>
      <c r="AC159" s="232">
        <f t="array" ref="AC159">SUM(IF((E7:E30=170411)*(D7:D30="Demolition")*(G7:G30="Re Use On Site"),H7:H30,0))</f>
        <v>0</v>
      </c>
      <c r="AD159" s="232">
        <f t="array" ref="AD159">SUM(IF((E7:E30=170411)*(D7:D30="Demolition"),V7:V30,0))</f>
        <v>0</v>
      </c>
      <c r="AE159" s="232">
        <f t="array" ref="AE159">SUM(IF((E7:E30=170411)*(D7:D30="Demolition")*(G7:G30="Recycled On Site"),H7:H30,0))</f>
        <v>0</v>
      </c>
      <c r="AF159" s="232">
        <f t="array" ref="AF159">SUM(IF((E7:E30=170411)*(D7:D30="Demolition")*(G7:G30="Recycled Off Site - Transfer Station, MRF, EfW"),J7:J30,0))</f>
        <v>0</v>
      </c>
      <c r="AG159" s="232">
        <f t="array" ref="AG159">SUM(IF((E7:E30=170411)*(D7:D30="Demolition"),R7:R30,0))</f>
        <v>0</v>
      </c>
      <c r="AH159" s="232">
        <f t="array" ref="AH159">SUM(IF((E7:E30=170411)*(D7:D30="Demolition"),S7:S30,0))</f>
        <v>0</v>
      </c>
      <c r="AI159" s="192">
        <f t="shared" si="123"/>
        <v>0</v>
      </c>
      <c r="AJ159" s="192">
        <f t="shared" si="124"/>
        <v>0</v>
      </c>
    </row>
    <row r="160" spans="25:36" x14ac:dyDescent="0.25">
      <c r="Y160" s="871"/>
      <c r="Z160" s="868"/>
      <c r="AA160" s="235" t="s">
        <v>123</v>
      </c>
      <c r="AB160" s="234" t="s">
        <v>236</v>
      </c>
      <c r="AC160" s="191">
        <f t="array" ref="AC160">SUM(IF((E7:E30=170411)*(D7:D30="Excavation")*(G7:G30="Re Use On Site"),H7:H30,0))</f>
        <v>0</v>
      </c>
      <c r="AD160" s="191">
        <f t="array" ref="AD160">SUM(IF((E7:E30=170411)*(D7:D30="Excavation"),V7:V30,0))</f>
        <v>0</v>
      </c>
      <c r="AE160" s="191">
        <f t="array" ref="AE160">SUM(IF((E7:E30=170411)*(D7:D30="Excavation")*(G7:G30="Recycled On Site"),H7:H30,0))</f>
        <v>0</v>
      </c>
      <c r="AF160" s="191">
        <f t="array" ref="AF160">SUM(IF((E7:E30=170411)*(D7:D30="Excavation")*(G7:G30="Recycled Off Site - Transfer Station, MRF, EfW"),J7:J30,0))</f>
        <v>0</v>
      </c>
      <c r="AG160" s="191">
        <f t="array" ref="AG160">SUM(IF((E7:E30=170411)*(D7:D30="Excavation"),R7:R30,0))</f>
        <v>0</v>
      </c>
      <c r="AH160" s="191">
        <f t="array" ref="AH160">SUM(IF((E7:E30=170411)*(D7:D30="Excavation"),S7:S30,0))</f>
        <v>0</v>
      </c>
      <c r="AI160" s="192">
        <f t="shared" si="123"/>
        <v>0</v>
      </c>
      <c r="AJ160" s="192">
        <f t="shared" si="124"/>
        <v>0</v>
      </c>
    </row>
    <row r="161" spans="25:36" ht="13.8" thickBot="1" x14ac:dyDescent="0.3">
      <c r="Y161" s="874"/>
      <c r="Z161" s="869"/>
      <c r="AA161" s="235" t="s">
        <v>123</v>
      </c>
      <c r="AB161" s="234" t="s">
        <v>237</v>
      </c>
      <c r="AC161" s="191">
        <f t="array" ref="AC161">SUM(IF((E7:E30=170411)*(D7:D30="Construction")*(G7:G30="Re Use On Site"),H7:H30,0))</f>
        <v>0</v>
      </c>
      <c r="AD161" s="191">
        <f t="array" ref="AD161">SUM(IF((E7:E30=170411)*(D7:D30="Construction"),V7:V30,0))</f>
        <v>0</v>
      </c>
      <c r="AE161" s="191">
        <f t="array" ref="AE161">SUM(IF((E7:E30=170411)*(D7:D30="Construction")*(G7:G30="Recycled On Site"),H7:H30,0))</f>
        <v>0</v>
      </c>
      <c r="AF161" s="191">
        <f t="array" ref="AF161">SUM(IF((E7:E30=170411)*(D7:D30="Construction")*(G7:G30="Recycled Off Site - Transfer Station, MRF, EfW"),J7:J30,0))</f>
        <v>0</v>
      </c>
      <c r="AG161" s="191">
        <f t="array" ref="AG161">SUM(IF((E7:E30=170411)*(D7:D30="Construction"),R7:R30,0))</f>
        <v>0</v>
      </c>
      <c r="AH161" s="191">
        <f t="array" ref="AH161">SUM(IF((E7:E30=170411)*(D7:D30="Construction"),S7:S30,0))</f>
        <v>0</v>
      </c>
      <c r="AI161" s="192">
        <f t="shared" si="123"/>
        <v>0</v>
      </c>
      <c r="AJ161" s="192">
        <f t="shared" si="124"/>
        <v>0</v>
      </c>
    </row>
    <row r="162" spans="25:36" x14ac:dyDescent="0.25">
      <c r="Y162" s="865" t="s">
        <v>143</v>
      </c>
      <c r="Z162" s="867">
        <v>170410</v>
      </c>
      <c r="AA162" s="235" t="s">
        <v>126</v>
      </c>
      <c r="AB162" s="231" t="s">
        <v>235</v>
      </c>
      <c r="AC162" s="232">
        <f t="array" ref="AC162">SUM(IF((E7:E30=170410)*(D7:D30="Demolition")*(G7:G30="Re Use On Site"),H7:H30,0))</f>
        <v>0</v>
      </c>
      <c r="AD162" s="232">
        <f t="array" ref="AD162">SUM(IF((E7:E30=170410)*(D7:D30="Demolition"),V7:V30,0))</f>
        <v>0</v>
      </c>
      <c r="AE162" s="232">
        <f t="array" ref="AE162">SUM(IF((E7:E30=170410)*(D7:D30="Demolition")*(G7:G30="Recycled On Site"),H7:H30,0))</f>
        <v>0</v>
      </c>
      <c r="AF162" s="232">
        <f t="array" ref="AF162">SUM(IF((E7:E30=170410)*(D7:D30="Demolition")*(G7:G30="Recycled Off Site - Transfer Station, MRF, EfW"),J7:J30,0))</f>
        <v>0</v>
      </c>
      <c r="AG162" s="232">
        <f t="array" ref="AG162">SUM(IF((E7:E30=170410)*(D7:D30="Demolition"),R7:R30,0))</f>
        <v>0</v>
      </c>
      <c r="AH162" s="232">
        <f t="array" ref="AH162">SUM(IF((E7:E30=170410)*(D7:D30="Demolition"),S7:S30,0))</f>
        <v>0</v>
      </c>
      <c r="AI162" s="192">
        <f t="shared" si="123"/>
        <v>0</v>
      </c>
      <c r="AJ162" s="192">
        <f t="shared" si="124"/>
        <v>0</v>
      </c>
    </row>
    <row r="163" spans="25:36" x14ac:dyDescent="0.25">
      <c r="Y163" s="871"/>
      <c r="Z163" s="868"/>
      <c r="AA163" s="235" t="s">
        <v>126</v>
      </c>
      <c r="AB163" s="234" t="s">
        <v>236</v>
      </c>
      <c r="AC163" s="191">
        <f t="array" ref="AC163">SUM(IF((E7:E30=170410)*(D7:D30="Excavation")*(G7:G30="Re Use On Site"),H7:H30,0))</f>
        <v>0</v>
      </c>
      <c r="AD163" s="191">
        <f t="array" ref="AD163">SUM(IF((E7:E30=170410)*(D7:D30="Excavation"),V7:V30,0))</f>
        <v>0</v>
      </c>
      <c r="AE163" s="191">
        <f t="array" ref="AE163">SUM(IF((E7:E30=170410)*(D7:D30="Excavation")*(G7:G30="Recycled On Site"),H7:H30,0))</f>
        <v>0</v>
      </c>
      <c r="AF163" s="191">
        <f t="array" ref="AF163">SUM(IF((E7:E30=170410)*(D7:D30="Excavation")*(G7:G30="Recycled Off Site - Transfer Station, MRF, EfW"),J7:J30,0))</f>
        <v>0</v>
      </c>
      <c r="AG163" s="191">
        <f t="array" ref="AG163">SUM(IF((E7:E30=170410)*(D7:D30="Excavation"),R7:R30,0))</f>
        <v>0</v>
      </c>
      <c r="AH163" s="191">
        <f t="array" ref="AH163">SUM(IF((E7:E30=170410)*(D7:D30="Excavation"),S7:S30,0))</f>
        <v>0</v>
      </c>
      <c r="AI163" s="192">
        <f t="shared" si="123"/>
        <v>0</v>
      </c>
      <c r="AJ163" s="192">
        <f t="shared" si="124"/>
        <v>0</v>
      </c>
    </row>
    <row r="164" spans="25:36" ht="13.8" thickBot="1" x14ac:dyDescent="0.3">
      <c r="Y164" s="874"/>
      <c r="Z164" s="869"/>
      <c r="AA164" s="235" t="s">
        <v>126</v>
      </c>
      <c r="AB164" s="234" t="s">
        <v>237</v>
      </c>
      <c r="AC164" s="191">
        <f t="array" ref="AC164">SUM(IF((E7:E30=170410)*(D7:D30="Construction")*(G7:G30="Re Use On Site"),H7:H30,0))</f>
        <v>0</v>
      </c>
      <c r="AD164" s="191">
        <f t="array" ref="AD164">SUM(IF((E7:E30=170410)*(D7:D30="Construction"),V7:V30,0))</f>
        <v>0</v>
      </c>
      <c r="AE164" s="191">
        <f t="array" ref="AE164">SUM(IF((E7:E30=170410)*(D7:D30="Construction")*(G7:G30="Recycled On Site"),H7:H30,0))</f>
        <v>0</v>
      </c>
      <c r="AF164" s="191">
        <f t="array" ref="AF164">SUM(IF((E7:E30=170410)*(D7:D30="Construction")*(G7:G30="Recycled Off Site - Transfer Station, MRF, EfW"),J7:J30,0))</f>
        <v>0</v>
      </c>
      <c r="AG164" s="191">
        <f t="array" ref="AG164">SUM(IF((E7:E30=170410)*(D7:D30="Construction"),R7:R30,0))</f>
        <v>0</v>
      </c>
      <c r="AH164" s="191">
        <f t="array" ref="AH164">SUM(IF((E7:E30=170410)*(D7:D30="Construction"),S7:S30,0))</f>
        <v>0</v>
      </c>
      <c r="AI164" s="192">
        <f t="shared" si="123"/>
        <v>0</v>
      </c>
      <c r="AJ164" s="192">
        <f t="shared" si="124"/>
        <v>0</v>
      </c>
    </row>
    <row r="165" spans="25:36" x14ac:dyDescent="0.25">
      <c r="Y165" s="865" t="s">
        <v>144</v>
      </c>
      <c r="Z165" s="867">
        <v>170303</v>
      </c>
      <c r="AA165" s="235" t="s">
        <v>126</v>
      </c>
      <c r="AB165" s="231" t="s">
        <v>235</v>
      </c>
      <c r="AC165" s="232">
        <f t="array" ref="AC165">SUM(IF((E7:E30=170303)*(D7:D30="Demolition")*(G7:G30="Re Use On Site"),H7:H30,0))</f>
        <v>0</v>
      </c>
      <c r="AD165" s="232">
        <f t="array" ref="AD165">SUM(IF((E7:E30=170303)*(D7:D30="Demolition"),V7:V30,0))</f>
        <v>0</v>
      </c>
      <c r="AE165" s="232">
        <f t="array" ref="AE165">SUM(IF((E7:E30=170303)*(D7:D30="Demolition")*(G7:G30="Recycled On Site"),H7:H30,0))</f>
        <v>0</v>
      </c>
      <c r="AF165" s="232">
        <f t="array" ref="AF165">SUM(IF((E7:E30=170303)*(D7:D30="Demolition")*(G7:G30="Recycled Off Site - Transfer Station, MRF, EfW"),J7:J30,0))</f>
        <v>0</v>
      </c>
      <c r="AG165" s="232">
        <f t="array" ref="AG165">SUM(IF((E7:E30=170303)*(D7:D30="Demolition"),R7:R30,0))</f>
        <v>0</v>
      </c>
      <c r="AH165" s="232">
        <f t="array" ref="AH165">SUM(IF((E7:E30=170303)*(D7:D30="Demolition"),S7:S30,0))</f>
        <v>0</v>
      </c>
      <c r="AI165" s="192">
        <f t="shared" si="123"/>
        <v>0</v>
      </c>
      <c r="AJ165" s="192">
        <f t="shared" si="124"/>
        <v>0</v>
      </c>
    </row>
    <row r="166" spans="25:36" x14ac:dyDescent="0.25">
      <c r="Y166" s="871"/>
      <c r="Z166" s="868"/>
      <c r="AA166" s="235" t="s">
        <v>126</v>
      </c>
      <c r="AB166" s="234" t="s">
        <v>236</v>
      </c>
      <c r="AC166" s="191">
        <f t="array" ref="AC166">SUM(IF((E7:E30=170303)*(D7:D30="Excavation")*(G7:G30="Re Use On Site"),H7:H30,0))</f>
        <v>0</v>
      </c>
      <c r="AD166" s="191">
        <f t="array" ref="AD166">SUM(IF((E7:E30=170303)*(D7:D30="Excavation"),V7:V30,0))</f>
        <v>0</v>
      </c>
      <c r="AE166" s="191">
        <f t="array" ref="AE166">SUM(IF((E7:E30=170303)*(D7:D30="Excavation")*(G7:G30="Recycled On Site"),H7:H30,0))</f>
        <v>0</v>
      </c>
      <c r="AF166" s="191">
        <f t="array" ref="AF166">SUM(IF((E7:E30=170303)*(D7:D30="Excavation")*(G7:G30="Recycled Off Site - Transfer Station, MRF, EfW"),J7:J30,0))</f>
        <v>0</v>
      </c>
      <c r="AG166" s="191">
        <f t="array" ref="AG166">SUM(IF((E7:E30=170303)*(D7:D30="Excavation"),R7:R30,0))</f>
        <v>0</v>
      </c>
      <c r="AH166" s="191">
        <f t="array" ref="AH166">SUM(IF((E7:E30=170303)*(D7:D30="Excavation"),S7:S30,0))</f>
        <v>0</v>
      </c>
      <c r="AI166" s="192">
        <f t="shared" si="123"/>
        <v>0</v>
      </c>
      <c r="AJ166" s="192">
        <f t="shared" si="124"/>
        <v>0</v>
      </c>
    </row>
    <row r="167" spans="25:36" ht="13.8" thickBot="1" x14ac:dyDescent="0.3">
      <c r="Y167" s="874"/>
      <c r="Z167" s="869"/>
      <c r="AA167" s="235" t="s">
        <v>126</v>
      </c>
      <c r="AB167" s="234" t="s">
        <v>237</v>
      </c>
      <c r="AC167" s="191">
        <f t="array" ref="AC167">SUM(IF((E7:E30=170303)*(D7:D30="Construction")*(G7:G30="Re Use On Site"),H7:H30,0))</f>
        <v>0</v>
      </c>
      <c r="AD167" s="191">
        <f t="array" ref="AD167">SUM(IF((E7:E30=170303)*(D7:D30="Construction"),V7:V30,0))</f>
        <v>0</v>
      </c>
      <c r="AE167" s="191">
        <f t="array" ref="AE167">SUM(IF((E7:E30=170303)*(D7:D30="Construction")*(G7:G30="Recycled On Site"),H7:H30,0))</f>
        <v>0</v>
      </c>
      <c r="AF167" s="191">
        <f t="array" ref="AF167">SUM(IF((E7:E30=170303)*(D7:D30="Construction")*(G7:G30="Recycled Off Site - Transfer Station, MRF, EfW"),J7:J30,0))</f>
        <v>0</v>
      </c>
      <c r="AG167" s="191">
        <f t="array" ref="AG167">SUM(IF((E7:E30=170303)*(D7:D30="Construction"),R7:R30,0))</f>
        <v>0</v>
      </c>
      <c r="AH167" s="191">
        <f t="array" ref="AH167">SUM(IF((E7:E30=170303)*(D7:D30="Construction"),S7:S30,0))</f>
        <v>0</v>
      </c>
      <c r="AI167" s="192">
        <f t="shared" si="123"/>
        <v>0</v>
      </c>
      <c r="AJ167" s="192">
        <f t="shared" si="124"/>
        <v>0</v>
      </c>
    </row>
    <row r="168" spans="25:36" x14ac:dyDescent="0.25">
      <c r="Y168" s="865" t="s">
        <v>145</v>
      </c>
      <c r="Z168" s="867">
        <v>170101</v>
      </c>
      <c r="AA168" s="235" t="s">
        <v>141</v>
      </c>
      <c r="AB168" s="231" t="s">
        <v>235</v>
      </c>
      <c r="AC168" s="232">
        <f t="array" ref="AC168">SUM(IF((E7:E30=170101)*(D7:D30="Demolition")*(G7:G30="Re Use On Site"),H7:H30,0))</f>
        <v>0</v>
      </c>
      <c r="AD168" s="232">
        <f t="array" ref="AD168">SUM(IF((E7:E30=170101)*(D7:D30="Demolition"),V7:V30,0))</f>
        <v>0</v>
      </c>
      <c r="AE168" s="232">
        <f t="array" ref="AE168">SUM(IF((E7:E30=170101)*(D7:D30="Demolition")*(G7:G30="Recycled On Site"),H7:H30,0))</f>
        <v>0</v>
      </c>
      <c r="AF168" s="232">
        <f t="array" ref="AF168">SUM(IF((E7:E30=170101)*(D7:D30="Demolition")*(G7:G30="Recycled Off Site - Transfer Station, MRF, EfW"),J7:J30,0))</f>
        <v>0</v>
      </c>
      <c r="AG168" s="232">
        <f t="array" ref="AG168">SUM(IF((E7:E30=170101)*(D7:D30="Demolition"),R7:R30,0))</f>
        <v>0</v>
      </c>
      <c r="AH168" s="232">
        <f t="array" ref="AH168">SUM(IF((E7:E30=170101)*(D7:D30="Demolition"),S7:S30,0))</f>
        <v>0</v>
      </c>
      <c r="AI168" s="192">
        <f t="shared" si="123"/>
        <v>0</v>
      </c>
      <c r="AJ168" s="192">
        <f t="shared" si="124"/>
        <v>0</v>
      </c>
    </row>
    <row r="169" spans="25:36" x14ac:dyDescent="0.25">
      <c r="Y169" s="871"/>
      <c r="Z169" s="868"/>
      <c r="AA169" s="235" t="s">
        <v>141</v>
      </c>
      <c r="AB169" s="234" t="s">
        <v>236</v>
      </c>
      <c r="AC169" s="191">
        <f t="array" ref="AC169">SUM(IF((E7:E30=170101)*(D7:D30="Excavation")*(G7:G30="Re Use On Site"),H7:H30,0))</f>
        <v>0</v>
      </c>
      <c r="AD169" s="191">
        <f t="array" ref="AD169">SUM(IF((E7:E30=170101)*(D7:D30="Excavation"),V7:V30,0))</f>
        <v>0</v>
      </c>
      <c r="AE169" s="191">
        <f t="array" ref="AE169">SUM(IF((E7:E30=170101)*(D7:D30="Excavation")*(G7:G30="Recycled On Site"),H7:H30,0))</f>
        <v>0</v>
      </c>
      <c r="AF169" s="191">
        <f t="array" ref="AF169">SUM(IF((E7:E30=170101)*(D7:D30="Excavation")*(G7:G30="Recycled Off Site - Transfer Station, MRF, EfW"),J7:J30,0))</f>
        <v>0</v>
      </c>
      <c r="AG169" s="191">
        <f t="array" ref="AG169">SUM(IF((E7:E30=170101)*(D7:D30="Excavation"),R7:R30,0))</f>
        <v>0</v>
      </c>
      <c r="AH169" s="191">
        <f t="array" ref="AH169">SUM(IF((E7:E30=170101)*(D7:D30="Excavation"),S7:S30,0))</f>
        <v>0</v>
      </c>
      <c r="AI169" s="192">
        <f t="shared" si="123"/>
        <v>0</v>
      </c>
      <c r="AJ169" s="192">
        <f t="shared" si="124"/>
        <v>0</v>
      </c>
    </row>
    <row r="170" spans="25:36" ht="13.8" thickBot="1" x14ac:dyDescent="0.3">
      <c r="Y170" s="874"/>
      <c r="Z170" s="869"/>
      <c r="AA170" s="235" t="s">
        <v>141</v>
      </c>
      <c r="AB170" s="234" t="s">
        <v>237</v>
      </c>
      <c r="AC170" s="191">
        <f t="array" ref="AC170">SUM(IF((E7:E30=170101)*(D7:D30="Construction")*(G7:G30="Re Use On Site"),H7:H30,0))</f>
        <v>0</v>
      </c>
      <c r="AD170" s="191">
        <f t="array" ref="AD170">SUM(IF((E7:E30=170101)*(D7:D30="Construction"),V7:V30,0))</f>
        <v>0</v>
      </c>
      <c r="AE170" s="191">
        <f t="array" ref="AE170">SUM(IF((E7:E30=170101)*(D7:D30="Construction")*(G7:G30="Recycled On Site"),H7:H30,0))</f>
        <v>0</v>
      </c>
      <c r="AF170" s="191">
        <f t="array" ref="AF170">SUM(IF((E7:E30=170101)*(D7:D30="Construction")*(G7:G30="Recycled Off Site - Transfer Station, MRF, EfW"),J7:J30,0))</f>
        <v>0</v>
      </c>
      <c r="AG170" s="191">
        <f t="array" ref="AG170">SUM(IF((E7:E30=170101)*(D7:D30="Construction"),R7:R30,0))</f>
        <v>0</v>
      </c>
      <c r="AH170" s="191">
        <f t="array" ref="AH170">SUM(IF((E7:E30=170101)*(D7:D30="Construction"),S7:S30,0))</f>
        <v>0</v>
      </c>
      <c r="AI170" s="192">
        <f t="shared" si="123"/>
        <v>0</v>
      </c>
      <c r="AJ170" s="192">
        <f t="shared" si="124"/>
        <v>0</v>
      </c>
    </row>
    <row r="171" spans="25:36" x14ac:dyDescent="0.25">
      <c r="Y171" s="865" t="s">
        <v>146</v>
      </c>
      <c r="Z171" s="867">
        <v>170106</v>
      </c>
      <c r="AA171" s="235" t="s">
        <v>126</v>
      </c>
      <c r="AB171" s="231" t="s">
        <v>235</v>
      </c>
      <c r="AC171" s="232">
        <f t="array" ref="AC171">SUM(IF((E7:E30=170106)*(D7:D30="Demolition")*(G7:G30="Re Use On Site"),H7:H30,0))</f>
        <v>0</v>
      </c>
      <c r="AD171" s="232">
        <f t="array" ref="AD171">SUM(IF((E7:E30=170106)*(D7:D30="Demolition"),V7:V30,0))</f>
        <v>0</v>
      </c>
      <c r="AE171" s="232">
        <f t="array" ref="AE171">SUM(IF((E7:E30=170106)*(D7:D30="Demolition")*(G7:G30="Recycled On Site"),H7:H30,0))</f>
        <v>0</v>
      </c>
      <c r="AF171" s="232">
        <f t="array" ref="AF171">SUM(IF((E7:E30=170106)*(D7:D30="Demolition")*(G7:G30="Recycled Off Site - Transfer Station, MRF, EfW"),J7:J30,0))</f>
        <v>0</v>
      </c>
      <c r="AG171" s="232">
        <f t="array" ref="AG171">SUM(IF((E7:E30=170106)*(D7:D30="Demolition"),R7:R30,0))</f>
        <v>0</v>
      </c>
      <c r="AH171" s="232">
        <f t="array" ref="AH171">SUM(IF((E7:E30=170106)*(D7:D30="Demolition"),S7:S30,0))</f>
        <v>0</v>
      </c>
      <c r="AI171" s="192">
        <f t="shared" si="123"/>
        <v>0</v>
      </c>
      <c r="AJ171" s="192">
        <f t="shared" si="124"/>
        <v>0</v>
      </c>
    </row>
    <row r="172" spans="25:36" x14ac:dyDescent="0.25">
      <c r="Y172" s="871"/>
      <c r="Z172" s="868"/>
      <c r="AA172" s="235" t="s">
        <v>126</v>
      </c>
      <c r="AB172" s="234" t="s">
        <v>236</v>
      </c>
      <c r="AC172" s="191">
        <f t="array" ref="AC172">SUM(IF((E7:E30=170106)*(D7:D30="Excavation")*(G7:G30="Re Use On Site"),H7:H30,0))</f>
        <v>0</v>
      </c>
      <c r="AD172" s="191">
        <f t="array" ref="AD172">SUM(IF((E7:E30=170106)*(D7:D30="Excavation"),V7:V30,0))</f>
        <v>0</v>
      </c>
      <c r="AE172" s="191">
        <f t="array" ref="AE172">SUM(IF((E7:E30=170106)*(D7:D30="Excavation")*(G7:G30="Recycled On Site"),H7:H30,0))</f>
        <v>0</v>
      </c>
      <c r="AF172" s="191">
        <f t="array" ref="AF172">SUM(IF((E7:E30=170106)*(D7:D30="Excavation")*(G7:G30="Recycled Off Site - Transfer Station, MRF, EfW"),J7:J30,0))</f>
        <v>0</v>
      </c>
      <c r="AG172" s="191">
        <f t="array" ref="AG172">SUM(IF((E7:E30=170106)*(D7:D30="Excavation"),R7:R30,0))</f>
        <v>0</v>
      </c>
      <c r="AH172" s="191">
        <f t="array" ref="AH172">SUM(IF((E7:E30=170106)*(D7:D30="Excavation"),S7:S30,0))</f>
        <v>0</v>
      </c>
      <c r="AI172" s="192">
        <f t="shared" si="123"/>
        <v>0</v>
      </c>
      <c r="AJ172" s="192">
        <f t="shared" si="124"/>
        <v>0</v>
      </c>
    </row>
    <row r="173" spans="25:36" ht="13.8" thickBot="1" x14ac:dyDescent="0.3">
      <c r="Y173" s="874"/>
      <c r="Z173" s="869"/>
      <c r="AA173" s="235" t="s">
        <v>126</v>
      </c>
      <c r="AB173" s="234" t="s">
        <v>237</v>
      </c>
      <c r="AC173" s="191">
        <f t="array" ref="AC173">SUM(IF((E7:E30=170106)*(D7:D30="Construction")*(G7:G30="Re Use On Site"),H7:H30,0))</f>
        <v>0</v>
      </c>
      <c r="AD173" s="191">
        <f t="array" ref="AD173">SUM(IF((E7:E30=170106)*(D7:D30="Construction"),V7:V30,0))</f>
        <v>0</v>
      </c>
      <c r="AE173" s="191">
        <f t="array" ref="AE173">SUM(IF((E7:E30=170106)*(D7:D30="Construction")*(G7:G30="Recycled On Site"),H7:H30,0))</f>
        <v>0</v>
      </c>
      <c r="AF173" s="191">
        <f t="array" ref="AF173">SUM(IF((E7:E30=170106)*(D7:D30="Construction")*(G7:G30="Recycled Off Site - Transfer Station, MRF, EfW"),J7:J30,0))</f>
        <v>0</v>
      </c>
      <c r="AG173" s="191">
        <f t="array" ref="AG173">SUM(IF((E7:E30=170106)*(D7:D30="Construction"),R7:R30,0))</f>
        <v>0</v>
      </c>
      <c r="AH173" s="191">
        <f t="array" ref="AH173">SUM(IF((E7:E30=170106)*(D7:D30="Construction"),S7:S30,0))</f>
        <v>0</v>
      </c>
      <c r="AI173" s="192">
        <f t="shared" si="123"/>
        <v>0</v>
      </c>
      <c r="AJ173" s="192">
        <f t="shared" si="124"/>
        <v>0</v>
      </c>
    </row>
    <row r="174" spans="25:36" x14ac:dyDescent="0.25">
      <c r="Y174" s="865" t="s">
        <v>124</v>
      </c>
      <c r="Z174" s="867">
        <v>170107</v>
      </c>
      <c r="AA174" s="235" t="s">
        <v>123</v>
      </c>
      <c r="AB174" s="231" t="s">
        <v>235</v>
      </c>
      <c r="AC174" s="232">
        <f t="array" ref="AC174">SUM(IF((E7:E30=170107)*(D7:D30="Demolition")*(G7:G30="Re Use On Site"),H7:H30,0))</f>
        <v>0</v>
      </c>
      <c r="AD174" s="232">
        <f t="array" ref="AD174">SUM(IF((E7:E30=170107)*(D7:D30="Demolition"),V7:V30,0))</f>
        <v>0</v>
      </c>
      <c r="AE174" s="232">
        <f t="array" ref="AE174">SUM(IF((E7:E30=170107)*(D7:D30="Demolition")*(G7:G30="Recycled On Site"),H7:H30,0))</f>
        <v>0</v>
      </c>
      <c r="AF174" s="232">
        <f t="array" ref="AF174">SUM(IF((E7:E30=170107)*(D7:D30="Demolition")*(G7:G30="Recycled Off Site - Transfer Station, MRF, EfW"),J7:J30,0))</f>
        <v>0</v>
      </c>
      <c r="AG174" s="232">
        <f t="array" ref="AG174">SUM(IF((E7:E30=170107)*(D7:D30="Demolition"),R7:R30,0))</f>
        <v>0</v>
      </c>
      <c r="AH174" s="232">
        <f t="array" ref="AH174">SUM(IF((E7:E30=170107)*(D7:D30="Demolition"),S7:S30,0))</f>
        <v>0</v>
      </c>
      <c r="AI174" s="192">
        <f t="shared" si="123"/>
        <v>0</v>
      </c>
      <c r="AJ174" s="192">
        <f t="shared" si="124"/>
        <v>0</v>
      </c>
    </row>
    <row r="175" spans="25:36" x14ac:dyDescent="0.25">
      <c r="Y175" s="871"/>
      <c r="Z175" s="868"/>
      <c r="AA175" s="235" t="s">
        <v>123</v>
      </c>
      <c r="AB175" s="234" t="s">
        <v>236</v>
      </c>
      <c r="AC175" s="191">
        <f t="array" ref="AC175">SUM(IF((E7:E30=170107)*(D7:D30="Excavation")*(G7:G30="Re Use On Site"),H7:H30,0))</f>
        <v>0</v>
      </c>
      <c r="AD175" s="191">
        <f t="array" ref="AD175">SUM(IF((E7:E30=170107)*(D7:D30="Excavation"),V7:V30,0))</f>
        <v>0</v>
      </c>
      <c r="AE175" s="191">
        <f t="array" ref="AE175">SUM(IF((E7:E30=170107)*(D7:D30="Excavation")*(G7:G30="Recycled On Site"),H7:H30,0))</f>
        <v>0</v>
      </c>
      <c r="AF175" s="191">
        <f t="array" ref="AF175">SUM(IF((E7:E30=170107)*(D7:D30="Excavation")*(G7:G30="Recycled Off Site - Transfer Station, MRF, EfW"),J7:J30,0))</f>
        <v>0</v>
      </c>
      <c r="AG175" s="191">
        <f t="array" ref="AG175">SUM(IF((E7:E30=170107)*(D7:D30="Excavation"),R7:R30,0))</f>
        <v>0</v>
      </c>
      <c r="AH175" s="191">
        <f t="array" ref="AH175">SUM(IF((E7:E30=170107)*(D7:D30="Excavation"),S7:S30,0))</f>
        <v>0</v>
      </c>
      <c r="AI175" s="192">
        <f t="shared" si="123"/>
        <v>0</v>
      </c>
      <c r="AJ175" s="192">
        <f t="shared" si="124"/>
        <v>0</v>
      </c>
    </row>
    <row r="176" spans="25:36" ht="13.8" thickBot="1" x14ac:dyDescent="0.3">
      <c r="Y176" s="874"/>
      <c r="Z176" s="869"/>
      <c r="AA176" s="235" t="s">
        <v>123</v>
      </c>
      <c r="AB176" s="234" t="s">
        <v>237</v>
      </c>
      <c r="AC176" s="191">
        <f t="array" ref="AC176">SUM(IF((E7:E30=170107)*(D7:D30="Construction")*(G7:G30="Re Use On Site"),H7:H30,0))</f>
        <v>0</v>
      </c>
      <c r="AD176" s="191">
        <f t="array" ref="AD176">SUM(IF((E7:E30=170107)*(D7:D30="Construction"),V7:V30,0))</f>
        <v>0</v>
      </c>
      <c r="AE176" s="191">
        <f t="array" ref="AE176">SUM(IF((E7:E30=170107)*(D7:D30="Construction")*(G7:G30="Recycled On Site"),H7:H30,0))</f>
        <v>0</v>
      </c>
      <c r="AF176" s="191" t="e">
        <f t="array" ref="AF176">SUM(IF((E7:E30=170107)*(D7:D30="Construction")*(G7:G30="Recycled Off Site - Transfer Station, MRF, EfW"),J7:J30,0))</f>
        <v>#VALUE!</v>
      </c>
      <c r="AG176" s="191">
        <f t="array" ref="AG176">SUM(IF((E7:E30=170107)*(D7:D30="Construction"),R7:R30,0))</f>
        <v>0</v>
      </c>
      <c r="AH176" s="191" t="e">
        <f t="array" ref="AH176">SUM(IF((E7:E30=170107)*(D7:D30="Construction"),S7:S30,0))</f>
        <v>#VALUE!</v>
      </c>
      <c r="AI176" s="192" t="e">
        <f t="shared" si="123"/>
        <v>#VALUE!</v>
      </c>
      <c r="AJ176" s="192" t="e">
        <f t="shared" si="124"/>
        <v>#VALUE!</v>
      </c>
    </row>
    <row r="177" spans="25:36" x14ac:dyDescent="0.25">
      <c r="Y177" s="865" t="s">
        <v>147</v>
      </c>
      <c r="Z177" s="867">
        <v>170903</v>
      </c>
      <c r="AA177" s="235" t="s">
        <v>126</v>
      </c>
      <c r="AB177" s="231" t="s">
        <v>235</v>
      </c>
      <c r="AC177" s="232">
        <f t="array" ref="AC177">SUM(IF((E7:E30=170903)*(D7:D30="Demolition")*(G7:G30="Re Use On Site"),H7:H30,0))</f>
        <v>0</v>
      </c>
      <c r="AD177" s="232">
        <f t="array" ref="AD177">SUM(IF((E7:E30=170903)*(D7:D30="Demolition"),V7:V30,0))</f>
        <v>0</v>
      </c>
      <c r="AE177" s="232">
        <f t="array" ref="AE177">SUM(IF((E7:E30=170903)*(D7:D30="Demolition")*(G7:G30="Recycled On Site"),H7:H30,0))</f>
        <v>0</v>
      </c>
      <c r="AF177" s="232">
        <f t="array" ref="AF177">SUM(IF((E7:E30=170903)*(D7:D30="Demolition")*(G7:G30="Recycled Off Site - Transfer Station, MRF, EfW"),J7:J30,0))</f>
        <v>0</v>
      </c>
      <c r="AG177" s="232">
        <f t="array" ref="AG177">SUM(IF((E7:E30=170903)*(D7:D30="Demolition"),R7:R30,0))</f>
        <v>0</v>
      </c>
      <c r="AH177" s="232">
        <f t="array" ref="AH177">SUM(IF((E7:E30=170903)*(D7:D30="Demolition"),S7:S30,0))</f>
        <v>0</v>
      </c>
      <c r="AI177" s="192">
        <f t="shared" si="123"/>
        <v>0</v>
      </c>
      <c r="AJ177" s="192">
        <f t="shared" si="124"/>
        <v>0</v>
      </c>
    </row>
    <row r="178" spans="25:36" x14ac:dyDescent="0.25">
      <c r="Y178" s="871"/>
      <c r="Z178" s="868"/>
      <c r="AA178" s="235" t="s">
        <v>126</v>
      </c>
      <c r="AB178" s="234" t="s">
        <v>236</v>
      </c>
      <c r="AC178" s="191">
        <f t="array" ref="AC178">SUM(IF((E7:E30=170903)*(D7:D30="Excavation")*(G7:G30="Re Use On Site"),H7:H30,0))</f>
        <v>0</v>
      </c>
      <c r="AD178" s="191">
        <f t="array" ref="AD178">SUM(IF((E7:E30=170903)*(D7:D30="Excavation"),V7:V30,0))</f>
        <v>0</v>
      </c>
      <c r="AE178" s="191">
        <f t="array" ref="AE178">SUM(IF((E7:E30=170903)*(D7:D30="Excavation")*(G7:G30="Recycled On Site"),H7:H30,0))</f>
        <v>0</v>
      </c>
      <c r="AF178" s="191">
        <f t="array" ref="AF178">SUM(IF((E7:E30=170903)*(D7:D30="Excavation")*(G7:G30="Recycled Off Site - Transfer Station, MRF, EfW"),J7:J30,0))</f>
        <v>0</v>
      </c>
      <c r="AG178" s="191">
        <f t="array" ref="AG178">SUM(IF((E7:E30=170903)*(D7:D30="Excavation"),R7:R30,0))</f>
        <v>0</v>
      </c>
      <c r="AH178" s="191">
        <f t="array" ref="AH178">SUM(IF((E7:E30=170903)*(D7:D30="Excavation"),S7:S30,0))</f>
        <v>0</v>
      </c>
      <c r="AI178" s="192">
        <f t="shared" si="123"/>
        <v>0</v>
      </c>
      <c r="AJ178" s="192">
        <f t="shared" si="124"/>
        <v>0</v>
      </c>
    </row>
    <row r="179" spans="25:36" ht="13.8" thickBot="1" x14ac:dyDescent="0.3">
      <c r="Y179" s="874"/>
      <c r="Z179" s="869"/>
      <c r="AA179" s="235" t="s">
        <v>126</v>
      </c>
      <c r="AB179" s="234" t="s">
        <v>237</v>
      </c>
      <c r="AC179" s="191">
        <f t="array" ref="AC179">SUM(IF((E7:E30=170903)*(D7:D30="Construction")*(G7:G30="Re Use On Site"),H7:H30,0))</f>
        <v>0</v>
      </c>
      <c r="AD179" s="191">
        <f t="array" ref="AD179">SUM(IF((E7:E30=170903)*(D7:D30="Construction"),V7:V30,0))</f>
        <v>0</v>
      </c>
      <c r="AE179" s="191">
        <f t="array" ref="AE179">SUM(IF((E7:E30=170903)*(D7:D30="Construction")*(G7:G30="Recycled On Site"),H7:H30,0))</f>
        <v>0</v>
      </c>
      <c r="AF179" s="191">
        <f t="array" ref="AF179">SUM(IF((E7:E30=170903)*(D7:D30="Construction")*(G7:G30="Recycled Off Site - Transfer Station, MRF, EfW"),J7:J30,0))</f>
        <v>0</v>
      </c>
      <c r="AG179" s="191">
        <f t="array" ref="AG179">SUM(IF((E7:E30=170903)*(D7:D30="Construction"),R7:R30,0))</f>
        <v>0</v>
      </c>
      <c r="AH179" s="191">
        <f t="array" ref="AH179">SUM(IF((E7:E30=170903)*(D7:D30="Construction"),S7:S30,0))</f>
        <v>0</v>
      </c>
      <c r="AI179" s="192">
        <f t="shared" si="123"/>
        <v>0</v>
      </c>
      <c r="AJ179" s="192">
        <f t="shared" si="124"/>
        <v>0</v>
      </c>
    </row>
    <row r="180" spans="25:36" x14ac:dyDescent="0.25">
      <c r="Y180" s="865" t="s">
        <v>148</v>
      </c>
      <c r="Z180" s="867">
        <v>170904</v>
      </c>
      <c r="AA180" s="235" t="s">
        <v>123</v>
      </c>
      <c r="AB180" s="231" t="s">
        <v>235</v>
      </c>
      <c r="AC180" s="232">
        <f t="array" ref="AC180">SUM(IF((E7:E30=170904)*(D7:D30="Demolition")*(G7:G30="Re Use On Site"),H7:H30,0))</f>
        <v>0</v>
      </c>
      <c r="AD180" s="232">
        <f t="array" ref="AD180">SUM(IF((E7:E30=170904)*(D7:D30="Demolition"),V7:V30,0))</f>
        <v>0</v>
      </c>
      <c r="AE180" s="232">
        <f t="array" ref="AE180">SUM(IF((E7:E30=170904)*(D7:D30="Demolition")*(G7:G30="Recycled On Site"),H7:H30,0))</f>
        <v>0</v>
      </c>
      <c r="AF180" s="232">
        <f t="array" ref="AF180">SUM(IF((E7:E30=170904)*(D7:D30="Demolition")*(G7:G30="Recycled Off Site - Transfer Station, MRF, EfW"),J7:J30,0))</f>
        <v>0</v>
      </c>
      <c r="AG180" s="232">
        <f t="array" ref="AG180">SUM(IF((E7:E30=170904)*(D7:D30="Demolition"),R7:R30,0))</f>
        <v>0</v>
      </c>
      <c r="AH180" s="232">
        <f t="array" ref="AH180">SUM(IF((E7:E30=170904)*(D7:D30="Demolition"),S7:S30,0))</f>
        <v>0</v>
      </c>
      <c r="AI180" s="192">
        <f t="shared" si="123"/>
        <v>0</v>
      </c>
      <c r="AJ180" s="192">
        <f t="shared" si="124"/>
        <v>0</v>
      </c>
    </row>
    <row r="181" spans="25:36" x14ac:dyDescent="0.25">
      <c r="Y181" s="871"/>
      <c r="Z181" s="868"/>
      <c r="AA181" s="235" t="s">
        <v>123</v>
      </c>
      <c r="AB181" s="234" t="s">
        <v>236</v>
      </c>
      <c r="AC181" s="191">
        <f t="array" ref="AC181">SUM(IF((E7:E30=170904)*(D7:D30="Excavation")*(G7:G30="Re Use On Site"),H7:H30,0))</f>
        <v>0</v>
      </c>
      <c r="AD181" s="191">
        <f t="array" ref="AD181">SUM(IF((E7:E30=170904)*(D7:D30="Excavation"),V7:V30,0))</f>
        <v>0</v>
      </c>
      <c r="AE181" s="191">
        <f t="array" ref="AE181">SUM(IF((E7:E30=170904)*(D7:D30="Excavation")*(G7:G30="Recycled On Site"),H7:H30,0))</f>
        <v>0</v>
      </c>
      <c r="AF181" s="191">
        <f t="array" ref="AF181">SUM(IF((E7:E30=170904)*(D7:D30="Excavation")*(G7:G30="Recycled Off Site - Transfer Station, MRF, EfW"),J7:J30,0))</f>
        <v>0</v>
      </c>
      <c r="AG181" s="191">
        <f t="array" ref="AG181">SUM(IF((E7:E30=170904)*(D7:D30="Excavation"),R7:R30,0))</f>
        <v>0</v>
      </c>
      <c r="AH181" s="191">
        <f t="array" ref="AH181">SUM(IF((E7:E30=170904)*(D7:D30="Excavation"),S7:S30,0))</f>
        <v>0</v>
      </c>
      <c r="AI181" s="192">
        <f t="shared" si="123"/>
        <v>0</v>
      </c>
      <c r="AJ181" s="192">
        <f t="shared" si="124"/>
        <v>0</v>
      </c>
    </row>
    <row r="182" spans="25:36" ht="13.8" thickBot="1" x14ac:dyDescent="0.3">
      <c r="Y182" s="874"/>
      <c r="Z182" s="869"/>
      <c r="AA182" s="235" t="s">
        <v>123</v>
      </c>
      <c r="AB182" s="234" t="s">
        <v>237</v>
      </c>
      <c r="AC182" s="191">
        <f t="array" ref="AC182">SUM(IF((E7:E30=170904)*(D7:D30="Construction")*(G7:G30="Re Use On Site"),H7:H30,0))</f>
        <v>0</v>
      </c>
      <c r="AD182" s="191">
        <f t="array" ref="AD182">SUM(IF((E7:E30=170904)*(D7:D30="Construction"),V7:V30,0))</f>
        <v>0</v>
      </c>
      <c r="AE182" s="191">
        <f t="array" ref="AE182">SUM(IF((E7:E30=170904)*(D7:D30="Construction")*(G7:G30="Recycled On Site"),H7:H30,0))</f>
        <v>0</v>
      </c>
      <c r="AF182" s="191" t="e">
        <f t="array" ref="AF182">SUM(IF((E7:E30=170904)*(D7:D30="Construction")*(G7:G30="Recycled Off Site - Transfer Station, MRF, EfW"),J7:J30,0))</f>
        <v>#VALUE!</v>
      </c>
      <c r="AG182" s="191">
        <f t="array" ref="AG182">SUM(IF((E7:E30=170904)*(D7:D30="Construction"),R7:R30,0))</f>
        <v>0</v>
      </c>
      <c r="AH182" s="191" t="e">
        <f t="array" ref="AH182">SUM(IF((E7:E30=170904)*(D7:D30="Construction"),S7:S30,0))</f>
        <v>#VALUE!</v>
      </c>
      <c r="AI182" s="192" t="e">
        <f t="shared" si="123"/>
        <v>#VALUE!</v>
      </c>
      <c r="AJ182" s="192" t="e">
        <f t="shared" si="124"/>
        <v>#VALUE!</v>
      </c>
    </row>
    <row r="183" spans="25:36" x14ac:dyDescent="0.25">
      <c r="Y183" s="865" t="s">
        <v>149</v>
      </c>
      <c r="Z183" s="867">
        <v>170901</v>
      </c>
      <c r="AA183" s="235" t="s">
        <v>126</v>
      </c>
      <c r="AB183" s="231" t="s">
        <v>235</v>
      </c>
      <c r="AC183" s="232">
        <f t="array" ref="AC183">SUM(IF((E7:E30=170901)*(D7:D30="Demolition")*(G7:G30="Re Use On Site"),H7:H30,0))</f>
        <v>0</v>
      </c>
      <c r="AD183" s="232">
        <f t="array" ref="AD183">SUM(IF((E7:E30=170901)*(D7:D30="Demolition"),V7:V30,0))</f>
        <v>0</v>
      </c>
      <c r="AE183" s="232">
        <f t="array" ref="AE183">SUM(IF((E7:E30=170901)*(D7:D30="Demolition")*(G7:G30="Recycled On Site"),H7:H30,0))</f>
        <v>0</v>
      </c>
      <c r="AF183" s="232">
        <f t="array" ref="AF183">SUM(IF((E7:E30=170901)*(D7:D30="Demolition")*(G7:G30="Recycled Off Site - Transfer Station, MRF, EfW"),J7:J30,0))</f>
        <v>0</v>
      </c>
      <c r="AG183" s="232">
        <f t="array" ref="AG183">SUM(IF((E7:E30=170901)*(D7:D30="Demolition"),R7:R30,0))</f>
        <v>0</v>
      </c>
      <c r="AH183" s="232">
        <f t="array" ref="AH183">SUM(IF((E7:E30=170901)*(D7:D30="Demolition"),S7:S30,0))</f>
        <v>0</v>
      </c>
      <c r="AI183" s="192">
        <f t="shared" si="123"/>
        <v>0</v>
      </c>
      <c r="AJ183" s="192">
        <f t="shared" si="124"/>
        <v>0</v>
      </c>
    </row>
    <row r="184" spans="25:36" x14ac:dyDescent="0.25">
      <c r="Y184" s="871"/>
      <c r="Z184" s="868"/>
      <c r="AA184" s="235" t="s">
        <v>126</v>
      </c>
      <c r="AB184" s="234" t="s">
        <v>236</v>
      </c>
      <c r="AC184" s="191">
        <f t="array" ref="AC184">SUM(IF((E7:E30=170901)*(D7:D30="Excavation")*(G7:G30="Re Use On Site"),H7:H30,0))</f>
        <v>0</v>
      </c>
      <c r="AD184" s="191">
        <f t="array" ref="AD184">SUM(IF((E7:E30=170901)*(D7:D30="Excavation"),V7:V30,0))</f>
        <v>0</v>
      </c>
      <c r="AE184" s="191">
        <f t="array" ref="AE184">SUM(IF((E7:E30=170901)*(D7:D30="Excavation")*(G7:G30="Recycled On Site"),H7:H30,0))</f>
        <v>0</v>
      </c>
      <c r="AF184" s="191">
        <f t="array" ref="AF184">SUM(IF((E7:E30=170901)*(D7:D30="Excavation")*(G7:G30="Recycled Off Site - Transfer Station, MRF, EfW"),J7:J30,0))</f>
        <v>0</v>
      </c>
      <c r="AG184" s="191">
        <f t="array" ref="AG184">SUM(IF((E7:E30=170901)*(D7:D30="Excavation"),R7:R30,0))</f>
        <v>0</v>
      </c>
      <c r="AH184" s="191">
        <f t="array" ref="AH184">SUM(IF((E7:E30=170901)*(D7:D30="Excavation"),S7:S30,0))</f>
        <v>0</v>
      </c>
      <c r="AI184" s="192">
        <f t="shared" ref="AI184:AI247" si="125">AC184+AD184+AE184+AF184+AK184+AM184+AH184</f>
        <v>0</v>
      </c>
      <c r="AJ184" s="192">
        <f t="shared" ref="AJ184:AJ247" si="126">AD184+AF184+AK184+AM184+AH184</f>
        <v>0</v>
      </c>
    </row>
    <row r="185" spans="25:36" ht="13.8" thickBot="1" x14ac:dyDescent="0.3">
      <c r="Y185" s="874"/>
      <c r="Z185" s="869"/>
      <c r="AA185" s="235" t="s">
        <v>126</v>
      </c>
      <c r="AB185" s="234" t="s">
        <v>237</v>
      </c>
      <c r="AC185" s="191">
        <f t="array" ref="AC185">SUM(IF((E7:E30=170901)*(D7:D30="Construction")*(G7:G30="Re Use On Site"),H7:H30,0))</f>
        <v>0</v>
      </c>
      <c r="AD185" s="191">
        <f t="array" ref="AD185">SUM(IF((E7:E30=170901)*(D7:D30="Construction"),V7:V30,0))</f>
        <v>0</v>
      </c>
      <c r="AE185" s="191">
        <f t="array" ref="AE185">SUM(IF((E7:E30=170901)*(D7:D30="Construction")*(G7:G30="Recycled On Site"),H7:H30,0))</f>
        <v>0</v>
      </c>
      <c r="AF185" s="191">
        <f t="array" ref="AF185">SUM(IF((E7:E30=170901)*(D7:D30="Construction")*(G7:G30="Recycled Off Site - Transfer Station, MRF, EfW"),J7:J30,0))</f>
        <v>0</v>
      </c>
      <c r="AG185" s="191">
        <f t="array" ref="AG185">SUM(IF((E7:E30=170901)*(D7:D30="Construction"),R7:R30,0))</f>
        <v>0</v>
      </c>
      <c r="AH185" s="191">
        <f t="array" ref="AH185">SUM(IF((E7:E30=170901)*(D7:D30="Construction"),S7:S30,0))</f>
        <v>0</v>
      </c>
      <c r="AI185" s="192">
        <f t="shared" si="125"/>
        <v>0</v>
      </c>
      <c r="AJ185" s="192">
        <f t="shared" si="126"/>
        <v>0</v>
      </c>
    </row>
    <row r="186" spans="25:36" x14ac:dyDescent="0.25">
      <c r="Y186" s="865" t="s">
        <v>150</v>
      </c>
      <c r="Z186" s="867">
        <v>170902</v>
      </c>
      <c r="AA186" s="235" t="s">
        <v>126</v>
      </c>
      <c r="AB186" s="231" t="s">
        <v>235</v>
      </c>
      <c r="AC186" s="232">
        <f t="array" ref="AC186">SUM(IF((E7:E30=170902)*(D7:D30="Demolition")*(G7:G30="Re Use On Site"),H7:H30,0))</f>
        <v>0</v>
      </c>
      <c r="AD186" s="232">
        <f t="array" ref="AD186">SUM(IF((E7:E30=170902)*(D7:D30="Demolition"),V7:V30,0))</f>
        <v>0</v>
      </c>
      <c r="AE186" s="232">
        <f t="array" ref="AE186">SUM(IF((E7:E30=170902)*(D7:D30="Demolition")*(G7:G30="Recycled On Site"),H7:H30,0))</f>
        <v>0</v>
      </c>
      <c r="AF186" s="232">
        <f t="array" ref="AF186">SUM(IF((E7:E30=170902)*(D7:D30="Demolition")*(G7:G30="Recycled Off Site - Transfer Station, MRF, EfW"),J7:J30,0))</f>
        <v>0</v>
      </c>
      <c r="AG186" s="232">
        <f t="array" ref="AG186">SUM(IF((E7:E30=170902)*(D7:D30="Demolition"),R7:R30,0))</f>
        <v>0</v>
      </c>
      <c r="AH186" s="232">
        <f t="array" ref="AH186">SUM(IF((E7:E30=170902)*(D7:D30="Demolition"),S7:S30,0))</f>
        <v>0</v>
      </c>
      <c r="AI186" s="192">
        <f t="shared" si="125"/>
        <v>0</v>
      </c>
      <c r="AJ186" s="192">
        <f t="shared" si="126"/>
        <v>0</v>
      </c>
    </row>
    <row r="187" spans="25:36" x14ac:dyDescent="0.25">
      <c r="Y187" s="871"/>
      <c r="Z187" s="868"/>
      <c r="AA187" s="235" t="s">
        <v>126</v>
      </c>
      <c r="AB187" s="234" t="s">
        <v>236</v>
      </c>
      <c r="AC187" s="191">
        <f t="array" ref="AC187">SUM(IF((E7:E30=170902)*(D7:D30="Excavation")*(G7:G30="Re Use On Site"),H7:H30,0))</f>
        <v>0</v>
      </c>
      <c r="AD187" s="191">
        <f t="array" ref="AD187">SUM(IF((E7:E30=170902)*(D7:D30="Excavation"),V7:V30,0))</f>
        <v>0</v>
      </c>
      <c r="AE187" s="191">
        <f t="array" ref="AE187">SUM(IF((E7:E30=170902)*(D7:D30="Excavation")*(G7:G30="Recycled On Site"),H7:H30,0))</f>
        <v>0</v>
      </c>
      <c r="AF187" s="191">
        <f t="array" ref="AF187">SUM(IF((E7:E30=170902)*(D7:D30="Excavation")*(G7:G30="Recycled Off Site - Transfer Station, MRF, EfW"),J7:J30,0))</f>
        <v>0</v>
      </c>
      <c r="AG187" s="191">
        <f t="array" ref="AG187">SUM(IF((E7:E30=170902)*(D7:D30="Excavation"),R7:R30,0))</f>
        <v>0</v>
      </c>
      <c r="AH187" s="191">
        <f t="array" ref="AH187">SUM(IF((E7:E30=170902)*(D7:D30="Excavation"),S7:S30,0))</f>
        <v>0</v>
      </c>
      <c r="AI187" s="192">
        <f t="shared" si="125"/>
        <v>0</v>
      </c>
      <c r="AJ187" s="192">
        <f t="shared" si="126"/>
        <v>0</v>
      </c>
    </row>
    <row r="188" spans="25:36" ht="13.8" thickBot="1" x14ac:dyDescent="0.3">
      <c r="Y188" s="874"/>
      <c r="Z188" s="869"/>
      <c r="AA188" s="235" t="s">
        <v>126</v>
      </c>
      <c r="AB188" s="234" t="s">
        <v>237</v>
      </c>
      <c r="AC188" s="191">
        <f t="array" ref="AC188">SUM(IF((E7:E30=170902)*(D7:D30="Construction")*(G7:G30="Re Use On Site"),H7:H30,0))</f>
        <v>0</v>
      </c>
      <c r="AD188" s="191">
        <f t="array" ref="AD188">SUM(IF((E7:E30=170902)*(D7:D30="Construction"),V7:V30,0))</f>
        <v>0</v>
      </c>
      <c r="AE188" s="191">
        <f t="array" ref="AE188">SUM(IF((E7:E30=170902)*(D7:D30="Construction")*(G7:G30="Recycled On Site"),H7:H30,0))</f>
        <v>0</v>
      </c>
      <c r="AF188" s="191">
        <f t="array" ref="AF188">SUM(IF((E7:E30=170902)*(D7:D30="Construction")*(G7:G30="Recycled Off Site - Transfer Station, MRF, EfW"),J7:J30,0))</f>
        <v>0</v>
      </c>
      <c r="AG188" s="191">
        <f t="array" ref="AG188">SUM(IF((E7:E30=170902)*(D7:D30="Construction"),R7:R30,0))</f>
        <v>0</v>
      </c>
      <c r="AH188" s="191">
        <f t="array" ref="AH188">SUM(IF((E7:E30=170902)*(D7:D30="Construction"),S7:S30,0))</f>
        <v>0</v>
      </c>
      <c r="AI188" s="192">
        <f t="shared" si="125"/>
        <v>0</v>
      </c>
      <c r="AJ188" s="192">
        <f t="shared" si="126"/>
        <v>0</v>
      </c>
    </row>
    <row r="189" spans="25:36" x14ac:dyDescent="0.25">
      <c r="Y189" s="865" t="s">
        <v>131</v>
      </c>
      <c r="Z189" s="867">
        <v>170605</v>
      </c>
      <c r="AA189" s="235" t="s">
        <v>126</v>
      </c>
      <c r="AB189" s="231" t="s">
        <v>235</v>
      </c>
      <c r="AC189" s="232">
        <f t="array" ref="AC189">SUM(IF((E7:E30=170605)*(D7:D30="Demolition")*(G7:G30="Re Use On Site"),H7:H30,0))</f>
        <v>0</v>
      </c>
      <c r="AD189" s="232">
        <f t="array" ref="AD189">SUM(IF((E7:E30=170605)*(D7:D30="Demolition"),V7:V30,0))</f>
        <v>0</v>
      </c>
      <c r="AE189" s="232">
        <f t="array" ref="AE189">SUM(IF((E7:E30=170605)*(D7:D30="Demolition")*(G7:G30="Recycled On Site"),H7:H30,0))</f>
        <v>0</v>
      </c>
      <c r="AF189" s="232">
        <f t="array" ref="AF189">SUM(IF((E7:E30=170605)*(D7:D30="Demolition")*(G7:G30="Recycled Off Site - Transfer Station, MRF, EfW"),J7:J30,0))</f>
        <v>0</v>
      </c>
      <c r="AG189" s="232">
        <f t="array" ref="AG189">SUM(IF((E7:E30=170605)*(D7:D30="Demolition"),R7:R30,0))</f>
        <v>0</v>
      </c>
      <c r="AH189" s="232">
        <f t="array" ref="AH189">SUM(IF((E7:E30=170605)*(D7:D30="Demolition"),S7:S30,0))</f>
        <v>0</v>
      </c>
      <c r="AI189" s="192">
        <f t="shared" si="125"/>
        <v>0</v>
      </c>
      <c r="AJ189" s="192">
        <f t="shared" si="126"/>
        <v>0</v>
      </c>
    </row>
    <row r="190" spans="25:36" x14ac:dyDescent="0.25">
      <c r="Y190" s="871"/>
      <c r="Z190" s="868"/>
      <c r="AA190" s="235" t="s">
        <v>126</v>
      </c>
      <c r="AB190" s="234" t="s">
        <v>236</v>
      </c>
      <c r="AC190" s="191">
        <f t="array" ref="AC190">SUM(IF((E7:E30=170605)*(D7:D30="Excavation")*(G7:G30="Re Use On Site"),H7:H30,0))</f>
        <v>0</v>
      </c>
      <c r="AD190" s="191">
        <f t="array" ref="AD190">SUM(IF((E7:E30=170605)*(D7:D30="Excavation"),V7:V30,0))</f>
        <v>0</v>
      </c>
      <c r="AE190" s="191">
        <f t="array" ref="AE190">SUM(IF((E7:E30=170605)*(D7:D30="Excavation")*(G7:G30="Recycled On Site"),H7:H30,0))</f>
        <v>0</v>
      </c>
      <c r="AF190" s="191">
        <f t="array" ref="AF190">SUM(IF((E7:E30=170605)*(D7:D30="Excavation")*(G7:G30="Recycled Off Site - Transfer Station, MRF, EfW"),J7:J30,0))</f>
        <v>0</v>
      </c>
      <c r="AG190" s="191">
        <f t="array" ref="AG190">SUM(IF((E7:E30=170605)*(D7:D30="Excavation"),R7:R30,0))</f>
        <v>0</v>
      </c>
      <c r="AH190" s="191">
        <f t="array" ref="AH190">SUM(IF((E7:E30=170605)*(D7:D30="Excavation"),S7:S30,0))</f>
        <v>0</v>
      </c>
      <c r="AI190" s="192">
        <f t="shared" si="125"/>
        <v>0</v>
      </c>
      <c r="AJ190" s="192">
        <f t="shared" si="126"/>
        <v>0</v>
      </c>
    </row>
    <row r="191" spans="25:36" ht="13.8" thickBot="1" x14ac:dyDescent="0.3">
      <c r="Y191" s="874"/>
      <c r="Z191" s="869"/>
      <c r="AA191" s="235" t="s">
        <v>126</v>
      </c>
      <c r="AB191" s="234" t="s">
        <v>237</v>
      </c>
      <c r="AC191" s="191">
        <f t="array" ref="AC191">SUM(IF((E7:E30=170605)*(D7:D30="Construction")*(G7:G30="Re Use On Site"),H7:H30,0))</f>
        <v>0</v>
      </c>
      <c r="AD191" s="191">
        <f t="array" ref="AD191">SUM(IF((E7:E30=170605)*(D7:D30="Construction"),V7:V30,0))</f>
        <v>0</v>
      </c>
      <c r="AE191" s="191">
        <f t="array" ref="AE191">SUM(IF((E7:E30=170605)*(D7:D30="Construction")*(G7:G30="Recycled On Site"),H7:H30,0))</f>
        <v>0</v>
      </c>
      <c r="AF191" s="191">
        <f t="array" ref="AF191">SUM(IF((E7:E30=170605)*(D7:D30="Construction")*(G7:G30="Recycled Off Site - Transfer Station, MRF, EfW"),J7:J30,0))</f>
        <v>0</v>
      </c>
      <c r="AG191" s="191">
        <f t="array" ref="AG191">SUM(IF((E7:E30=170605)*(D7:D30="Construction"),R7:R30,0))</f>
        <v>0</v>
      </c>
      <c r="AH191" s="191" t="e">
        <f t="array" ref="AH191">SUM(IF((E7:E30=170605)*(D7:D30="Construction"),S7:S30,0))</f>
        <v>#VALUE!</v>
      </c>
      <c r="AI191" s="192" t="e">
        <f t="shared" si="125"/>
        <v>#VALUE!</v>
      </c>
      <c r="AJ191" s="192" t="e">
        <f t="shared" si="126"/>
        <v>#VALUE!</v>
      </c>
    </row>
    <row r="192" spans="25:36" x14ac:dyDescent="0.25">
      <c r="Y192" s="865" t="s">
        <v>151</v>
      </c>
      <c r="Z192" s="867">
        <v>170506</v>
      </c>
      <c r="AA192" s="235" t="s">
        <v>123</v>
      </c>
      <c r="AB192" s="231" t="s">
        <v>235</v>
      </c>
      <c r="AC192" s="232">
        <f t="array" ref="AC192">SUM(IF((E7:E30=170506)*(D7:D30="Demolition")*(G7:G30="Re Use On Site"),H7:H30,0))</f>
        <v>0</v>
      </c>
      <c r="AD192" s="232">
        <f t="array" ref="AD192">SUM(IF((E7:E30=170506)*(D7:D30="Demolition"),V7:V30,0))</f>
        <v>0</v>
      </c>
      <c r="AE192" s="232">
        <f t="array" ref="AE192">SUM(IF((E7:E30=170506)*(D7:D30="Demolition")*(G7:G30="Recycled On Site"),H7:H30,0))</f>
        <v>0</v>
      </c>
      <c r="AF192" s="232">
        <f t="array" ref="AF192">SUM(IF((E7:E30=170506)*(D7:D30="Demolition")*(G7:G30="Recycled Off Site - Transfer Station, MRF, EfW"),J7:J30,0))</f>
        <v>0</v>
      </c>
      <c r="AG192" s="232">
        <f t="array" ref="AG192">SUM(IF((E7:E30=170506)*(D7:D30="Demolition"),R7:R30,0))</f>
        <v>0</v>
      </c>
      <c r="AH192" s="232">
        <f t="array" ref="AH192">SUM(IF((E7:E30=170506)*(D7:D30="Demolition"),S7:S30,0))</f>
        <v>0</v>
      </c>
      <c r="AI192" s="192">
        <f t="shared" si="125"/>
        <v>0</v>
      </c>
      <c r="AJ192" s="192">
        <f t="shared" si="126"/>
        <v>0</v>
      </c>
    </row>
    <row r="193" spans="25:36" x14ac:dyDescent="0.25">
      <c r="Y193" s="871"/>
      <c r="Z193" s="868"/>
      <c r="AA193" s="235" t="s">
        <v>123</v>
      </c>
      <c r="AB193" s="234" t="s">
        <v>236</v>
      </c>
      <c r="AC193" s="191">
        <f t="array" ref="AC193">SUM(IF((E7:E30=170506)*(D7:D30="Excavation")*(G7:G30="Re Use On Site"),H7:H30,0))</f>
        <v>0</v>
      </c>
      <c r="AD193" s="191">
        <f t="array" ref="AD193">SUM(IF((E7:E30=170506)*(D7:D30="Excavation"),V7:V30,0))</f>
        <v>0</v>
      </c>
      <c r="AE193" s="191">
        <f t="array" ref="AE193">SUM(IF((E7:E30=170506)*(D7:D30="Excavation")*(G7:G30="Recycled On Site"),H7:H30,0))</f>
        <v>0</v>
      </c>
      <c r="AF193" s="191">
        <f t="array" ref="AF193">SUM(IF((E7:E30=170506)*(D7:D30="Excavation")*(G7:G30="Recycled Off Site - Transfer Station, MRF, EfW"),J7:J30,0))</f>
        <v>0</v>
      </c>
      <c r="AG193" s="191">
        <f t="array" ref="AG193">SUM(IF((E7:E30=170506)*(D7:D30="Excavation"),R7:R30,0))</f>
        <v>0</v>
      </c>
      <c r="AH193" s="191">
        <f t="array" ref="AH193">SUM(IF((E7:E30=170506)*(D7:D30="Excavation"),S7:S30,0))</f>
        <v>0</v>
      </c>
      <c r="AI193" s="192">
        <f t="shared" si="125"/>
        <v>0</v>
      </c>
      <c r="AJ193" s="192">
        <f t="shared" si="126"/>
        <v>0</v>
      </c>
    </row>
    <row r="194" spans="25:36" ht="13.8" thickBot="1" x14ac:dyDescent="0.3">
      <c r="Y194" s="874"/>
      <c r="Z194" s="869"/>
      <c r="AA194" s="235" t="s">
        <v>123</v>
      </c>
      <c r="AB194" s="234" t="s">
        <v>237</v>
      </c>
      <c r="AC194" s="191">
        <f t="array" ref="AC194">SUM(IF((E7:E30=170506)*(D7:D30="Construction")*(G7:G30="Re Use On Site"),H7:H30,0))</f>
        <v>0</v>
      </c>
      <c r="AD194" s="191">
        <f t="array" ref="AD194">SUM(IF((E7:E30=170506)*(D7:D30="Construction"),V7:V30,0))</f>
        <v>0</v>
      </c>
      <c r="AE194" s="191">
        <f t="array" ref="AE194">SUM(IF((E7:E30=170506)*(D7:D30="Construction")*(G7:G30="Recycled On Site"),H7:H30,0))</f>
        <v>0</v>
      </c>
      <c r="AF194" s="191">
        <f t="array" ref="AF194">SUM(IF((E7:E30=170506)*(D7:D30="Construction")*(G7:G30="Recycled Off Site - Transfer Station, MRF, EfW"),J7:J30,0))</f>
        <v>0</v>
      </c>
      <c r="AG194" s="191">
        <f t="array" ref="AG194">SUM(IF((E7:E30=170506)*(D7:D30="Construction"),R7:R30,0))</f>
        <v>0</v>
      </c>
      <c r="AH194" s="191">
        <f t="array" ref="AH194">SUM(IF((E7:E30=170506)*(D7:D30="Construction"),S7:S30,0))</f>
        <v>0</v>
      </c>
      <c r="AI194" s="192">
        <f t="shared" si="125"/>
        <v>0</v>
      </c>
      <c r="AJ194" s="192">
        <f t="shared" si="126"/>
        <v>0</v>
      </c>
    </row>
    <row r="195" spans="25:36" x14ac:dyDescent="0.25">
      <c r="Y195" s="865" t="s">
        <v>152</v>
      </c>
      <c r="Z195" s="867">
        <v>170505</v>
      </c>
      <c r="AA195" s="235" t="s">
        <v>126</v>
      </c>
      <c r="AB195" s="231" t="s">
        <v>235</v>
      </c>
      <c r="AC195" s="232">
        <f t="array" ref="AC195">SUM(IF((E7:E30=170505)*(D7:D30="Demolition")*(G7:G30="Re Use On Site"),H7:H30,0))</f>
        <v>0</v>
      </c>
      <c r="AD195" s="232">
        <f t="array" ref="AD195">SUM(IF((E7:E30=170505)*(D7:D30="Demolition"),V7:V30,0))</f>
        <v>0</v>
      </c>
      <c r="AE195" s="232">
        <f t="array" ref="AE195">SUM(IF((E7:E30=170505)*(D7:D30="Demolition")*(G7:G30="Recycled On Site"),H7:H30,0))</f>
        <v>0</v>
      </c>
      <c r="AF195" s="232">
        <f t="array" ref="AF195">SUM(IF((E7:E30=170505)*(D7:D30="Demolition")*(G7:G30="Recycled Off Site - Transfer Station, MRF, EfW"),J7:J30,0))</f>
        <v>0</v>
      </c>
      <c r="AG195" s="232">
        <f t="array" ref="AG195">SUM(IF((E7:E30=170505)*(D7:D30="Demolition"),R7:R30,0))</f>
        <v>0</v>
      </c>
      <c r="AH195" s="232">
        <f t="array" ref="AH195">SUM(IF((E7:E30=170505)*(D7:D30="Demolition"),S7:S30,0))</f>
        <v>0</v>
      </c>
      <c r="AI195" s="192">
        <f t="shared" si="125"/>
        <v>0</v>
      </c>
      <c r="AJ195" s="192">
        <f t="shared" si="126"/>
        <v>0</v>
      </c>
    </row>
    <row r="196" spans="25:36" ht="13.5" customHeight="1" x14ac:dyDescent="0.25">
      <c r="Y196" s="871"/>
      <c r="Z196" s="868"/>
      <c r="AA196" s="235" t="s">
        <v>126</v>
      </c>
      <c r="AB196" s="234" t="s">
        <v>236</v>
      </c>
      <c r="AC196" s="191">
        <f t="array" ref="AC196">SUM(IF((E7:E30=170505)*(D7:D30="Excavation")*(G7:G30="Re Use On Site"),H7:H30,0))</f>
        <v>0</v>
      </c>
      <c r="AD196" s="191">
        <f t="array" ref="AD196">SUM(IF((E7:E30=170505)*(D7:D30="Excavation"),V7:V30,0))</f>
        <v>0</v>
      </c>
      <c r="AE196" s="191">
        <f t="array" ref="AE196">SUM(IF((E7:E30=170505)*(D7:D30="Excavation")*(G7:G30="Recycled On Site"),H7:H30,0))</f>
        <v>0</v>
      </c>
      <c r="AF196" s="191">
        <f t="array" ref="AF196">SUM(IF((E7:E30=170505)*(D7:D30="Excavation")*(G7:G30="Recycled Off Site - Transfer Station, MRF, EfW"),J7:J30,0))</f>
        <v>0</v>
      </c>
      <c r="AG196" s="191">
        <f t="array" ref="AG196">SUM(IF((E7:E30=170505)*(D7:D30="Excavation"),R7:R30,0))</f>
        <v>0</v>
      </c>
      <c r="AH196" s="191">
        <f t="array" ref="AH196">SUM(IF((E7:E30=170505)*(D7:D30="Excavation"),S7:S30,0))</f>
        <v>0</v>
      </c>
      <c r="AI196" s="192">
        <f t="shared" si="125"/>
        <v>0</v>
      </c>
      <c r="AJ196" s="192">
        <f t="shared" si="126"/>
        <v>0</v>
      </c>
    </row>
    <row r="197" spans="25:36" ht="13.8" thickBot="1" x14ac:dyDescent="0.3">
      <c r="Y197" s="874"/>
      <c r="Z197" s="869"/>
      <c r="AA197" s="235" t="s">
        <v>126</v>
      </c>
      <c r="AB197" s="234" t="s">
        <v>237</v>
      </c>
      <c r="AC197" s="191">
        <f t="array" ref="AC197">SUM(IF((E7:E30=170505)*(D7:D30="Construction")*(G7:G30="Re Use On Site"),H7:H30,0))</f>
        <v>0</v>
      </c>
      <c r="AD197" s="191">
        <f t="array" ref="AD197">SUM(IF((E7:E30=170505)*(D7:D30="Construction"),V7:V30,0))</f>
        <v>0</v>
      </c>
      <c r="AE197" s="191">
        <f t="array" ref="AE197">SUM(IF((E7:E30=170505)*(D7:D30="Construction")*(G7:G30="Recycled On Site"),H7:H30,0))</f>
        <v>0</v>
      </c>
      <c r="AF197" s="191">
        <f t="array" ref="AF197">SUM(IF((E7:E30=170505)*(D7:D30="Construction")*(G7:G30="Recycled Off Site - Transfer Station, MRF, EfW"),J7:J30,0))</f>
        <v>0</v>
      </c>
      <c r="AG197" s="191">
        <f t="array" ref="AG197">SUM(IF((E7:E30=170505)*(D7:D30="Construction"),R7:R30,0))</f>
        <v>0</v>
      </c>
      <c r="AH197" s="191">
        <f t="array" ref="AH197">SUM(IF((E7:E30=170505)*(D7:D30="Construction"),S7:S30,0))</f>
        <v>0</v>
      </c>
      <c r="AI197" s="192">
        <f t="shared" si="125"/>
        <v>0</v>
      </c>
      <c r="AJ197" s="192">
        <f t="shared" si="126"/>
        <v>0</v>
      </c>
    </row>
    <row r="198" spans="25:36" x14ac:dyDescent="0.25">
      <c r="Y198" s="865" t="s">
        <v>153</v>
      </c>
      <c r="Z198" s="867">
        <v>160214</v>
      </c>
      <c r="AA198" s="235" t="s">
        <v>123</v>
      </c>
      <c r="AB198" s="231" t="s">
        <v>235</v>
      </c>
      <c r="AC198" s="232">
        <f t="array" ref="AC198">SUM(IF((E7:E30=160214)*(D7:D30="Demolition")*(G7:G30="Re Use On Site"),H7:H30,0))</f>
        <v>0</v>
      </c>
      <c r="AD198" s="232">
        <f t="array" ref="AD198">SUM(IF((E7:E30=160214)*(D7:D30="Demolition"),V7:V30,0))</f>
        <v>0</v>
      </c>
      <c r="AE198" s="232">
        <f t="array" ref="AE198">SUM(IF((E7:E30=160214)*(D7:D30="Demolition")*(G7:G30="Recycled On Site"),H7:H30,0))</f>
        <v>0</v>
      </c>
      <c r="AF198" s="232">
        <f t="array" ref="AF198">SUM(IF((E7:E30=160214)*(D7:D30="Demolition")*(G7:G30="Recycled Off Site - Transfer Station, MRF, EfW"),J7:J30,0))</f>
        <v>0</v>
      </c>
      <c r="AG198" s="232">
        <f t="array" ref="AG198">SUM(IF((E7:E30=160214)*(D7:D30="Demolition"),R7:R30,0))</f>
        <v>0</v>
      </c>
      <c r="AH198" s="232">
        <f t="array" ref="AH198">SUM(IF((E7:E30=160214)*(D7:D30="Demolition"),S7:S30,0))</f>
        <v>0</v>
      </c>
      <c r="AI198" s="192">
        <f t="shared" si="125"/>
        <v>0</v>
      </c>
      <c r="AJ198" s="192">
        <f t="shared" si="126"/>
        <v>0</v>
      </c>
    </row>
    <row r="199" spans="25:36" x14ac:dyDescent="0.25">
      <c r="Y199" s="871"/>
      <c r="Z199" s="868"/>
      <c r="AA199" s="235" t="s">
        <v>123</v>
      </c>
      <c r="AB199" s="234" t="s">
        <v>236</v>
      </c>
      <c r="AC199" s="191">
        <f t="array" ref="AC199">SUM(IF((E7:E30=160214)*(D7:D30="Excavation")*(G7:G30="Re Use On Site"),H7:H30,0))</f>
        <v>0</v>
      </c>
      <c r="AD199" s="191">
        <f t="array" ref="AD199">SUM(IF((E7:E30=160214)*(D7:D30="Excavation"),V7:V30,0))</f>
        <v>0</v>
      </c>
      <c r="AE199" s="191">
        <f t="array" ref="AE199">SUM(IF((E7:E30=160214)*(D7:D30="Excavation")*(G7:G30="Recycled On Site"),H7:H30,0))</f>
        <v>0</v>
      </c>
      <c r="AF199" s="191">
        <f t="array" ref="AF199">SUM(IF((E7:E30=160214)*(D7:D30="Excavation")*(G7:G30="Recycled Off Site - Transfer Station, MRF, EfW"),J7:J30,0))</f>
        <v>0</v>
      </c>
      <c r="AG199" s="191">
        <f t="array" ref="AG199">SUM(IF((E7:E30=160214)*(D7:D30="Excavation"),R7:R30,0))</f>
        <v>0</v>
      </c>
      <c r="AH199" s="191">
        <f t="array" ref="AH199">SUM(IF((E7:E30=160214)*(D7:D30="Excavation"),S7:S30,0))</f>
        <v>0</v>
      </c>
      <c r="AI199" s="192">
        <f t="shared" si="125"/>
        <v>0</v>
      </c>
      <c r="AJ199" s="192">
        <f t="shared" si="126"/>
        <v>0</v>
      </c>
    </row>
    <row r="200" spans="25:36" ht="13.8" thickBot="1" x14ac:dyDescent="0.3">
      <c r="Y200" s="874"/>
      <c r="Z200" s="869"/>
      <c r="AA200" s="235" t="s">
        <v>123</v>
      </c>
      <c r="AB200" s="234" t="s">
        <v>237</v>
      </c>
      <c r="AC200" s="191">
        <f t="array" ref="AC200">SUM(IF((E7:E30=160214)*(D7:D30="Construction")*(G7:G30="Re Use On Site"),H7:H30,0))</f>
        <v>0</v>
      </c>
      <c r="AD200" s="191">
        <f t="array" ref="AD200">SUM(IF((E7:E30=160214)*(D7:D30="Construction"),V7:V30,0))</f>
        <v>0</v>
      </c>
      <c r="AE200" s="191">
        <f t="array" ref="AE200">SUM(IF((E7:E30=160214)*(D7:D30="Construction")*(G7:G30="Recycled On Site"),H7:H30,0))</f>
        <v>0</v>
      </c>
      <c r="AF200" s="191">
        <f t="array" ref="AF200">SUM(IF((E7:E30=160214)*(D7:D30="Construction")*(G7:G30="Recycled Off Site - Transfer Station, MRF, EfW"),J7:J30,0))</f>
        <v>0</v>
      </c>
      <c r="AG200" s="191">
        <f t="array" ref="AG200">SUM(IF((E7:E30=160214)*(D7:D30="Construction"),R7:R30,0))</f>
        <v>0</v>
      </c>
      <c r="AH200" s="191">
        <f t="array" ref="AH200">SUM(IF((E7:E30=160214)*(D7:D30="Construction"),S7:S30,0))</f>
        <v>0</v>
      </c>
      <c r="AI200" s="192">
        <f t="shared" si="125"/>
        <v>0</v>
      </c>
      <c r="AJ200" s="192">
        <f t="shared" si="126"/>
        <v>0</v>
      </c>
    </row>
    <row r="201" spans="25:36" x14ac:dyDescent="0.25">
      <c r="Y201" s="865" t="s">
        <v>154</v>
      </c>
      <c r="Z201" s="867">
        <v>160211</v>
      </c>
      <c r="AA201" s="235" t="s">
        <v>126</v>
      </c>
      <c r="AB201" s="231" t="s">
        <v>235</v>
      </c>
      <c r="AC201" s="232">
        <f t="array" ref="AC201">SUM(IF((E7:E30=160211)*(D7:D30="Demolition")*(G7:G30="Re Use On Site"),H7:H30,0))</f>
        <v>0</v>
      </c>
      <c r="AD201" s="232">
        <f t="array" ref="AD201">SUM(IF((E7:E30=160211)*(D7:D30="Demolition"),V7:V30,0))</f>
        <v>0</v>
      </c>
      <c r="AE201" s="232">
        <f t="array" ref="AE201">SUM(IF((E7:E30=160211)*(D7:D30="Demolition")*(G7:G30="Recycled On Site"),H7:H30,0))</f>
        <v>0</v>
      </c>
      <c r="AF201" s="232">
        <f t="array" ref="AF201">SUM(IF((E7:E30=160211)*(D7:D30="Demolition")*(G7:G30="Recycled Off Site - Transfer Station, MRF, EfW"),J7:J30,0))</f>
        <v>0</v>
      </c>
      <c r="AG201" s="232">
        <f t="array" ref="AG201">SUM(IF((E7:E30=160211)*(D7:D30="Demolition"),R7:R30,0))</f>
        <v>0</v>
      </c>
      <c r="AH201" s="232">
        <f t="array" ref="AH201">SUM(IF((E7:E30=160211)*(D7:D30="Demolition"),S7:S30,0))</f>
        <v>0</v>
      </c>
      <c r="AI201" s="192">
        <f t="shared" si="125"/>
        <v>0</v>
      </c>
      <c r="AJ201" s="192">
        <f t="shared" si="126"/>
        <v>0</v>
      </c>
    </row>
    <row r="202" spans="25:36" x14ac:dyDescent="0.25">
      <c r="Y202" s="871"/>
      <c r="Z202" s="868"/>
      <c r="AA202" s="235" t="s">
        <v>126</v>
      </c>
      <c r="AB202" s="234" t="s">
        <v>236</v>
      </c>
      <c r="AC202" s="191">
        <f t="array" ref="AC202">SUM(IF((E7:E30=160211)*(D7:D30="Excavation")*(G7:G30="Re Use On Site"),H7:H30,0))</f>
        <v>0</v>
      </c>
      <c r="AD202" s="191">
        <f t="array" ref="AD202">SUM(IF((E7:E30=160211)*(D7:D30="Excavation"),V7:V30,0))</f>
        <v>0</v>
      </c>
      <c r="AE202" s="191">
        <f t="array" ref="AE202">SUM(IF((E7:E30=160211)*(D7:D30="Excavation")*(G7:G30="Recycled On Site"),H7:H30,0))</f>
        <v>0</v>
      </c>
      <c r="AF202" s="191">
        <f t="array" ref="AF202">SUM(IF((E7:E30=160211)*(D7:D30="Excavation")*(G7:G30="Recycled Off Site - Transfer Station, MRF, EfW"),J7:J30,0))</f>
        <v>0</v>
      </c>
      <c r="AG202" s="191">
        <f t="array" ref="AG202">SUM(IF((E7:E30=160211)*(D7:D30="Excavation"),R7:R30,0))</f>
        <v>0</v>
      </c>
      <c r="AH202" s="191">
        <f t="array" ref="AH202">SUM(IF((E7:E30=160211)*(D7:D30="Excavation"),S7:S30,0))</f>
        <v>0</v>
      </c>
      <c r="AI202" s="192">
        <f t="shared" si="125"/>
        <v>0</v>
      </c>
      <c r="AJ202" s="192">
        <f t="shared" si="126"/>
        <v>0</v>
      </c>
    </row>
    <row r="203" spans="25:36" ht="13.8" thickBot="1" x14ac:dyDescent="0.3">
      <c r="Y203" s="874"/>
      <c r="Z203" s="869"/>
      <c r="AA203" s="235" t="s">
        <v>126</v>
      </c>
      <c r="AB203" s="234" t="s">
        <v>237</v>
      </c>
      <c r="AC203" s="191">
        <f t="array" ref="AC203">SUM(IF((E7:E30=160211)*(D7:D30="Construction")*(G7:G30="Re Use On Site"),H7:H30,0))</f>
        <v>0</v>
      </c>
      <c r="AD203" s="191">
        <f t="array" ref="AD203">SUM(IF((E7:E30=160211)*(D7:D30="Construction"),V7:V30,0))</f>
        <v>0</v>
      </c>
      <c r="AE203" s="191">
        <f t="array" ref="AE203">SUM(IF((E7:E30=160211)*(D7:D30="Construction")*(G7:G30="Recycled On Site"),H7:H30,0))</f>
        <v>0</v>
      </c>
      <c r="AF203" s="191">
        <f t="array" ref="AF203">SUM(IF((E7:E30=160211)*(D7:D30="Construction")*(G7:G30="Recycled Off Site - Transfer Station, MRF, EfW"),J7:J30,0))</f>
        <v>0</v>
      </c>
      <c r="AG203" s="191">
        <f t="array" ref="AG203">SUM(IF((E7:E30=160211)*(D7:D30="Construction"),R7:R30,0))</f>
        <v>0</v>
      </c>
      <c r="AH203" s="191">
        <f t="array" ref="AH203">SUM(IF((E7:E30=160211)*(D7:D30="Construction"),S7:S30,0))</f>
        <v>0</v>
      </c>
      <c r="AI203" s="192">
        <f t="shared" si="125"/>
        <v>0</v>
      </c>
      <c r="AJ203" s="192">
        <f t="shared" si="126"/>
        <v>0</v>
      </c>
    </row>
    <row r="204" spans="25:36" x14ac:dyDescent="0.25">
      <c r="Y204" s="865" t="s">
        <v>155</v>
      </c>
      <c r="Z204" s="867">
        <v>160213</v>
      </c>
      <c r="AA204" s="235" t="s">
        <v>126</v>
      </c>
      <c r="AB204" s="231" t="s">
        <v>235</v>
      </c>
      <c r="AC204" s="232">
        <f t="array" ref="AC204">SUM(IF((E7:E30=160213)*(D7:D30="Demolition")*(G7:G30="Re Use On Site"),H7:H30,0))</f>
        <v>0</v>
      </c>
      <c r="AD204" s="232">
        <f t="array" ref="AD204">SUM(IF((E7:E30=160213)*(D7:D30="Demolition"),V7:V30,0))</f>
        <v>0</v>
      </c>
      <c r="AE204" s="232">
        <f t="array" ref="AE204">SUM(IF((E7:E30=160213)*(D7:D30="Demolition")*(G7:G30="Recycled On Site"),H7:H30,0))</f>
        <v>0</v>
      </c>
      <c r="AF204" s="232">
        <f t="array" ref="AF204">SUM(IF((E7:E30=160213)*(D7:D30="Demolition")*(G7:G30="Recycled Off Site - Transfer Station, MRF, EfW"),J7:J30,0))</f>
        <v>0</v>
      </c>
      <c r="AG204" s="232">
        <f t="array" ref="AG204">SUM(IF((E7:E30=160213)*(D7:D30="Demolition"),R7:R30,0))</f>
        <v>0</v>
      </c>
      <c r="AH204" s="232">
        <f t="array" ref="AH204">SUM(IF((E7:E30=160213)*(D7:D30="Demolition"),S7:S30,0))</f>
        <v>0</v>
      </c>
      <c r="AI204" s="192">
        <f t="shared" si="125"/>
        <v>0</v>
      </c>
      <c r="AJ204" s="192">
        <f t="shared" si="126"/>
        <v>0</v>
      </c>
    </row>
    <row r="205" spans="25:36" x14ac:dyDescent="0.25">
      <c r="Y205" s="871"/>
      <c r="Z205" s="868"/>
      <c r="AA205" s="235" t="s">
        <v>126</v>
      </c>
      <c r="AB205" s="234" t="s">
        <v>236</v>
      </c>
      <c r="AC205" s="191">
        <f t="array" ref="AC205">SUM(IF((E7:E30=160213)*(D7:D30="Excavation")*(G7:G30="Re Use On Site"),H7:H30,0))</f>
        <v>0</v>
      </c>
      <c r="AD205" s="191">
        <f t="array" ref="AD205">SUM(IF((E7:E30=160213)*(D7:D30="Excavation"),V7:V30,0))</f>
        <v>0</v>
      </c>
      <c r="AE205" s="191">
        <f t="array" ref="AE205">SUM(IF((E7:E30=160213)*(D7:D30="Excavation")*(G7:G30="Recycled On Site"),H7:H30,0))</f>
        <v>0</v>
      </c>
      <c r="AF205" s="191">
        <f t="array" ref="AF205">SUM(IF((E7:E30=160213)*(D7:D30="Excavation")*(G7:G30="Recycled Off Site - Transfer Station, MRF, EfW"),J7:J30,0))</f>
        <v>0</v>
      </c>
      <c r="AG205" s="191">
        <f t="array" ref="AG205">SUM(IF((E7:E30=160213)*(D7:D30="Excavation"),R7:R30,0))</f>
        <v>0</v>
      </c>
      <c r="AH205" s="191">
        <f t="array" ref="AH205">SUM(IF((E7:E30=160213)*(D7:D30="Excavation"),S7:S30,0))</f>
        <v>0</v>
      </c>
      <c r="AI205" s="192">
        <f t="shared" si="125"/>
        <v>0</v>
      </c>
      <c r="AJ205" s="192">
        <f t="shared" si="126"/>
        <v>0</v>
      </c>
    </row>
    <row r="206" spans="25:36" ht="13.8" thickBot="1" x14ac:dyDescent="0.3">
      <c r="Y206" s="874"/>
      <c r="Z206" s="869"/>
      <c r="AA206" s="235" t="s">
        <v>126</v>
      </c>
      <c r="AB206" s="234" t="s">
        <v>237</v>
      </c>
      <c r="AC206" s="191">
        <f t="array" ref="AC206">SUM(IF((E7:E30=160213)*(D7:D30="Construction")*(G7:G30="Re Use On Site"),H7:H30,0))</f>
        <v>0</v>
      </c>
      <c r="AD206" s="191">
        <f t="array" ref="AD206">SUM(IF((E7:E30=160213)*(D7:D30="Construction"),V7:V30,0))</f>
        <v>0</v>
      </c>
      <c r="AE206" s="191">
        <f t="array" ref="AE206">SUM(IF((E7:E30=160213)*(D7:D30="Construction")*(G7:G30="Recycled On Site"),H7:H30,0))</f>
        <v>0</v>
      </c>
      <c r="AF206" s="191">
        <f t="array" ref="AF206">SUM(IF((E7:E30=160213)*(D7:D30="Construction")*(G7:G30="Recycled Off Site - Transfer Station, MRF, EfW"),J7:J30,0))</f>
        <v>0</v>
      </c>
      <c r="AG206" s="191">
        <f t="array" ref="AG206">SUM(IF((E7:E30=160213)*(D7:D30="Construction"),R7:R30,0))</f>
        <v>0</v>
      </c>
      <c r="AH206" s="191">
        <f t="array" ref="AH206">SUM(IF((E7:E30=160213)*(D7:D30="Construction"),S7:S30,0))</f>
        <v>0</v>
      </c>
      <c r="AI206" s="192">
        <f t="shared" si="125"/>
        <v>0</v>
      </c>
      <c r="AJ206" s="192">
        <f t="shared" si="126"/>
        <v>0</v>
      </c>
    </row>
    <row r="207" spans="25:36" x14ac:dyDescent="0.25">
      <c r="Y207" s="865" t="s">
        <v>156</v>
      </c>
      <c r="Z207" s="867">
        <v>160210</v>
      </c>
      <c r="AA207" s="235" t="s">
        <v>126</v>
      </c>
      <c r="AB207" s="231" t="s">
        <v>235</v>
      </c>
      <c r="AC207" s="232">
        <f t="array" ref="AC207">SUM(IF((E7:E30=160210)*(D7:D30="Demolition")*(G7:G30="Re Use On Site"),H7:H30,0))</f>
        <v>0</v>
      </c>
      <c r="AD207" s="232">
        <f t="array" ref="AD207">SUM(IF((E7:E30=160210)*(D7:D30="Demolition"),V7:V30,0))</f>
        <v>0</v>
      </c>
      <c r="AE207" s="232">
        <f t="array" ref="AE207">SUM(IF((E7:E30=160210)*(D7:D30="Demolition")*(G7:G30="Recycled On Site"),H7:H30,0))</f>
        <v>0</v>
      </c>
      <c r="AF207" s="232">
        <f t="array" ref="AF207">SUM(IF((E7:E30=160210)*(D7:D30="Demolition")*(G7:G30="Recycled Off Site - Transfer Station, MRF, EfW"),J7:J30,0))</f>
        <v>0</v>
      </c>
      <c r="AG207" s="232">
        <f t="array" ref="AG207">SUM(IF((E7:E30=160210)*(D7:D30="Demolition"),R7:R30,0))</f>
        <v>0</v>
      </c>
      <c r="AH207" s="232">
        <f t="array" ref="AH207">SUM(IF((E7:E30=160210)*(D7:D30="Demolition"),S7:S30,0))</f>
        <v>0</v>
      </c>
      <c r="AI207" s="192">
        <f t="shared" si="125"/>
        <v>0</v>
      </c>
      <c r="AJ207" s="192">
        <f t="shared" si="126"/>
        <v>0</v>
      </c>
    </row>
    <row r="208" spans="25:36" x14ac:dyDescent="0.25">
      <c r="Y208" s="871"/>
      <c r="Z208" s="868"/>
      <c r="AA208" s="235" t="s">
        <v>126</v>
      </c>
      <c r="AB208" s="234" t="s">
        <v>236</v>
      </c>
      <c r="AC208" s="191">
        <f t="array" ref="AC208">SUM(IF((E7:E30=160210)*(D7:D30="Excavation")*(G7:G30="Re Use On Site"),H7:H30,0))</f>
        <v>0</v>
      </c>
      <c r="AD208" s="191">
        <f t="array" ref="AD208">SUM(IF((E7:E30=160210)*(D7:D30="Excavation"),V7:V30,0))</f>
        <v>0</v>
      </c>
      <c r="AE208" s="191">
        <f t="array" ref="AE208">SUM(IF((E7:E30=160210)*(D7:D30="Excavation")*(G7:G30="Recycled On Site"),H7:H30,0))</f>
        <v>0</v>
      </c>
      <c r="AF208" s="191">
        <f t="array" ref="AF208">SUM(IF((E7:E30=160210)*(D7:D30="Excavation")*(G7:G30="Recycled Off Site - Transfer Station, MRF, EfW"),J7:J30,0))</f>
        <v>0</v>
      </c>
      <c r="AG208" s="191">
        <f t="array" ref="AG208">SUM(IF((E7:E30=160210)*(D7:D30="Excavation"),R7:R30,0))</f>
        <v>0</v>
      </c>
      <c r="AH208" s="191">
        <f t="array" ref="AH208">SUM(IF((E7:E30=160210)*(D7:D30="Excavation"),S7:S30,0))</f>
        <v>0</v>
      </c>
      <c r="AI208" s="192">
        <f t="shared" si="125"/>
        <v>0</v>
      </c>
      <c r="AJ208" s="192">
        <f t="shared" si="126"/>
        <v>0</v>
      </c>
    </row>
    <row r="209" spans="25:36" ht="13.8" thickBot="1" x14ac:dyDescent="0.3">
      <c r="Y209" s="874"/>
      <c r="Z209" s="869"/>
      <c r="AA209" s="235" t="s">
        <v>126</v>
      </c>
      <c r="AB209" s="234" t="s">
        <v>237</v>
      </c>
      <c r="AC209" s="191">
        <f t="array" ref="AC209">SUM(IF((E7:E30=160210)*(D7:D30="Construction")*(G7:G30="Re Use On Site"),H7:H30,0))</f>
        <v>0</v>
      </c>
      <c r="AD209" s="191">
        <f t="array" ref="AD209">SUM(IF((E7:E30=160210)*(D7:D30="Construction"),V7:V30,0))</f>
        <v>0</v>
      </c>
      <c r="AE209" s="191">
        <f t="array" ref="AE209">SUM(IF((E7:E30=160210)*(D7:D30="Construction")*(G7:G30="Recycled On Site"),H7:H30,0))</f>
        <v>0</v>
      </c>
      <c r="AF209" s="191">
        <f t="array" ref="AF209">SUM(IF((E7:E30=160210)*(D7:D30="Construction")*(G7:G30="Recycled Off Site - Transfer Station, MRF, EfW"),J7:J30,0))</f>
        <v>0</v>
      </c>
      <c r="AG209" s="191">
        <f t="array" ref="AG209">SUM(IF((E7:E30=160210)*(D7:D30="Construction"),R7:R30,0))</f>
        <v>0</v>
      </c>
      <c r="AH209" s="191">
        <f t="array" ref="AH209">SUM(IF((E7:E30=160210)*(D7:D30="Construction"),S7:S30,0))</f>
        <v>0</v>
      </c>
      <c r="AI209" s="192">
        <f t="shared" si="125"/>
        <v>0</v>
      </c>
      <c r="AJ209" s="192">
        <f t="shared" si="126"/>
        <v>0</v>
      </c>
    </row>
    <row r="210" spans="25:36" x14ac:dyDescent="0.25">
      <c r="Y210" s="865" t="s">
        <v>157</v>
      </c>
      <c r="Z210" s="867">
        <v>200199</v>
      </c>
      <c r="AA210" s="235" t="s">
        <v>123</v>
      </c>
      <c r="AB210" s="231" t="s">
        <v>235</v>
      </c>
      <c r="AC210" s="232">
        <f t="array" ref="AC210">SUM(IF((E7:E30=200199)*(D7:D30="Demolition")*(G7:G30="Re Use On Site"),H7:H30,0))</f>
        <v>0</v>
      </c>
      <c r="AD210" s="232">
        <f t="array" ref="AD210">SUM(IF((E7:E30=200199)*(D7:D30="Demolition"),V7:V30,0))</f>
        <v>0</v>
      </c>
      <c r="AE210" s="232">
        <f t="array" ref="AE210">SUM(IF((E7:E30=200199)*(D7:D30="Demolition")*(G7:G30="Recycled On Site"),H7:H30,0))</f>
        <v>0</v>
      </c>
      <c r="AF210" s="232">
        <f t="array" ref="AF210">SUM(IF((E7:E30=200199)*(D7:D30="Demolition")*(G7:G30="Recycled Off Site - Transfer Station, MRF, EfW"),J7:J30,0))</f>
        <v>0</v>
      </c>
      <c r="AG210" s="232">
        <f t="array" ref="AG210">SUM(IF((E7:E30=200199)*(D7:D30="Demolition"),R7:R30,0))</f>
        <v>0</v>
      </c>
      <c r="AH210" s="232">
        <f t="array" ref="AH210">SUM(IF((E7:E30=200199)*(D7:D30="Demolition"),S7:S30,0))</f>
        <v>0</v>
      </c>
      <c r="AI210" s="192">
        <f t="shared" si="125"/>
        <v>0</v>
      </c>
      <c r="AJ210" s="192">
        <f t="shared" si="126"/>
        <v>0</v>
      </c>
    </row>
    <row r="211" spans="25:36" x14ac:dyDescent="0.25">
      <c r="Y211" s="871"/>
      <c r="Z211" s="868"/>
      <c r="AA211" s="235" t="s">
        <v>123</v>
      </c>
      <c r="AB211" s="234" t="s">
        <v>236</v>
      </c>
      <c r="AC211" s="191">
        <f t="array" ref="AC211">SUM(IF((E7:E30=200199)*(D7:D30="Excavation")*(G7:G30="Re Use On Site"),H7:H30,0))</f>
        <v>0</v>
      </c>
      <c r="AD211" s="191">
        <f t="array" ref="AD211">SUM(IF((E7:E30=200199)*(D7:D30="Excavation"),V7:V30,0))</f>
        <v>0</v>
      </c>
      <c r="AE211" s="191">
        <f t="array" ref="AE211">SUM(IF((E7:E30=200199)*(D7:D30="Excavation")*(G7:G30="Recycled On Site"),H7:H30,0))</f>
        <v>0</v>
      </c>
      <c r="AF211" s="191">
        <f t="array" ref="AF211">SUM(IF((E7:E30=200199)*(D7:D30="Excavation")*(G7:G30="Recycled Off Site - Transfer Station, MRF, EfW"),J7:J30,0))</f>
        <v>0</v>
      </c>
      <c r="AG211" s="191">
        <f t="array" ref="AG211">SUM(IF((E7:E30=200199)*(D7:D30="Excavation"),R7:R30,0))</f>
        <v>0</v>
      </c>
      <c r="AH211" s="191">
        <f t="array" ref="AH211">SUM(IF((E7:E30=200199)*(D7:D30="Excavation"),S7:S30,0))</f>
        <v>0</v>
      </c>
      <c r="AI211" s="192">
        <f t="shared" si="125"/>
        <v>0</v>
      </c>
      <c r="AJ211" s="192">
        <f t="shared" si="126"/>
        <v>0</v>
      </c>
    </row>
    <row r="212" spans="25:36" ht="13.8" thickBot="1" x14ac:dyDescent="0.3">
      <c r="Y212" s="874"/>
      <c r="Z212" s="869"/>
      <c r="AA212" s="235" t="s">
        <v>123</v>
      </c>
      <c r="AB212" s="234" t="s">
        <v>237</v>
      </c>
      <c r="AC212" s="191">
        <f t="array" ref="AC212">SUM(IF((E7:E30=200199)*(D7:D30="Construction")*(G7:G30="Re Use On Site"),H7:H30,0))</f>
        <v>0</v>
      </c>
      <c r="AD212" s="191">
        <f t="array" ref="AD212">SUM(IF((E7:E30=200199)*(D7:D30="Construction"),V7:V30,0))</f>
        <v>0</v>
      </c>
      <c r="AE212" s="191">
        <f t="array" ref="AE212">SUM(IF((E7:E30=200199)*(D7:D30="Construction")*(G7:G30="Recycled On Site"),H7:H30,0))</f>
        <v>0</v>
      </c>
      <c r="AF212" s="191">
        <f t="array" ref="AF212">SUM(IF((E7:E30=200199)*(D7:D30="Construction")*(G7:G30="Recycled Off Site - Transfer Station, MRF, EfW"),J7:J30,0))</f>
        <v>0</v>
      </c>
      <c r="AG212" s="191">
        <f t="array" ref="AG212">SUM(IF((E7:E30=200199)*(D7:D30="Construction"),R7:R30,0))</f>
        <v>0</v>
      </c>
      <c r="AH212" s="191">
        <f t="array" ref="AH212">SUM(IF((E7:E30=200199)*(D7:D30="Construction"),S7:S30,0))</f>
        <v>0</v>
      </c>
      <c r="AI212" s="192">
        <f t="shared" si="125"/>
        <v>0</v>
      </c>
      <c r="AJ212" s="192">
        <f t="shared" si="126"/>
        <v>0</v>
      </c>
    </row>
    <row r="213" spans="25:36" x14ac:dyDescent="0.25">
      <c r="Y213" s="865" t="s">
        <v>158</v>
      </c>
      <c r="Z213" s="867">
        <v>200121</v>
      </c>
      <c r="AA213" s="235" t="s">
        <v>126</v>
      </c>
      <c r="AB213" s="231" t="s">
        <v>235</v>
      </c>
      <c r="AC213" s="232">
        <f t="array" ref="AC213">SUM(IF((E7:E30=200121)*(D7:D30="Demolition")*(G7:G30="Re Use On Site"),H7:H30,0))</f>
        <v>0</v>
      </c>
      <c r="AD213" s="232">
        <f t="array" ref="AD213">SUM(IF((E7:E30=200121)*(D7:D30="Demolition"),V7:V30,0))</f>
        <v>0</v>
      </c>
      <c r="AE213" s="232">
        <f t="array" ref="AE213">SUM(IF((E7:E30=200121)*(D7:D30="Demolition")*(G7:G30="Recycled On Site"),H7:H30,0))</f>
        <v>0</v>
      </c>
      <c r="AF213" s="232">
        <f t="array" ref="AF213">SUM(IF((E7:E30=200121)*(D7:D30="Demolition")*(G7:G30="Recycled Off Site - Transfer Station, MRF, EfW"),J7:J30,0))</f>
        <v>0</v>
      </c>
      <c r="AG213" s="232">
        <f t="array" ref="AG213">SUM(IF((E7:E30=200121)*(D7:D30="Demolition"),R7:R30,0))</f>
        <v>0</v>
      </c>
      <c r="AH213" s="232">
        <f t="array" ref="AH213">SUM(IF((E7:E30=200121)*(D7:D30="Demolition"),S7:S30,0))</f>
        <v>0</v>
      </c>
      <c r="AI213" s="192">
        <f t="shared" si="125"/>
        <v>0</v>
      </c>
      <c r="AJ213" s="192">
        <f t="shared" si="126"/>
        <v>0</v>
      </c>
    </row>
    <row r="214" spans="25:36" x14ac:dyDescent="0.25">
      <c r="Y214" s="871"/>
      <c r="Z214" s="868"/>
      <c r="AA214" s="235" t="s">
        <v>126</v>
      </c>
      <c r="AB214" s="234" t="s">
        <v>236</v>
      </c>
      <c r="AC214" s="191">
        <f t="array" ref="AC214">SUM(IF((E7:E30=200121)*(D7:D30="Excavation")*(G7:G30="Re Use On Site"),H7:H30,0))</f>
        <v>0</v>
      </c>
      <c r="AD214" s="191">
        <f t="array" ref="AD214">SUM(IF((E7:E30=200121)*(D7:D30="Excavation"),V7:V30,0))</f>
        <v>0</v>
      </c>
      <c r="AE214" s="191">
        <f t="array" ref="AE214">SUM(IF((E7:E30=200121)*(D7:D30="Excavation")*(G7:G30="Recycled On Site"),H7:H30,0))</f>
        <v>0</v>
      </c>
      <c r="AF214" s="191">
        <f t="array" ref="AF214">SUM(IF((E7:E30=200121)*(D7:D30="Excavation")*(G7:G30="Recycled Off Site - Transfer Station, MRF, EfW"),J7:J30,0))</f>
        <v>0</v>
      </c>
      <c r="AG214" s="191">
        <f t="array" ref="AG214">SUM(IF((E7:E30=200121)*(D7:D30="Excavation"),R7:R30,0))</f>
        <v>0</v>
      </c>
      <c r="AH214" s="191">
        <f t="array" ref="AH214">SUM(IF((E7:E30=200121)*(D7:D30="Excavation"),S7:S30,0))</f>
        <v>0</v>
      </c>
      <c r="AI214" s="192">
        <f t="shared" si="125"/>
        <v>0</v>
      </c>
      <c r="AJ214" s="192">
        <f t="shared" si="126"/>
        <v>0</v>
      </c>
    </row>
    <row r="215" spans="25:36" ht="13.8" thickBot="1" x14ac:dyDescent="0.3">
      <c r="Y215" s="874"/>
      <c r="Z215" s="869"/>
      <c r="AA215" s="235" t="s">
        <v>126</v>
      </c>
      <c r="AB215" s="234" t="s">
        <v>237</v>
      </c>
      <c r="AC215" s="191">
        <f t="array" ref="AC215">SUM(IF((E7:E30=200121)*(D7:D30="Construction")*(G7:G30="Re Use On Site"),H7:H30,0))</f>
        <v>0</v>
      </c>
      <c r="AD215" s="191">
        <f t="array" ref="AD215">SUM(IF((E7:E30=200121)*(D7:D30="Construction"),V7:V30,0))</f>
        <v>0</v>
      </c>
      <c r="AE215" s="191">
        <f t="array" ref="AE215">SUM(IF((E7:E30=200121)*(D7:D30="Construction")*(G7:G30="Recycled On Site"),H7:H30,0))</f>
        <v>0</v>
      </c>
      <c r="AF215" s="191">
        <f t="array" ref="AF215">SUM(IF((E7:E30=200121)*(D7:D30="Construction")*(G7:G30="Recycled Off Site - Transfer Station, MRF, EfW"),J7:J30,0))</f>
        <v>0</v>
      </c>
      <c r="AG215" s="191">
        <f t="array" ref="AG215">SUM(IF((E7:E30=200121)*(D7:D30="Construction"),R7:R30,0))</f>
        <v>0</v>
      </c>
      <c r="AH215" s="191">
        <f t="array" ref="AH215">SUM(IF((E7:E30=200121)*(D7:D30="Construction"),S7:S30,0))</f>
        <v>0</v>
      </c>
      <c r="AI215" s="192">
        <f t="shared" si="125"/>
        <v>0</v>
      </c>
      <c r="AJ215" s="192">
        <f t="shared" si="126"/>
        <v>0</v>
      </c>
    </row>
    <row r="216" spans="25:36" x14ac:dyDescent="0.25">
      <c r="Y216" s="865" t="s">
        <v>159</v>
      </c>
      <c r="Z216" s="867">
        <v>200123</v>
      </c>
      <c r="AA216" s="235" t="s">
        <v>126</v>
      </c>
      <c r="AB216" s="231" t="s">
        <v>235</v>
      </c>
      <c r="AC216" s="232">
        <f t="array" ref="AC216">SUM(IF((E7:E30=200123)*(D7:D30="Demolition")*(G7:G30="Re Use On Site"),H7:H30,0))</f>
        <v>0</v>
      </c>
      <c r="AD216" s="232">
        <f t="array" ref="AD216">SUM(IF((E7:E30=200123)*(D7:D30="Demolition"),V7:V30,0))</f>
        <v>0</v>
      </c>
      <c r="AE216" s="232">
        <f t="array" ref="AE216">SUM(IF((E7:E30=200123)*(D7:D30="Demolition")*(G7:G30="Recycled On Site"),H7:H30,0))</f>
        <v>0</v>
      </c>
      <c r="AF216" s="232">
        <f t="array" ref="AF216">SUM(IF((E7:E30=200123)*(D7:D30="Demolition")*(G7:G30="Recycled Off Site - Transfer Station, MRF, EfW"),J7:J30,0))</f>
        <v>0</v>
      </c>
      <c r="AG216" s="232">
        <f t="array" ref="AG216">SUM(IF((E7:E30=200123)*(D7:D30="Demolition"),R7:R30,0))</f>
        <v>0</v>
      </c>
      <c r="AH216" s="232">
        <f t="array" ref="AH216">SUM(IF((E7:E30=200123)*(D7:D30="Demolition"),S7:S30,0))</f>
        <v>0</v>
      </c>
      <c r="AI216" s="192">
        <f t="shared" si="125"/>
        <v>0</v>
      </c>
      <c r="AJ216" s="192">
        <f t="shared" si="126"/>
        <v>0</v>
      </c>
    </row>
    <row r="217" spans="25:36" x14ac:dyDescent="0.25">
      <c r="Y217" s="871"/>
      <c r="Z217" s="868"/>
      <c r="AA217" s="235" t="s">
        <v>126</v>
      </c>
      <c r="AB217" s="234" t="s">
        <v>236</v>
      </c>
      <c r="AC217" s="191">
        <f t="array" ref="AC217">SUM(IF((E7:E30=200123)*(D7:D30="Excavation")*(G7:G30="Re Use On Site"),H7:H30,0))</f>
        <v>0</v>
      </c>
      <c r="AD217" s="191">
        <f t="array" ref="AD217">SUM(IF((E7:E30=200123)*(D7:D30="Excavation"),V7:V30,0))</f>
        <v>0</v>
      </c>
      <c r="AE217" s="191">
        <f t="array" ref="AE217">SUM(IF((E7:E30=200123)*(D7:D30="Excavation")*(G7:G30="Recycled On Site"),H7:H30,0))</f>
        <v>0</v>
      </c>
      <c r="AF217" s="191">
        <f t="array" ref="AF217">SUM(IF((E7:E30=200123)*(D7:D30="Excavation")*(G7:G30="Recycled Off Site - Transfer Station, MRF, EfW"),J7:J30,0))</f>
        <v>0</v>
      </c>
      <c r="AG217" s="191">
        <f t="array" ref="AG217">SUM(IF((E7:E30=200123)*(D7:D30="Excavation"),R7:R30,0))</f>
        <v>0</v>
      </c>
      <c r="AH217" s="191">
        <f t="array" ref="AH217">SUM(IF((E7:E30=200123)*(D7:D30="Excavation"),S7:S30,0))</f>
        <v>0</v>
      </c>
      <c r="AI217" s="192">
        <f t="shared" si="125"/>
        <v>0</v>
      </c>
      <c r="AJ217" s="192">
        <f t="shared" si="126"/>
        <v>0</v>
      </c>
    </row>
    <row r="218" spans="25:36" ht="13.8" thickBot="1" x14ac:dyDescent="0.3">
      <c r="Y218" s="874"/>
      <c r="Z218" s="869"/>
      <c r="AA218" s="235" t="s">
        <v>126</v>
      </c>
      <c r="AB218" s="234" t="s">
        <v>237</v>
      </c>
      <c r="AC218" s="191">
        <f t="array" ref="AC218">SUM(IF((E7:E30=200123)*(D7:D30="Construction")*(G7:G30="Re Use On Site"),H7:H30,0))</f>
        <v>0</v>
      </c>
      <c r="AD218" s="191">
        <f t="array" ref="AD218">SUM(IF((E7:E30=200123)*(D7:D30="Construction"),V7:V30,0))</f>
        <v>0</v>
      </c>
      <c r="AE218" s="191">
        <f t="array" ref="AE218">SUM(IF((E7:E30=200123)*(D7:D30="Construction")*(G7:G30="Recycled On Site"),H7:H30,0))</f>
        <v>0</v>
      </c>
      <c r="AF218" s="191">
        <f t="array" ref="AF218">SUM(IF((E7:E30=200123)*(D7:D30="Construction")*(G7:G30="Recycled Off Site - Transfer Station, MRF, EfW"),J7:J30,0))</f>
        <v>0</v>
      </c>
      <c r="AG218" s="191">
        <f t="array" ref="AG218">SUM(IF((E7:E30=200123)*(D7:D30="Construction"),R7:R30,0))</f>
        <v>0</v>
      </c>
      <c r="AH218" s="191">
        <f t="array" ref="AH218">SUM(IF((E7:E30=200123)*(D7:D30="Construction"),S7:S30,0))</f>
        <v>0</v>
      </c>
      <c r="AI218" s="192">
        <f t="shared" si="125"/>
        <v>0</v>
      </c>
      <c r="AJ218" s="192">
        <f t="shared" si="126"/>
        <v>0</v>
      </c>
    </row>
    <row r="219" spans="25:36" x14ac:dyDescent="0.25">
      <c r="Y219" s="865" t="s">
        <v>160</v>
      </c>
      <c r="Z219" s="867">
        <v>130703</v>
      </c>
      <c r="AA219" s="235" t="s">
        <v>126</v>
      </c>
      <c r="AB219" s="231" t="s">
        <v>235</v>
      </c>
      <c r="AC219" s="232">
        <f t="array" ref="AC219">SUM(IF((E7:E30=130703)*(D7:D30="Demolition")*(G7:G30="Re Use On Site"),H7:H30,0))</f>
        <v>0</v>
      </c>
      <c r="AD219" s="232">
        <f t="array" ref="AD219">SUM(IF((E7:E30=130703)*(D7:D30="Demolition"),V7:V30,0))</f>
        <v>0</v>
      </c>
      <c r="AE219" s="232">
        <f t="array" ref="AE219">SUM(IF((E7:E30=130703)*(D7:D30="Demolition")*(G7:G30="Recycled On Site"),H7:H30,0))</f>
        <v>0</v>
      </c>
      <c r="AF219" s="232">
        <f t="array" ref="AF219">SUM(IF((E7:E30=130703)*(D7:D30="Demolition")*(G7:G30="Recycled Off Site - Transfer Station, MRF, EfW"),J7:J30,0))</f>
        <v>0</v>
      </c>
      <c r="AG219" s="232">
        <f t="array" ref="AG219">SUM(IF((E7:E30=130703)*(D7:D30="Demolition"),R7:R30,0))</f>
        <v>0</v>
      </c>
      <c r="AH219" s="232">
        <f t="array" ref="AH219">SUM(IF((E7:E30=130703)*(D7:D30="Demolition"),S7:S30,0))</f>
        <v>0</v>
      </c>
      <c r="AI219" s="192">
        <f t="shared" si="125"/>
        <v>0</v>
      </c>
      <c r="AJ219" s="192">
        <f t="shared" si="126"/>
        <v>0</v>
      </c>
    </row>
    <row r="220" spans="25:36" x14ac:dyDescent="0.25">
      <c r="Y220" s="871"/>
      <c r="Z220" s="868"/>
      <c r="AA220" s="235" t="s">
        <v>126</v>
      </c>
      <c r="AB220" s="234" t="s">
        <v>236</v>
      </c>
      <c r="AC220" s="191">
        <f t="array" ref="AC220">SUM(IF((E7:E30=130703)*(D7:D30="Excavation")*(G7:G30="Re Use On Site"),H7:H30,0))</f>
        <v>0</v>
      </c>
      <c r="AD220" s="191">
        <f t="array" ref="AD220">SUM(IF((E7:E30=130703)*(D7:D30="Excavation"),V7:V30,0))</f>
        <v>0</v>
      </c>
      <c r="AE220" s="191">
        <f t="array" ref="AE220">SUM(IF((E7:E30=130703)*(D7:D30="Excavation")*(G7:G30="Recycled On Site"),H7:H30,0))</f>
        <v>0</v>
      </c>
      <c r="AF220" s="191">
        <f t="array" ref="AF220">SUM(IF((E7:E30=130703)*(D7:D30="Excavation")*(G7:G30="Recycled Off Site - Transfer Station, MRF, EfW"),J7:J30,0))</f>
        <v>0</v>
      </c>
      <c r="AG220" s="191">
        <f t="array" ref="AG220">SUM(IF((E7:E30=130703)*(D7:D30="Excavation"),R7:R30,0))</f>
        <v>0</v>
      </c>
      <c r="AH220" s="191">
        <f t="array" ref="AH220">SUM(IF((E7:E30=130703)*(D7:D30="Excavation"),S7:S30,0))</f>
        <v>0</v>
      </c>
      <c r="AI220" s="192">
        <f t="shared" si="125"/>
        <v>0</v>
      </c>
      <c r="AJ220" s="192">
        <f t="shared" si="126"/>
        <v>0</v>
      </c>
    </row>
    <row r="221" spans="25:36" ht="13.8" thickBot="1" x14ac:dyDescent="0.3">
      <c r="Y221" s="874"/>
      <c r="Z221" s="869"/>
      <c r="AA221" s="235" t="s">
        <v>126</v>
      </c>
      <c r="AB221" s="234" t="s">
        <v>237</v>
      </c>
      <c r="AC221" s="191">
        <f t="array" ref="AC221">SUM(IF((E7:E30=130703)*(D7:D30="Construction")*(G7:G30="Re Use On Site"),H7:H30,0))</f>
        <v>0</v>
      </c>
      <c r="AD221" s="191">
        <f t="array" ref="AD221">SUM(IF((E7:E30=130703)*(D7:D30="Construction"),V7:V30,0))</f>
        <v>0</v>
      </c>
      <c r="AE221" s="191">
        <f t="array" ref="AE221">SUM(IF((E7:E30=130703)*(D7:D30="Construction")*(G7:G30="Recycled On Site"),H7:H30,0))</f>
        <v>0</v>
      </c>
      <c r="AF221" s="191">
        <f t="array" ref="AF221">SUM(IF((E7:E30=130703)*(D7:D30="Construction")*(G7:G30="Recycled Off Site - Transfer Station, MRF, EfW"),J7:J30,0))</f>
        <v>0</v>
      </c>
      <c r="AG221" s="191">
        <f t="array" ref="AG221">SUM(IF((E7:E30=130703)*(D7:D30="Construction"),R7:R30,0))</f>
        <v>0</v>
      </c>
      <c r="AH221" s="191">
        <f t="array" ref="AH221">SUM(IF((E7:E30=130703)*(D7:D30="Construction"),S7:S30,0))</f>
        <v>0</v>
      </c>
      <c r="AI221" s="192">
        <f t="shared" si="125"/>
        <v>0</v>
      </c>
      <c r="AJ221" s="192">
        <f t="shared" si="126"/>
        <v>0</v>
      </c>
    </row>
    <row r="222" spans="25:36" x14ac:dyDescent="0.25">
      <c r="Y222" s="865" t="s">
        <v>161</v>
      </c>
      <c r="Z222" s="867">
        <v>130702</v>
      </c>
      <c r="AA222" s="235" t="s">
        <v>126</v>
      </c>
      <c r="AB222" s="231" t="s">
        <v>235</v>
      </c>
      <c r="AC222" s="232">
        <f t="array" ref="AC222">SUM(IF((E7:E30=130702)*(D7:D30="Demolition")*(G7:G30="Re Use On Site"),H7:H30,0))</f>
        <v>0</v>
      </c>
      <c r="AD222" s="232">
        <f t="array" ref="AD222">SUM(IF((E7:E30=130702)*(D7:D30="Demolition"),V7:V30,0))</f>
        <v>0</v>
      </c>
      <c r="AE222" s="232">
        <f t="array" ref="AE222">SUM(IF((E7:E30=130702)*(D7:D30="Demolition")*(G7:G30="Recycled On Site"),H7:H30,0))</f>
        <v>0</v>
      </c>
      <c r="AF222" s="232">
        <f t="array" ref="AF222">SUM(IF((E7:E30=130702)*(D7:D30="Demolition")*(G7:G30="Recycled Off Site - Transfer Station, MRF, EfW"),J7:J30,0))</f>
        <v>0</v>
      </c>
      <c r="AG222" s="232">
        <f t="array" ref="AG222">SUM(IF((E7:E30=130702)*(D7:D30="Demolition"),R7:R30,0))</f>
        <v>0</v>
      </c>
      <c r="AH222" s="232">
        <f t="array" ref="AH222">SUM(IF((E7:E30=130702)*(D7:D30="Demolition"),S7:S30,0))</f>
        <v>0</v>
      </c>
      <c r="AI222" s="192">
        <f t="shared" si="125"/>
        <v>0</v>
      </c>
      <c r="AJ222" s="192">
        <f t="shared" si="126"/>
        <v>0</v>
      </c>
    </row>
    <row r="223" spans="25:36" x14ac:dyDescent="0.25">
      <c r="Y223" s="871"/>
      <c r="Z223" s="868"/>
      <c r="AA223" s="235" t="s">
        <v>126</v>
      </c>
      <c r="AB223" s="234" t="s">
        <v>236</v>
      </c>
      <c r="AC223" s="191">
        <f t="array" ref="AC223">SUM(IF((E7:E30=130702)*(D7:D30="Excavation")*(G7:G30="Re Use On Site"),H7:H30,0))</f>
        <v>0</v>
      </c>
      <c r="AD223" s="191">
        <f t="array" ref="AD223">SUM(IF((E7:E30=130702)*(D7:D30="Excavation"),V7:V30,0))</f>
        <v>0</v>
      </c>
      <c r="AE223" s="191">
        <f t="array" ref="AE223">SUM(IF((E7:E30=130702)*(D7:D30="Excavation")*(G7:G30="Recycled On Site"),H7:H30,0))</f>
        <v>0</v>
      </c>
      <c r="AF223" s="191">
        <f t="array" ref="AF223">SUM(IF((E7:E30=130702)*(D7:D30="Excavation")*(G7:G30="Recycled Off Site - Transfer Station, MRF, EfW"),J7:J30,0))</f>
        <v>0</v>
      </c>
      <c r="AG223" s="191">
        <f t="array" ref="AG223">SUM(IF((E7:E30=130702)*(D7:D30="Excavation"),R7:R30,0))</f>
        <v>0</v>
      </c>
      <c r="AH223" s="191">
        <f t="array" ref="AH223">SUM(IF((E7:E30=130702)*(D7:D30="Excavation"),S7:S30,0))</f>
        <v>0</v>
      </c>
      <c r="AI223" s="192">
        <f t="shared" si="125"/>
        <v>0</v>
      </c>
      <c r="AJ223" s="192">
        <f t="shared" si="126"/>
        <v>0</v>
      </c>
    </row>
    <row r="224" spans="25:36" ht="13.8" thickBot="1" x14ac:dyDescent="0.3">
      <c r="Y224" s="874"/>
      <c r="Z224" s="869"/>
      <c r="AA224" s="235" t="s">
        <v>126</v>
      </c>
      <c r="AB224" s="234" t="s">
        <v>237</v>
      </c>
      <c r="AC224" s="191">
        <f t="array" ref="AC224">SUM(IF((E7:E30=130702)*(D7:D30="Construction")*(G7:G30="Re Use On Site"),H7:H30,0))</f>
        <v>0</v>
      </c>
      <c r="AD224" s="191">
        <f t="array" ref="AD224">SUM(IF((E7:E30=130702)*(D7:D30="Construction"),V7:V30,0))</f>
        <v>0</v>
      </c>
      <c r="AE224" s="191">
        <f t="array" ref="AE224">SUM(IF((E7:E30=130702)*(D7:D30="Construction")*(G7:G30="Recycled On Site"),H7:H30,0))</f>
        <v>0</v>
      </c>
      <c r="AF224" s="191">
        <f t="array" ref="AF224">SUM(IF((E7:E30=130702)*(D7:D30="Construction")*(G7:G30="Recycled Off Site - Transfer Station, MRF, EfW"),J7:J30,0))</f>
        <v>0</v>
      </c>
      <c r="AG224" s="191">
        <f t="array" ref="AG224">SUM(IF((E7:E30=130702)*(D7:D30="Construction"),R7:R30,0))</f>
        <v>0</v>
      </c>
      <c r="AH224" s="191">
        <f t="array" ref="AH224">SUM(IF((E7:E30=130702)*(D7:D30="Construction"),S7:S30,0))</f>
        <v>0</v>
      </c>
      <c r="AI224" s="192">
        <f t="shared" si="125"/>
        <v>0</v>
      </c>
      <c r="AJ224" s="192">
        <f t="shared" si="126"/>
        <v>0</v>
      </c>
    </row>
    <row r="225" spans="25:36" x14ac:dyDescent="0.25">
      <c r="Y225" s="865" t="s">
        <v>162</v>
      </c>
      <c r="Z225" s="867">
        <v>130701</v>
      </c>
      <c r="AA225" s="235" t="s">
        <v>126</v>
      </c>
      <c r="AB225" s="231" t="s">
        <v>235</v>
      </c>
      <c r="AC225" s="232">
        <f t="array" ref="AC225">SUM(IF((E7:E30=130701)*(D7:D30="Demolition")*(G7:G30="Re Use On Site"),H7:H30,0))</f>
        <v>0</v>
      </c>
      <c r="AD225" s="232">
        <f t="array" ref="AD225">SUM(IF((E7:E30=130701)*(D7:D30="Demolition"),V7:V30,0))</f>
        <v>0</v>
      </c>
      <c r="AE225" s="232">
        <f t="array" ref="AE225">SUM(IF((E7:E30=130701)*(D7:D30="Demolition")*(G7:G30="Recycled On Site"),H7:H30,0))</f>
        <v>0</v>
      </c>
      <c r="AF225" s="232">
        <f t="array" ref="AF225">SUM(IF((E7:E30=130701)*(D7:D30="Demolition")*(G7:G30="Recycled Off Site - Transfer Station, MRF, EfW"),J7:J30,0))</f>
        <v>0</v>
      </c>
      <c r="AG225" s="232">
        <f t="array" ref="AG225">SUM(IF((E7:E30=130701)*(D7:D30="Demolition"),R7:R30,0))</f>
        <v>0</v>
      </c>
      <c r="AH225" s="232">
        <f t="array" ref="AH225">SUM(IF((E7:E30=130701)*(D7:D30="Demolition"),S7:S30,0))</f>
        <v>0</v>
      </c>
      <c r="AI225" s="192">
        <f t="shared" si="125"/>
        <v>0</v>
      </c>
      <c r="AJ225" s="192">
        <f t="shared" si="126"/>
        <v>0</v>
      </c>
    </row>
    <row r="226" spans="25:36" x14ac:dyDescent="0.25">
      <c r="Y226" s="871"/>
      <c r="Z226" s="868"/>
      <c r="AA226" s="235" t="s">
        <v>126</v>
      </c>
      <c r="AB226" s="234" t="s">
        <v>236</v>
      </c>
      <c r="AC226" s="191">
        <f t="array" ref="AC226">SUM(IF((E7:E30=130701)*(D7:D30="Excavation")*(G7:G30="Re Use On Site"),H7:H30,0))</f>
        <v>0</v>
      </c>
      <c r="AD226" s="191">
        <f t="array" ref="AD226">SUM(IF((E7:E30=130701)*(D7:D30="Excavation"),V7:V30,0))</f>
        <v>0</v>
      </c>
      <c r="AE226" s="191">
        <f t="array" ref="AE226">SUM(IF((E7:E30=130701)*(D7:D30="Excavation")*(G7:G30="Recycled On Site"),H7:H30,0))</f>
        <v>0</v>
      </c>
      <c r="AF226" s="191">
        <f t="array" ref="AF226">SUM(IF((E7:E30=130701)*(D7:D30="Excavation")*(G7:G30="Recycled Off Site - Transfer Station, MRF, EfW"),J7:J30,0))</f>
        <v>0</v>
      </c>
      <c r="AG226" s="191">
        <f t="array" ref="AG226">SUM(IF((E7:E30=130701)*(D7:D30="Excavation"),R7:R30,0))</f>
        <v>0</v>
      </c>
      <c r="AH226" s="191">
        <f t="array" ref="AH226">SUM(IF((E7:E30=130701)*(D7:D30="Excavation"),S7:S30,0))</f>
        <v>0</v>
      </c>
      <c r="AI226" s="192">
        <f t="shared" si="125"/>
        <v>0</v>
      </c>
      <c r="AJ226" s="192">
        <f t="shared" si="126"/>
        <v>0</v>
      </c>
    </row>
    <row r="227" spans="25:36" ht="13.8" thickBot="1" x14ac:dyDescent="0.3">
      <c r="Y227" s="874"/>
      <c r="Z227" s="869"/>
      <c r="AA227" s="235" t="s">
        <v>126</v>
      </c>
      <c r="AB227" s="234" t="s">
        <v>237</v>
      </c>
      <c r="AC227" s="191">
        <f t="array" ref="AC227">SUM(IF((E7:E30=130701)*(D7:D30="Construction")*(G7:G30="Re Use On Site"),H7:H30,0))</f>
        <v>0</v>
      </c>
      <c r="AD227" s="191">
        <f t="array" ref="AD227">SUM(IF((E7:E30=130701)*(D7:D30="Construction"),V7:V30,0))</f>
        <v>0</v>
      </c>
      <c r="AE227" s="191">
        <f t="array" ref="AE227">SUM(IF((E7:E30=130701)*(D7:D30="Construction")*(G7:G30="Recycled On Site"),H7:H30,0))</f>
        <v>0</v>
      </c>
      <c r="AF227" s="191">
        <f t="array" ref="AF227">SUM(IF((E7:E30=130701)*(D7:D30="Construction")*(G7:G30="Recycled Off Site - Transfer Station, MRF, EfW"),J7:J30,0))</f>
        <v>0</v>
      </c>
      <c r="AG227" s="191">
        <f t="array" ref="AG227">SUM(IF((E7:E30=130701)*(D7:D30="Construction"),R7:R30,0))</f>
        <v>0</v>
      </c>
      <c r="AH227" s="191">
        <f t="array" ref="AH227">SUM(IF((E7:E30=130701)*(D7:D30="Construction"),S7:S30,0))</f>
        <v>0</v>
      </c>
      <c r="AI227" s="192">
        <f t="shared" si="125"/>
        <v>0</v>
      </c>
      <c r="AJ227" s="192">
        <f t="shared" si="126"/>
        <v>0</v>
      </c>
    </row>
    <row r="228" spans="25:36" x14ac:dyDescent="0.25">
      <c r="Y228" s="865" t="s">
        <v>163</v>
      </c>
      <c r="Z228" s="867">
        <v>170202</v>
      </c>
      <c r="AA228" s="235" t="s">
        <v>141</v>
      </c>
      <c r="AB228" s="231" t="s">
        <v>235</v>
      </c>
      <c r="AC228" s="232">
        <f t="array" ref="AC228">SUM(IF((E7:E30=170202)*(D7:D30="Demolition")*(G7:G30="Re Use On Site"),H7:H30,0))</f>
        <v>0</v>
      </c>
      <c r="AD228" s="232">
        <f t="array" ref="AD228">SUM(IF((E7:E30=170202)*(D7:D30="Demolition")*(G7:G30="Re Use Off Site"),V7:V30,0))</f>
        <v>0</v>
      </c>
      <c r="AE228" s="232">
        <f t="array" ref="AE228">SUM(IF((E7:E30=170202)*(D7:D30="Demolition")*(G7:G30="Recycled On Site"),H7:H30,0))</f>
        <v>0</v>
      </c>
      <c r="AF228" s="232">
        <f t="array" ref="AF228">SUM(IF((E7:E30=170202)*(D7:D30="Demolition")*(G7:G30="Recycled Off Site - Transfer Station, MRF, EfW"),J7:J30,0))</f>
        <v>0</v>
      </c>
      <c r="AG228" s="232">
        <f t="array" ref="AG228">SUM(IF((E7:E30=170202)*(D7:D30="Demolition")*(P7:P30="Re Use Off Site"),R7:R30,0))</f>
        <v>0</v>
      </c>
      <c r="AH228" s="232">
        <f t="array" ref="AH228">SUM(IF((E7:E30=170202)*(D7:D30="Demolition"),S7:S30,0))</f>
        <v>0</v>
      </c>
      <c r="AI228" s="192">
        <f t="shared" si="125"/>
        <v>0</v>
      </c>
      <c r="AJ228" s="192">
        <f t="shared" si="126"/>
        <v>0</v>
      </c>
    </row>
    <row r="229" spans="25:36" x14ac:dyDescent="0.25">
      <c r="Y229" s="871"/>
      <c r="Z229" s="868"/>
      <c r="AA229" s="235" t="s">
        <v>141</v>
      </c>
      <c r="AB229" s="234" t="s">
        <v>236</v>
      </c>
      <c r="AC229" s="191">
        <f t="array" ref="AC229">SUM(IF((E7:E30=170202)*(D7:D30="Excavation")*(G7:G30="Re Use On Site"),H7:H30,0))</f>
        <v>0</v>
      </c>
      <c r="AD229" s="191">
        <f t="array" ref="AD229">SUM(IF((E7:E30=170202)*(D7:D30="Excavation"),V7:V30,0))</f>
        <v>0</v>
      </c>
      <c r="AE229" s="191">
        <f t="array" ref="AE229">SUM(IF((E7:E30=170202)*(D7:D30="Excavation")*(G7:G30="Recycled On Site"),H7:H30,0))</f>
        <v>0</v>
      </c>
      <c r="AF229" s="191">
        <f t="array" ref="AF229">SUM(IF((E7:E30=170202)*(D7:D30="Excavation")*(G7:G30="Recycled Off Site - Transfer Station, MRF, EfW"),J7:J30,0))</f>
        <v>0</v>
      </c>
      <c r="AG229" s="191">
        <f t="array" ref="AG229">SUM(IF((E7:E30=170202)*(D7:D30="Excavation"),R7:R30,0))</f>
        <v>0</v>
      </c>
      <c r="AH229" s="191">
        <f t="array" ref="AH229">SUM(IF((E7:E30=170202)*(D7:D30="Excavation"),S7:S30,0))</f>
        <v>0</v>
      </c>
      <c r="AI229" s="192">
        <f t="shared" si="125"/>
        <v>0</v>
      </c>
      <c r="AJ229" s="192">
        <f t="shared" si="126"/>
        <v>0</v>
      </c>
    </row>
    <row r="230" spans="25:36" ht="13.8" thickBot="1" x14ac:dyDescent="0.3">
      <c r="Y230" s="874"/>
      <c r="Z230" s="869"/>
      <c r="AA230" s="235" t="s">
        <v>141</v>
      </c>
      <c r="AB230" s="234" t="s">
        <v>237</v>
      </c>
      <c r="AC230" s="191">
        <f t="array" ref="AC230">SUM(IF((E7:E30=170202)*(D7:D30="Construction")*(G7:G30="Re Use On Site"),H7:H30,0))</f>
        <v>0</v>
      </c>
      <c r="AD230" s="191">
        <f t="array" ref="AD230">SUM(IF((E7:E30=170202)*(D7:D30="Construction"),V7:V30,0))</f>
        <v>0</v>
      </c>
      <c r="AE230" s="191">
        <f t="array" ref="AE230">SUM(IF((E7:E30=170202)*(D7:D30="Construction")*(G7:G30="Recycled On Site"),H7:H30,0))</f>
        <v>0</v>
      </c>
      <c r="AF230" s="191">
        <f t="array" ref="AF230">SUM(IF((E7:E30=170202)*(D7:D30="Construction")*(G7:G30="Recycled Off Site - Transfer Station, MRF, EfW"),J7:J30,0))</f>
        <v>0</v>
      </c>
      <c r="AG230" s="191">
        <f t="array" ref="AG230">SUM(IF((E7:E30=170202)*(D7:D30="Construction"),R7:R30,0))</f>
        <v>0</v>
      </c>
      <c r="AH230" s="191">
        <f t="array" ref="AH230">SUM(IF((E7:E30=170202)*(D7:D30="Construction"),S7:S30,0))</f>
        <v>0</v>
      </c>
      <c r="AI230" s="192">
        <f t="shared" si="125"/>
        <v>0</v>
      </c>
      <c r="AJ230" s="192">
        <f t="shared" si="126"/>
        <v>0</v>
      </c>
    </row>
    <row r="231" spans="25:36" x14ac:dyDescent="0.25">
      <c r="Y231" s="865" t="s">
        <v>164</v>
      </c>
      <c r="Z231" s="867">
        <v>170204</v>
      </c>
      <c r="AA231" s="235" t="s">
        <v>126</v>
      </c>
      <c r="AB231" s="231" t="s">
        <v>235</v>
      </c>
      <c r="AC231" s="232">
        <f t="array" ref="AC231">SUM(IF((E7:E30=170204)*(D7:D30="Demolition")*(G7:G30="Re Use On Site"),H7:H30,0))</f>
        <v>0</v>
      </c>
      <c r="AD231" s="232">
        <f t="array" ref="AD231">SUM(IF((E7:E30=170204)*(D7:D30="Demolition"),V7:V30,0))</f>
        <v>0</v>
      </c>
      <c r="AE231" s="232">
        <f t="array" ref="AE231">SUM(IF((E7:E30=170204)*(D7:D30="Demolition")*(G7:G30="Recycled On Site"),H7:H30,0))</f>
        <v>0</v>
      </c>
      <c r="AF231" s="232">
        <f t="array" ref="AF231">SUM(IF((E7:E30=170204)*(D7:D30="Demolition")*(G7:G30="Recycled Off Site - Transfer Station, MRF, EfW"),J7:J30,0))</f>
        <v>0</v>
      </c>
      <c r="AG231" s="232">
        <f t="array" ref="AG231">SUM(IF((E7:E30=170204)*(D7:D30="Demolition"),R7:R30,0))</f>
        <v>0</v>
      </c>
      <c r="AH231" s="232">
        <f t="array" ref="AH231">SUM(IF((E7:E30=170204)*(D7:D30="Demolition"),S7:S30,0))</f>
        <v>0</v>
      </c>
      <c r="AI231" s="192">
        <f t="shared" si="125"/>
        <v>0</v>
      </c>
      <c r="AJ231" s="192">
        <f t="shared" si="126"/>
        <v>0</v>
      </c>
    </row>
    <row r="232" spans="25:36" ht="13.5" customHeight="1" x14ac:dyDescent="0.25">
      <c r="Y232" s="871"/>
      <c r="Z232" s="868"/>
      <c r="AA232" s="235" t="s">
        <v>126</v>
      </c>
      <c r="AB232" s="234" t="s">
        <v>236</v>
      </c>
      <c r="AC232" s="191">
        <f t="array" ref="AC232">SUM(IF((E7:E30=170204)*(D7:D30="Excavation")*(G7:G30="Re Use On Site"),H7:H30,0))</f>
        <v>0</v>
      </c>
      <c r="AD232" s="191">
        <f t="array" ref="AD232">SUM(IF((E7:E30=170204)*(D7:D30="Excavation"),V7:V30,0))</f>
        <v>0</v>
      </c>
      <c r="AE232" s="191">
        <f t="array" ref="AE232">SUM(IF((E7:E30=170204)*(D7:D30="Excavation")*(G7:G30="Recycled On Site"),H7:H30,0))</f>
        <v>0</v>
      </c>
      <c r="AF232" s="191">
        <f t="array" ref="AF232">SUM(IF((E7:E30=170204)*(D7:D30="Excavation")*(G7:G30="Recycled Off Site - Transfer Station, MRF, EfW"),J7:J30,0))</f>
        <v>0</v>
      </c>
      <c r="AG232" s="191">
        <f t="array" ref="AG232">SUM(IF((E7:E30=170204)*(D7:D30="Excavation"),R7:R30,0))</f>
        <v>0</v>
      </c>
      <c r="AH232" s="191">
        <f t="array" ref="AH232">SUM(IF((E7:E30=170204)*(D7:D30="Excavation"),S7:S30,0))</f>
        <v>0</v>
      </c>
      <c r="AI232" s="192">
        <f t="shared" si="125"/>
        <v>0</v>
      </c>
      <c r="AJ232" s="192">
        <f t="shared" si="126"/>
        <v>0</v>
      </c>
    </row>
    <row r="233" spans="25:36" ht="13.8" thickBot="1" x14ac:dyDescent="0.3">
      <c r="Y233" s="874"/>
      <c r="Z233" s="869"/>
      <c r="AA233" s="235" t="s">
        <v>126</v>
      </c>
      <c r="AB233" s="234" t="s">
        <v>237</v>
      </c>
      <c r="AC233" s="191">
        <f t="array" ref="AC233">SUM(IF((E7:E30=170204)*(D7:D30="Construction")*(G7:G30="Re Use On Site"),H7:H30,0))</f>
        <v>0</v>
      </c>
      <c r="AD233" s="191">
        <f t="array" ref="AD233">SUM(IF((E7:E30=170204)*(D7:D30="Construction"),V7:V30,0))</f>
        <v>0</v>
      </c>
      <c r="AE233" s="191">
        <f t="array" ref="AE233">SUM(IF((E7:E30=170204)*(D7:D30="Construction")*(G7:G30="Recycled On Site"),H7:H30,0))</f>
        <v>0</v>
      </c>
      <c r="AF233" s="191">
        <f t="array" ref="AF233">SUM(IF((E7:E30=170204)*(D7:D30="Construction")*(G7:G30="Recycled Off Site - Transfer Station, MRF, EfW"),J7:J30,0))</f>
        <v>0</v>
      </c>
      <c r="AG233" s="191">
        <f t="array" ref="AG233">SUM(IF((E7:E30=170204)*(D7:D30="Construction"),R7:R30,0))</f>
        <v>0</v>
      </c>
      <c r="AH233" s="191">
        <f t="array" ref="AH233">SUM(IF((E7:E30=170204)*(D7:D30="Construction"),S7:S30,0))</f>
        <v>0</v>
      </c>
      <c r="AI233" s="192">
        <f t="shared" si="125"/>
        <v>0</v>
      </c>
      <c r="AJ233" s="192">
        <f t="shared" si="126"/>
        <v>0</v>
      </c>
    </row>
    <row r="234" spans="25:36" x14ac:dyDescent="0.25">
      <c r="Y234" s="865" t="s">
        <v>165</v>
      </c>
      <c r="Z234" s="867">
        <v>120117</v>
      </c>
      <c r="AA234" s="235" t="s">
        <v>123</v>
      </c>
      <c r="AB234" s="231" t="s">
        <v>235</v>
      </c>
      <c r="AC234" s="232">
        <f t="array" ref="AC234">SUM(IF((E7:E30=120117)*(D7:D30="Demolition")*(G7:G30="Re Use On Site"),H7:H30,0))</f>
        <v>0</v>
      </c>
      <c r="AD234" s="232">
        <f t="array" ref="AD234">SUM(IF((E7:E30=120117)*(D7:D30="Demolition"),V7:V30,0))</f>
        <v>0</v>
      </c>
      <c r="AE234" s="232">
        <f t="array" ref="AE234">SUM(IF((E7:E30=120117)*(D7:D30="Demolition")*(G7:G30="Recycled On Site"),H7:H30,0))</f>
        <v>0</v>
      </c>
      <c r="AF234" s="232">
        <f t="array" ref="AF234">SUM(IF((E7:E30=120117)*(D7:D30="Demolition")*(G7:G30="Recycled Off Site - Transfer Station, MRF, EfW"),J7:J30,0))</f>
        <v>0</v>
      </c>
      <c r="AG234" s="232">
        <f t="array" ref="AG234">SUM(IF((E7:E30=120117)*(D7:D30="Demolition"),R7:R30,0))</f>
        <v>0</v>
      </c>
      <c r="AH234" s="232">
        <f t="array" ref="AH234">SUM(IF((E7:E30=120117)*(D7:D30="Demolition"),S7:S30,0))</f>
        <v>0</v>
      </c>
      <c r="AI234" s="192">
        <f t="shared" si="125"/>
        <v>0</v>
      </c>
      <c r="AJ234" s="192">
        <f t="shared" si="126"/>
        <v>0</v>
      </c>
    </row>
    <row r="235" spans="25:36" x14ac:dyDescent="0.25">
      <c r="Y235" s="871"/>
      <c r="Z235" s="868"/>
      <c r="AA235" s="235" t="s">
        <v>123</v>
      </c>
      <c r="AB235" s="234" t="s">
        <v>236</v>
      </c>
      <c r="AC235" s="191">
        <f t="array" ref="AC235">SUM(IF((E7:E30=120117)*(D7:D30="Excavation")*(G7:G30="Re Use On Site"),H7:H30,0))</f>
        <v>0</v>
      </c>
      <c r="AD235" s="191">
        <f t="array" ref="AD235">SUM(IF((E7:E30=120117)*(D7:D30="Excavation"),V7:V30,0))</f>
        <v>0</v>
      </c>
      <c r="AE235" s="191">
        <f t="array" ref="AE235">SUM(IF((E7:E30=120117)*(D7:D30="Excavation")*(G7:G30="Recycled On Site"),H7:H30,0))</f>
        <v>0</v>
      </c>
      <c r="AF235" s="191">
        <f t="array" ref="AF235">SUM(IF((E7:E30=120117)*(D7:D30="Excavation")*(G7:G30="Recycled Off Site - Transfer Station, MRF, EfW"),J7:J30,0))</f>
        <v>0</v>
      </c>
      <c r="AG235" s="191">
        <f t="array" ref="AG235">SUM(IF((E7:E30=120117)*(D7:D30="Excavation"),R7:R30,0))</f>
        <v>0</v>
      </c>
      <c r="AH235" s="191">
        <f t="array" ref="AH235">SUM(IF((E7:E30=120117)*(D7:D30="Excavation"),S7:S30,0))</f>
        <v>0</v>
      </c>
      <c r="AI235" s="192">
        <f t="shared" si="125"/>
        <v>0</v>
      </c>
      <c r="AJ235" s="192">
        <f t="shared" si="126"/>
        <v>0</v>
      </c>
    </row>
    <row r="236" spans="25:36" ht="13.8" thickBot="1" x14ac:dyDescent="0.3">
      <c r="Y236" s="874"/>
      <c r="Z236" s="869"/>
      <c r="AA236" s="235" t="s">
        <v>123</v>
      </c>
      <c r="AB236" s="234" t="s">
        <v>237</v>
      </c>
      <c r="AC236" s="191">
        <f t="array" ref="AC236">SUM(IF((E7:E30=120117)*(D7:D30="Construction")*(G7:G30="Re Use On Site"),H7:H30,0))</f>
        <v>0</v>
      </c>
      <c r="AD236" s="191">
        <f t="array" ref="AD236">SUM(IF((E7:E30=120117)*(D7:D30="Construction"),V7:V30,0))</f>
        <v>0</v>
      </c>
      <c r="AE236" s="191">
        <f t="array" ref="AE236">SUM(IF((E7:E30=120117)*(D7:D30="Construction")*(G7:G30="Recycled On Site"),H7:H30,0))</f>
        <v>0</v>
      </c>
      <c r="AF236" s="191">
        <f t="array" ref="AF236">SUM(IF((E7:E30=120117)*(D7:D30="Construction")*(G7:G30="Recycled Off Site - Transfer Station, MRF, EfW"),J7:J30,0))</f>
        <v>0</v>
      </c>
      <c r="AG236" s="191">
        <f t="array" ref="AG236">SUM(IF((E7:E30=120117)*(D7:D30="Construction"),R7:R30,0))</f>
        <v>0</v>
      </c>
      <c r="AH236" s="191">
        <f t="array" ref="AH236">SUM(IF((E7:E30=120117)*(D7:D30="Construction"),S7:S30,0))</f>
        <v>0</v>
      </c>
      <c r="AI236" s="192">
        <f t="shared" si="125"/>
        <v>0</v>
      </c>
      <c r="AJ236" s="192">
        <f t="shared" si="126"/>
        <v>0</v>
      </c>
    </row>
    <row r="237" spans="25:36" x14ac:dyDescent="0.25">
      <c r="Y237" s="865" t="s">
        <v>166</v>
      </c>
      <c r="Z237" s="867">
        <v>120116</v>
      </c>
      <c r="AA237" s="235" t="s">
        <v>126</v>
      </c>
      <c r="AB237" s="231" t="s">
        <v>235</v>
      </c>
      <c r="AC237" s="232">
        <f t="array" ref="AC237">SUM(IF((E7:E30=120116)*(D7:D30="Demolition")*(G7:G30="Re Use On Site"),H7:H30,0))</f>
        <v>0</v>
      </c>
      <c r="AD237" s="232">
        <f t="array" ref="AD237">SUM(IF((E7:E30=120116)*(D7:D30="Demolition"),V7:V30,0))</f>
        <v>0</v>
      </c>
      <c r="AE237" s="232">
        <f t="array" ref="AE237">SUM(IF((E7:E30=120116)*(D7:D30="Demolition")*(G7:G30="Recycled On Site"),H7:H30,0))</f>
        <v>0</v>
      </c>
      <c r="AF237" s="232">
        <f t="array" ref="AF237">SUM(IF((E7:E30=120116)*(D7:D30="Demolition")*(G7:G30="Recycled Off Site - Transfer Station, MRF, EfW"),J7:J30,0))</f>
        <v>0</v>
      </c>
      <c r="AG237" s="232">
        <f t="array" ref="AG237">SUM(IF((E7:E30=120116)*(D7:D30="Demolition"),R7:R30,0))</f>
        <v>0</v>
      </c>
      <c r="AH237" s="232">
        <f t="array" ref="AH237">SUM(IF((E7:E30=120116)*(D7:D30="Demolition"),S7:S30,0))</f>
        <v>0</v>
      </c>
      <c r="AI237" s="192">
        <f t="shared" si="125"/>
        <v>0</v>
      </c>
      <c r="AJ237" s="192">
        <f t="shared" si="126"/>
        <v>0</v>
      </c>
    </row>
    <row r="238" spans="25:36" x14ac:dyDescent="0.25">
      <c r="Y238" s="871"/>
      <c r="Z238" s="868"/>
      <c r="AA238" s="235" t="s">
        <v>126</v>
      </c>
      <c r="AB238" s="234" t="s">
        <v>236</v>
      </c>
      <c r="AC238" s="191">
        <f t="array" ref="AC238">SUM(IF((E7:E30=120116)*(D7:D30="Excavation")*(G7:G30="Re Use On Site"),H7:H30,0))</f>
        <v>0</v>
      </c>
      <c r="AD238" s="191">
        <f t="array" ref="AD238">SUM(IF((E7:E30=120116)*(D7:D30="Excavation"),V7:V30,0))</f>
        <v>0</v>
      </c>
      <c r="AE238" s="191">
        <f t="array" ref="AE238">SUM(IF((E7:E30=120116)*(D7:D30="Excavation")*(G7:G30="Recycled On Site"),H7:H30,0))</f>
        <v>0</v>
      </c>
      <c r="AF238" s="191">
        <f t="array" ref="AF238">SUM(IF((E7:E30=120116)*(D7:D30="Excavation")*(G7:G30="Recycled Off Site - Transfer Station, MRF, EfW"),J7:J30,0))</f>
        <v>0</v>
      </c>
      <c r="AG238" s="191">
        <f t="array" ref="AG238">SUM(IF((E7:E30=120116)*(D7:D30="Excavation"),R7:R30,0))</f>
        <v>0</v>
      </c>
      <c r="AH238" s="191">
        <f t="array" ref="AH238">SUM(IF((E7:E30=120116)*(D7:D30="Excavation"),S7:S30,0))</f>
        <v>0</v>
      </c>
      <c r="AI238" s="192">
        <f t="shared" si="125"/>
        <v>0</v>
      </c>
      <c r="AJ238" s="192">
        <f t="shared" si="126"/>
        <v>0</v>
      </c>
    </row>
    <row r="239" spans="25:36" ht="13.8" thickBot="1" x14ac:dyDescent="0.3">
      <c r="Y239" s="874"/>
      <c r="Z239" s="869"/>
      <c r="AA239" s="235" t="s">
        <v>126</v>
      </c>
      <c r="AB239" s="234" t="s">
        <v>237</v>
      </c>
      <c r="AC239" s="191">
        <f t="array" ref="AC239">SUM(IF((E7:E30=120116)*(D7:D30="Construction")*(G7:G30="Re Use On Site"),H7:H30,0))</f>
        <v>0</v>
      </c>
      <c r="AD239" s="191">
        <f t="array" ref="AD239">SUM(IF((E7:E30=120116)*(D7:D30="Construction"),V7:V30,0))</f>
        <v>0</v>
      </c>
      <c r="AE239" s="191">
        <f t="array" ref="AE239">SUM(IF((E7:E30=120116)*(D7:D30="Construction")*(G7:G30="Recycled On Site"),H7:H30,0))</f>
        <v>0</v>
      </c>
      <c r="AF239" s="191">
        <f t="array" ref="AF239">SUM(IF((E7:E30=120116)*(D7:D30="Construction")*(G7:G30="Recycled Off Site - Transfer Station, MRF, EfW"),J7:J30,0))</f>
        <v>0</v>
      </c>
      <c r="AG239" s="191">
        <f t="array" ref="AG239">SUM(IF((E7:E30=120116)*(D7:D30="Construction"),R7:R30,0))</f>
        <v>0</v>
      </c>
      <c r="AH239" s="191">
        <f t="array" ref="AH239">SUM(IF((E7:E30=120116)*(D7:D30="Construction"),S7:S30,0))</f>
        <v>0</v>
      </c>
      <c r="AI239" s="192">
        <f t="shared" si="125"/>
        <v>0</v>
      </c>
      <c r="AJ239" s="192">
        <f t="shared" si="126"/>
        <v>0</v>
      </c>
    </row>
    <row r="240" spans="25:36" x14ac:dyDescent="0.25">
      <c r="Y240" s="865" t="s">
        <v>167</v>
      </c>
      <c r="Z240" s="867">
        <v>130508</v>
      </c>
      <c r="AA240" s="235" t="s">
        <v>126</v>
      </c>
      <c r="AB240" s="231" t="s">
        <v>235</v>
      </c>
      <c r="AC240" s="232">
        <f t="array" ref="AC240">SUM(IF((E7:E30=130508)*(D7:D30="Demolition")*(G7:G30="Re Use On Site"),H7:H30,0))</f>
        <v>0</v>
      </c>
      <c r="AD240" s="232">
        <f t="array" ref="AD240">SUM(IF((E7:E30=130508)*(D7:D30="Demolition"),V7:V30,0))</f>
        <v>0</v>
      </c>
      <c r="AE240" s="232">
        <f t="array" ref="AE240">SUM(IF((E7:E30=130508)*(D7:D30="Demolition")*(G7:G30="Recycled On Site"),H7:H30,0))</f>
        <v>0</v>
      </c>
      <c r="AF240" s="232">
        <f t="array" ref="AF240">SUM(IF((E7:E30=130508)*(D7:D30="Demolition")*(G7:G30="Recycled Off Site - Transfer Station, MRF, EfW"),J7:J30,0))</f>
        <v>0</v>
      </c>
      <c r="AG240" s="232">
        <f t="array" ref="AG240">SUM(IF((E7:E30=130508)*(D7:D30="Demolition"),R7:R30,0))</f>
        <v>0</v>
      </c>
      <c r="AH240" s="232">
        <f t="array" ref="AH240">SUM(IF((E7:E30=130508)*(D7:D30="Demolition"),S7:S30,0))</f>
        <v>0</v>
      </c>
      <c r="AI240" s="192">
        <f t="shared" si="125"/>
        <v>0</v>
      </c>
      <c r="AJ240" s="192">
        <f t="shared" si="126"/>
        <v>0</v>
      </c>
    </row>
    <row r="241" spans="25:36" x14ac:dyDescent="0.25">
      <c r="Y241" s="871"/>
      <c r="Z241" s="868"/>
      <c r="AA241" s="235" t="s">
        <v>126</v>
      </c>
      <c r="AB241" s="234" t="s">
        <v>236</v>
      </c>
      <c r="AC241" s="191">
        <f t="array" ref="AC241">SUM(IF((E7:E30=130508)*(D7:D30="Excavation")*(G7:G30="Re Use On Site"),H7:H30,0))</f>
        <v>0</v>
      </c>
      <c r="AD241" s="191">
        <f t="array" ref="AD241">SUM(IF((E7:E30=130508)*(D7:D30="Excavation"),V7:V30,0))</f>
        <v>0</v>
      </c>
      <c r="AE241" s="191">
        <f t="array" ref="AE241">SUM(IF((E7:E30=130508)*(D7:D30="Excavation")*(G7:G30="Recycled On Site"),H7:H30,0))</f>
        <v>0</v>
      </c>
      <c r="AF241" s="191">
        <f t="array" ref="AF241">SUM(IF((E7:E30=130508)*(D7:D30="Excavation")*(G7:G30="Recycled Off Site - Transfer Station, MRF, EfW"),J7:J30,0))</f>
        <v>0</v>
      </c>
      <c r="AG241" s="191">
        <f t="array" ref="AG241">SUM(IF((E7:E30=130508)*(D7:D30="Excavation"),R7:R30,0))</f>
        <v>0</v>
      </c>
      <c r="AH241" s="191">
        <f t="array" ref="AH241">SUM(IF((E7:E30=130508)*(D7:D30="Excavation"),S7:S30,0))</f>
        <v>0</v>
      </c>
      <c r="AI241" s="192">
        <f t="shared" si="125"/>
        <v>0</v>
      </c>
      <c r="AJ241" s="192">
        <f t="shared" si="126"/>
        <v>0</v>
      </c>
    </row>
    <row r="242" spans="25:36" ht="13.8" thickBot="1" x14ac:dyDescent="0.3">
      <c r="Y242" s="874"/>
      <c r="Z242" s="869"/>
      <c r="AA242" s="235" t="s">
        <v>126</v>
      </c>
      <c r="AB242" s="234" t="s">
        <v>237</v>
      </c>
      <c r="AC242" s="191">
        <f t="array" ref="AC242">SUM(IF((E7:E30=130508)*(D7:D30="Construction")*(G7:G30="Re Use On Site"),H7:H30,0))</f>
        <v>0</v>
      </c>
      <c r="AD242" s="191">
        <f t="array" ref="AD242">SUM(IF((E7:E30=130508)*(D7:D30="Construction"),V7:V30,0))</f>
        <v>0</v>
      </c>
      <c r="AE242" s="191">
        <f t="array" ref="AE242">SUM(IF((E7:E30=130508)*(D7:D30="Construction")*(G7:G30="Recycled On Site"),H7:H30,0))</f>
        <v>0</v>
      </c>
      <c r="AF242" s="191">
        <f t="array" ref="AF242">SUM(IF((E7:E30=130508)*(D7:D30="Construction")*(G7:G30="Recycled Off Site - Transfer Station, MRF, EfW"),J7:J30,0))</f>
        <v>0</v>
      </c>
      <c r="AG242" s="191">
        <f t="array" ref="AG242">SUM(IF((E7:E30=130508)*(D7:D30="Construction"),R7:R30,0))</f>
        <v>0</v>
      </c>
      <c r="AH242" s="191">
        <f t="array" ref="AH242">SUM(IF((E7:E30=130508)*(D7:D30="Construction"),S7:S30,0))</f>
        <v>0</v>
      </c>
      <c r="AI242" s="192">
        <f t="shared" si="125"/>
        <v>0</v>
      </c>
      <c r="AJ242" s="192">
        <f t="shared" si="126"/>
        <v>0</v>
      </c>
    </row>
    <row r="243" spans="25:36" x14ac:dyDescent="0.25">
      <c r="Y243" s="865" t="s">
        <v>168</v>
      </c>
      <c r="Z243" s="867">
        <v>200303</v>
      </c>
      <c r="AA243" s="235" t="s">
        <v>123</v>
      </c>
      <c r="AB243" s="231" t="s">
        <v>235</v>
      </c>
      <c r="AC243" s="232">
        <f t="array" ref="AC243">SUM(IF((E7:E30=200303)*(D7:D30="Demolition")*(G7:G30="Re Use On Site"),H7:H30,0))</f>
        <v>0</v>
      </c>
      <c r="AD243" s="232">
        <f t="array" ref="AD243">SUM(IF((E7:E30=200303)*(D7:D30="Demolition"),V7:V30,0))</f>
        <v>0</v>
      </c>
      <c r="AE243" s="232">
        <f t="array" ref="AE243">SUM(IF((E7:E30=200303)*(D7:D30="Demolition")*(G7:G30="Recycled On Site"),H7:H30,0))</f>
        <v>0</v>
      </c>
      <c r="AF243" s="232">
        <f t="array" ref="AF243">SUM(IF((E7:E30=200303)*(D7:D30="Demolition")*(G7:G30="Recycled Off Site - Transfer Station, MRF, EfW"),J7:J30,0))</f>
        <v>0</v>
      </c>
      <c r="AG243" s="232">
        <f t="array" ref="AG243">SUM(IF((E7:E30=200303)*(D7:D30="Demolition"),R7:R30,0))</f>
        <v>0</v>
      </c>
      <c r="AH243" s="232">
        <f t="array" ref="AH243">SUM(IF((E7:E30=200303)*(D7:D30="Demolition"),S7:S30,0))</f>
        <v>0</v>
      </c>
      <c r="AI243" s="192">
        <f t="shared" si="125"/>
        <v>0</v>
      </c>
      <c r="AJ243" s="192">
        <f t="shared" si="126"/>
        <v>0</v>
      </c>
    </row>
    <row r="244" spans="25:36" x14ac:dyDescent="0.25">
      <c r="Y244" s="871"/>
      <c r="Z244" s="868"/>
      <c r="AA244" s="235" t="s">
        <v>123</v>
      </c>
      <c r="AB244" s="234" t="s">
        <v>236</v>
      </c>
      <c r="AC244" s="191">
        <f t="array" ref="AC244">SUM(IF((E7:E30=200303)*(D7:D30="Excavation")*(G7:G30="Re Use On Site"),H7:H30,0))</f>
        <v>0</v>
      </c>
      <c r="AD244" s="191">
        <f t="array" ref="AD244">SUM(IF((E7:E30=200303)*(D7:D30="Excavation"),V7:V30,0))</f>
        <v>0</v>
      </c>
      <c r="AE244" s="191">
        <f t="array" ref="AE244">SUM(IF((E7:E30=200303)*(D7:D30="Excavation")*(G7:G30="Recycled On Site"),H7:H30,0))</f>
        <v>0</v>
      </c>
      <c r="AF244" s="191">
        <f t="array" ref="AF244">SUM(IF((E7:E30=200303)*(D7:D30="Excavation")*(G7:G30="Recycled Off Site - Transfer Station, MRF, EfW"),J7:J30,0))</f>
        <v>0</v>
      </c>
      <c r="AG244" s="191">
        <f t="array" ref="AG244">SUM(IF((E7:E30=200303)*(D7:D30="Excavation"),R7:R30,0))</f>
        <v>0</v>
      </c>
      <c r="AH244" s="191">
        <f t="array" ref="AH244">SUM(IF((E7:E30=200303)*(D7:D30="Excavation"),S7:S30,0))</f>
        <v>0</v>
      </c>
      <c r="AI244" s="192">
        <f t="shared" si="125"/>
        <v>0</v>
      </c>
      <c r="AJ244" s="192">
        <f t="shared" si="126"/>
        <v>0</v>
      </c>
    </row>
    <row r="245" spans="25:36" ht="13.8" thickBot="1" x14ac:dyDescent="0.3">
      <c r="Y245" s="874"/>
      <c r="Z245" s="869"/>
      <c r="AA245" s="235" t="s">
        <v>123</v>
      </c>
      <c r="AB245" s="234" t="s">
        <v>237</v>
      </c>
      <c r="AC245" s="191">
        <f t="array" ref="AC245">SUM(IF((E7:E30=200303)*(D7:D30="Construction")*(G7:G30="Re Use On Site"),H7:H30,0))</f>
        <v>0</v>
      </c>
      <c r="AD245" s="191">
        <f t="array" ref="AD245">SUM(IF((E7:E30=200303)*(D7:D30="Construction"),V7:V30,0))</f>
        <v>0</v>
      </c>
      <c r="AE245" s="191">
        <f t="array" ref="AE245">SUM(IF((E7:E30=200303)*(D7:D30="Construction")*(G7:G30="Recycled On Site"),H7:H30,0))</f>
        <v>0</v>
      </c>
      <c r="AF245" s="191">
        <f t="array" ref="AF245">SUM(IF((E7:E30=200303)*(D7:D30="Construction")*(G7:G30="Recycled Off Site - Transfer Station, MRF, EfW"),J7:J30,0))</f>
        <v>0</v>
      </c>
      <c r="AG245" s="191">
        <f t="array" ref="AG245">SUM(IF((E7:E30=200303)*(D7:D30="Construction"),R7:R30,0))</f>
        <v>0</v>
      </c>
      <c r="AH245" s="191" t="e">
        <f t="array" ref="AH245">SUM(IF((E7:E30=200303)*(D7:D30="Construction"),S7:S30,0))</f>
        <v>#VALUE!</v>
      </c>
      <c r="AI245" s="192" t="e">
        <f t="shared" si="125"/>
        <v>#VALUE!</v>
      </c>
      <c r="AJ245" s="192" t="e">
        <f t="shared" si="126"/>
        <v>#VALUE!</v>
      </c>
    </row>
    <row r="246" spans="25:36" x14ac:dyDescent="0.25">
      <c r="Y246" s="865" t="s">
        <v>169</v>
      </c>
      <c r="Z246" s="867">
        <v>170802</v>
      </c>
      <c r="AA246" s="235" t="s">
        <v>123</v>
      </c>
      <c r="AB246" s="231" t="s">
        <v>235</v>
      </c>
      <c r="AC246" s="232">
        <f t="array" ref="AC246">SUM(IF((E7:E30=170802)*(D7:D30="Demolition")*(G7:G30="Re Use On Site"),H7:H30,0))</f>
        <v>0</v>
      </c>
      <c r="AD246" s="232">
        <f t="array" ref="AD246">SUM(IF((E7:E30=170802)*(D7:D30="Demolition"),V7:V30,0))</f>
        <v>0</v>
      </c>
      <c r="AE246" s="232">
        <f t="array" ref="AE246">SUM(IF((E7:E30=170802)*(D7:D30="Demolition")*(G7:G30="Recycled On Site"),H7:H30,0))</f>
        <v>0</v>
      </c>
      <c r="AF246" s="232">
        <f t="array" ref="AF246">SUM(IF((E7:E30=170802)*(D7:D30="Demolition")*(G7:G30="Recycled Off Site - Transfer Station, MRF, EfW"),J7:J30,0))</f>
        <v>0</v>
      </c>
      <c r="AG246" s="232">
        <f t="array" ref="AG246">SUM(IF((E7:E30=170802)*(D7:D30="Demolition"),R7:R30,0))</f>
        <v>0</v>
      </c>
      <c r="AH246" s="232">
        <f t="array" ref="AH246">SUM(IF((E7:E30=170802)*(D7:D30="Demolition"),S7:S30,0))</f>
        <v>0</v>
      </c>
      <c r="AI246" s="192">
        <f t="shared" si="125"/>
        <v>0</v>
      </c>
      <c r="AJ246" s="192">
        <f t="shared" si="126"/>
        <v>0</v>
      </c>
    </row>
    <row r="247" spans="25:36" x14ac:dyDescent="0.25">
      <c r="Y247" s="871"/>
      <c r="Z247" s="868"/>
      <c r="AA247" s="235" t="s">
        <v>123</v>
      </c>
      <c r="AB247" s="234" t="s">
        <v>236</v>
      </c>
      <c r="AC247" s="191">
        <f t="array" ref="AC247">SUM(IF((E7:E30=170802)*(D7:D30="Excavation")*(G7:G30="Re Use On Site"),H7:H30,0))</f>
        <v>0</v>
      </c>
      <c r="AD247" s="191">
        <f t="array" ref="AD247">SUM(IF((E7:E30=170802)*(D7:D30="Excavation"),V7:V30,0))</f>
        <v>0</v>
      </c>
      <c r="AE247" s="191">
        <f t="array" ref="AE247">SUM(IF((E7:E30=170802)*(D7:D30="Excavation")*(G7:G30="Recycled On Site"),H7:H30,0))</f>
        <v>0</v>
      </c>
      <c r="AF247" s="191">
        <f t="array" ref="AF247">SUM(IF((E7:E30=170802)*(D7:D30="Excavation")*(G7:G30="Recycled Off Site - Transfer Station, MRF, EfW"),J7:J30,0))</f>
        <v>0</v>
      </c>
      <c r="AG247" s="191">
        <f t="array" ref="AG247">SUM(IF((E7:E30=170802)*(D7:D30="Excavation"),R7:R30,0))</f>
        <v>0</v>
      </c>
      <c r="AH247" s="191">
        <f t="array" ref="AH247">SUM(IF((E7:E30=170802)*(D7:D30="Excavation"),S7:S30,0))</f>
        <v>0</v>
      </c>
      <c r="AI247" s="192">
        <f t="shared" si="125"/>
        <v>0</v>
      </c>
      <c r="AJ247" s="192">
        <f t="shared" si="126"/>
        <v>0</v>
      </c>
    </row>
    <row r="248" spans="25:36" ht="13.8" thickBot="1" x14ac:dyDescent="0.3">
      <c r="Y248" s="874"/>
      <c r="Z248" s="869"/>
      <c r="AA248" s="235" t="s">
        <v>123</v>
      </c>
      <c r="AB248" s="234" t="s">
        <v>237</v>
      </c>
      <c r="AC248" s="191">
        <f t="array" ref="AC248">SUM(IF((E7:E30=170802)*(D7:D30="Construction")*(G7:G30="Re Use On Site"),H7:H30,0))</f>
        <v>0</v>
      </c>
      <c r="AD248" s="191">
        <f t="array" ref="AD248">SUM(IF((E7:E30=170802)*(D7:D30="Construction"),V7:V30,0))</f>
        <v>0</v>
      </c>
      <c r="AE248" s="191">
        <f t="array" ref="AE248">SUM(IF((E7:E30=170802)*(D7:D30="Construction")*(G7:G30="Recycled On Site"),H7:H30,0))</f>
        <v>0</v>
      </c>
      <c r="AF248" s="191">
        <f t="array" ref="AF248">SUM(IF((E7:E30=170802)*(D7:D30="Construction")*(G7:G30="Recycled Off Site - Transfer Station, MRF, EfW"),J7:J30,0))</f>
        <v>0</v>
      </c>
      <c r="AG248" s="191">
        <f t="array" ref="AG248">SUM(IF((E7:E30=170802)*(D7:D30="Construction"),R7:R30,0))</f>
        <v>0</v>
      </c>
      <c r="AH248" s="191">
        <f t="array" ref="AH248">SUM(IF((E7:E30=170802)*(D7:D30="Construction"),S7:S30,0))</f>
        <v>0</v>
      </c>
      <c r="AI248" s="192">
        <f t="shared" ref="AI248:AI311" si="127">AC248+AD248+AE248+AF248+AK248+AM248+AH248</f>
        <v>0</v>
      </c>
      <c r="AJ248" s="192">
        <f t="shared" ref="AJ248:AJ311" si="128">AD248+AF248+AK248+AM248+AH248</f>
        <v>0</v>
      </c>
    </row>
    <row r="249" spans="25:36" x14ac:dyDescent="0.25">
      <c r="Y249" s="865" t="s">
        <v>170</v>
      </c>
      <c r="Z249" s="867">
        <v>170801</v>
      </c>
      <c r="AA249" s="235" t="s">
        <v>126</v>
      </c>
      <c r="AB249" s="231" t="s">
        <v>235</v>
      </c>
      <c r="AC249" s="232">
        <f t="array" ref="AC249">SUM(IF((E7:E30=170801)*(D7:D30="Demolition")*(G7:G30="Re Use On Site"),H7:H30,0))</f>
        <v>0</v>
      </c>
      <c r="AD249" s="232">
        <f t="array" ref="AD249">SUM(IF((E7:E30=170801)*(D7:D30="Demolition"),V7:V30,0))</f>
        <v>0</v>
      </c>
      <c r="AE249" s="232">
        <f t="array" ref="AE249">SUM(IF((E7:E30=170801)*(D7:D30="Demolition")*(G7:G30="Recycled On Site"),H7:H30,0))</f>
        <v>0</v>
      </c>
      <c r="AF249" s="232">
        <f t="array" ref="AF249">SUM(IF((E7:E30=170801)*(D7:D30="Demolition")*(G7:G30="Recycled Off Site - Transfer Station, MRF, EfW"),J7:J30,0))</f>
        <v>0</v>
      </c>
      <c r="AG249" s="232">
        <f t="array" ref="AG249">SUM(IF((E7:E30=170801)*(D7:D30="Demolition"),R7:R30,0))</f>
        <v>0</v>
      </c>
      <c r="AH249" s="232">
        <f t="array" ref="AH249">SUM(IF((E7:E30=170801)*(D7:D30="Demolition"),S7:S30,0))</f>
        <v>0</v>
      </c>
      <c r="AI249" s="192">
        <f t="shared" si="127"/>
        <v>0</v>
      </c>
      <c r="AJ249" s="192">
        <f t="shared" si="128"/>
        <v>0</v>
      </c>
    </row>
    <row r="250" spans="25:36" x14ac:dyDescent="0.25">
      <c r="Y250" s="871"/>
      <c r="Z250" s="868"/>
      <c r="AA250" s="235" t="s">
        <v>126</v>
      </c>
      <c r="AB250" s="234" t="s">
        <v>236</v>
      </c>
      <c r="AC250" s="191">
        <f t="array" ref="AC250">SUM(IF((E7:E30=170801)*(D7:D30="Excavation")*(G7:G30="Re Use On Site"),H7:H30,0))</f>
        <v>0</v>
      </c>
      <c r="AD250" s="191">
        <f t="array" ref="AD250">SUM(IF((E7:E30=170801)*(D7:D30="Excavation"),V7:V30,0))</f>
        <v>0</v>
      </c>
      <c r="AE250" s="191">
        <f t="array" ref="AE250">SUM(IF((E7:E30=170801)*(D7:D30="Excavation")*(G7:G30="Recycled On Site"),H7:H30,0))</f>
        <v>0</v>
      </c>
      <c r="AF250" s="191">
        <f t="array" ref="AF250">SUM(IF((E7:E30=170801)*(D7:D30="Excavation")*(G7:G30="Recycled Off Site - Transfer Station, MRF, EfW"),J7:J30,0))</f>
        <v>0</v>
      </c>
      <c r="AG250" s="191">
        <f t="array" ref="AG250">SUM(IF((E7:E30=170801)*(D7:D30="Excavation"),R7:R30,0))</f>
        <v>0</v>
      </c>
      <c r="AH250" s="191">
        <f t="array" ref="AH250">SUM(IF((E7:E30=170801)*(D7:D30="Excavation"),S7:S30,0))</f>
        <v>0</v>
      </c>
      <c r="AI250" s="192">
        <f t="shared" si="127"/>
        <v>0</v>
      </c>
      <c r="AJ250" s="192">
        <f t="shared" si="128"/>
        <v>0</v>
      </c>
    </row>
    <row r="251" spans="25:36" ht="13.8" thickBot="1" x14ac:dyDescent="0.3">
      <c r="Y251" s="874"/>
      <c r="Z251" s="869"/>
      <c r="AA251" s="235" t="s">
        <v>126</v>
      </c>
      <c r="AB251" s="234" t="s">
        <v>237</v>
      </c>
      <c r="AC251" s="191">
        <f t="array" ref="AC251">SUM(IF((E7:E30=170801)*(D7:D30="Construction")*(G7:G30="Re Use On Site"),H7:H30,0))</f>
        <v>0</v>
      </c>
      <c r="AD251" s="191">
        <f t="array" ref="AD251">SUM(IF((E7:E30=170801)*(D7:D30="Construction"),V7:V30,0))</f>
        <v>0</v>
      </c>
      <c r="AE251" s="191">
        <f t="array" ref="AE251">SUM(IF((E7:E30=170801)*(D7:D30="Construction")*(G7:G30="Recycled On Site"),H7:H30,0))</f>
        <v>0</v>
      </c>
      <c r="AF251" s="191">
        <f t="array" ref="AF251">SUM(IF((E7:E30=170801)*(D7:D30="Construction")*(G7:G30="Recycled Off Site - Transfer Station, MRF, EfW"),J7:J30,0))</f>
        <v>0</v>
      </c>
      <c r="AG251" s="191">
        <f t="array" ref="AG251">SUM(IF((E7:E30=170801)*(D7:D30="Construction"),R7:R30,0))</f>
        <v>0</v>
      </c>
      <c r="AH251" s="191">
        <f t="array" ref="AH251">SUM(IF((E7:E30=170801)*(D7:D30="Construction"),S7:S30,0))</f>
        <v>0</v>
      </c>
      <c r="AI251" s="192">
        <f t="shared" si="127"/>
        <v>0</v>
      </c>
      <c r="AJ251" s="192">
        <f t="shared" si="128"/>
        <v>0</v>
      </c>
    </row>
    <row r="252" spans="25:36" x14ac:dyDescent="0.25">
      <c r="Y252" s="865" t="s">
        <v>171</v>
      </c>
      <c r="Z252" s="867">
        <v>170604</v>
      </c>
      <c r="AA252" s="235" t="s">
        <v>123</v>
      </c>
      <c r="AB252" s="231" t="s">
        <v>235</v>
      </c>
      <c r="AC252" s="232">
        <f t="array" ref="AC252">SUM(IF((E7:E30=170604)*(D7:D30="Demolition")*(G7:G30="Re Use On Site"),H7:H30,0))</f>
        <v>0</v>
      </c>
      <c r="AD252" s="232">
        <f t="array" ref="AD252">SUM(IF((E7:E30=170604)*(D7:D30="Demolition"),V7:V30,0))</f>
        <v>0</v>
      </c>
      <c r="AE252" s="232">
        <f t="array" ref="AE252">SUM(IF((E7:E30=170604)*(D7:D30="Demolition")*(G7:G30="Recycled On Site"),H7:H30,0))</f>
        <v>0</v>
      </c>
      <c r="AF252" s="232">
        <f t="array" ref="AF252">SUM(IF((E7:E30=170604)*(D7:D30="Demolition")*(G7:G30="Recycled Off Site - Transfer Station, MRF, EfW"),J7:J30,0))</f>
        <v>0</v>
      </c>
      <c r="AG252" s="232">
        <f t="array" ref="AG252">SUM(IF((E7:E30=170604)*(D7:D30="Demolition"),R7:R30,0))</f>
        <v>0</v>
      </c>
      <c r="AH252" s="232">
        <f t="array" ref="AH252">SUM(IF((E7:E30=170604)*(D7:D30="Demolition"),S7:S30,0))</f>
        <v>0</v>
      </c>
      <c r="AI252" s="192">
        <f t="shared" si="127"/>
        <v>0</v>
      </c>
      <c r="AJ252" s="192">
        <f t="shared" si="128"/>
        <v>0</v>
      </c>
    </row>
    <row r="253" spans="25:36" x14ac:dyDescent="0.25">
      <c r="Y253" s="871"/>
      <c r="Z253" s="868"/>
      <c r="AA253" s="235" t="s">
        <v>123</v>
      </c>
      <c r="AB253" s="234" t="s">
        <v>236</v>
      </c>
      <c r="AC253" s="191">
        <f t="array" ref="AC253">SUM(IF((E7:E30=170604)*(D7:D30="Excavation")*(G7:G30="Re Use On Site"),H7:H30,0))</f>
        <v>0</v>
      </c>
      <c r="AD253" s="191">
        <f t="array" ref="AD253">SUM(IF((E7:E30=170604)*(D7:D30="Excavation"),V7:V30,0))</f>
        <v>0</v>
      </c>
      <c r="AE253" s="191">
        <f t="array" ref="AE253">SUM(IF((E7:E30=170604)*(D7:D30="Excavation")*(G7:G30="Recycled On Site"),H7:H30,0))</f>
        <v>0</v>
      </c>
      <c r="AF253" s="191">
        <f t="array" ref="AF253">SUM(IF((E7:E30=170604)*(D7:D30="Excavation")*(G7:G30="Recycled Off Site - Transfer Station, MRF, EfW"),J7:J30,0))</f>
        <v>0</v>
      </c>
      <c r="AG253" s="191">
        <f t="array" ref="AG253">SUM(IF((E7:E30=170604)*(D7:D30="Excavation"),R7:R30,0))</f>
        <v>0</v>
      </c>
      <c r="AH253" s="191">
        <f t="array" ref="AH253">SUM(IF((E7:E30=170604)*(D7:D30="Excavation"),S7:S30,0))</f>
        <v>0</v>
      </c>
      <c r="AI253" s="192">
        <f t="shared" si="127"/>
        <v>0</v>
      </c>
      <c r="AJ253" s="192">
        <f t="shared" si="128"/>
        <v>0</v>
      </c>
    </row>
    <row r="254" spans="25:36" ht="13.8" thickBot="1" x14ac:dyDescent="0.3">
      <c r="Y254" s="874"/>
      <c r="Z254" s="869"/>
      <c r="AA254" s="235" t="s">
        <v>123</v>
      </c>
      <c r="AB254" s="234" t="s">
        <v>237</v>
      </c>
      <c r="AC254" s="191">
        <f t="array" ref="AC254">SUM(IF((E7:E30=170604)*(D7:D30="Construction")*(G7:G30="Re Use On Site"),H7:H30,0))</f>
        <v>0</v>
      </c>
      <c r="AD254" s="191">
        <f t="array" ref="AD254">SUM(IF((E7:E30=170604)*(D7:D30="Construction"),V7:V30,0))</f>
        <v>0</v>
      </c>
      <c r="AE254" s="191">
        <f t="array" ref="AE254">SUM(IF((E7:E30=170604)*(D7:D30="Construction")*(G7:G30="Recycled On Site"),H7:H30,0))</f>
        <v>0</v>
      </c>
      <c r="AF254" s="191">
        <f t="array" ref="AF254">SUM(IF((E7:E30=170604)*(D7:D30="Construction")*(G7:G30="Recycled Off Site - Transfer Station, MRF, EfW"),J7:J30,0))</f>
        <v>0</v>
      </c>
      <c r="AG254" s="191">
        <f t="array" ref="AG254">SUM(IF((E7:E30=170604)*(D7:D30="Construction"),R7:R30,0))</f>
        <v>0</v>
      </c>
      <c r="AH254" s="191">
        <f t="array" ref="AH254">SUM(IF((E7:E30=170604)*(D7:D30="Construction"),S7:S30,0))</f>
        <v>0</v>
      </c>
      <c r="AI254" s="192">
        <f t="shared" si="127"/>
        <v>0</v>
      </c>
      <c r="AJ254" s="192">
        <f t="shared" si="128"/>
        <v>0</v>
      </c>
    </row>
    <row r="255" spans="25:36" x14ac:dyDescent="0.25">
      <c r="Y255" s="865" t="s">
        <v>172</v>
      </c>
      <c r="Z255" s="867">
        <v>170603</v>
      </c>
      <c r="AA255" s="235" t="s">
        <v>126</v>
      </c>
      <c r="AB255" s="231" t="s">
        <v>235</v>
      </c>
      <c r="AC255" s="232">
        <f t="array" ref="AC255">SUM(IF((E7:E30=170603)*(D7:D30="Demolition")*(G7:G30="Re Use On Site"),H7:H30,0))</f>
        <v>0</v>
      </c>
      <c r="AD255" s="232">
        <f t="array" ref="AD255">SUM(IF((E7:E30=170603)*(D7:D30="Demolition"),V7:V30,0))</f>
        <v>0</v>
      </c>
      <c r="AE255" s="232">
        <f t="array" ref="AE255">SUM(IF((E7:E30=170603)*(D7:D30="Demolition")*(G7:G30="Recycled On Site"),H7:H30,0))</f>
        <v>0</v>
      </c>
      <c r="AF255" s="232">
        <f t="array" ref="AF255">SUM(IF((E7:E30=170603)*(D7:D30="Demolition")*(G7:G30="Recycled Off Site - Transfer Station, MRF, EfW"),J7:J30,0))</f>
        <v>0</v>
      </c>
      <c r="AG255" s="232">
        <f t="array" ref="AG255">SUM(IF((E7:E30=170603)*(D7:D30="Demolition"),R7:R30,0))</f>
        <v>0</v>
      </c>
      <c r="AH255" s="232">
        <f t="array" ref="AH255">SUM(IF((E7:E30=170603)*(D7:D30="Demolition"),S7:S30,0))</f>
        <v>0</v>
      </c>
      <c r="AI255" s="192">
        <f t="shared" si="127"/>
        <v>0</v>
      </c>
      <c r="AJ255" s="192">
        <f t="shared" si="128"/>
        <v>0</v>
      </c>
    </row>
    <row r="256" spans="25:36" x14ac:dyDescent="0.25">
      <c r="Y256" s="871"/>
      <c r="Z256" s="868"/>
      <c r="AA256" s="235" t="s">
        <v>126</v>
      </c>
      <c r="AB256" s="234" t="s">
        <v>236</v>
      </c>
      <c r="AC256" s="191">
        <f t="array" ref="AC256">SUM(IF((E7:E30=170603)*(D7:D30="Excavation")*(G7:G30="Re Use On Site"),H7:H30,0))</f>
        <v>0</v>
      </c>
      <c r="AD256" s="191">
        <f t="array" ref="AD256">SUM(IF((E7:E30=170603)*(D7:D30="Excavation"),V7:V30,0))</f>
        <v>0</v>
      </c>
      <c r="AE256" s="191">
        <f t="array" ref="AE256">SUM(IF((E7:E30=170603)*(D7:D30="Excavation")*(G7:G30="Recycled On Site"),H7:H30,0))</f>
        <v>0</v>
      </c>
      <c r="AF256" s="191">
        <f t="array" ref="AF256">SUM(IF((E7:E30=170603)*(D7:D30="Excavation")*(G7:G30="Recycled Off Site - Transfer Station, MRF, EfW"),J7:J30,0))</f>
        <v>0</v>
      </c>
      <c r="AG256" s="191">
        <f t="array" ref="AG256">SUM(IF((E7:E30=170603)*(D7:D30="Excavation"),R7:R30,0))</f>
        <v>0</v>
      </c>
      <c r="AH256" s="191">
        <f t="array" ref="AH256">SUM(IF((E7:E30=170603)*(D7:D30="Excavation"),S7:S30,0))</f>
        <v>0</v>
      </c>
      <c r="AI256" s="192">
        <f t="shared" si="127"/>
        <v>0</v>
      </c>
      <c r="AJ256" s="192">
        <f t="shared" si="128"/>
        <v>0</v>
      </c>
    </row>
    <row r="257" spans="25:36" ht="13.8" thickBot="1" x14ac:dyDescent="0.3">
      <c r="Y257" s="874"/>
      <c r="Z257" s="869"/>
      <c r="AA257" s="235" t="s">
        <v>126</v>
      </c>
      <c r="AB257" s="234" t="s">
        <v>237</v>
      </c>
      <c r="AC257" s="191">
        <f t="array" ref="AC257">SUM(IF((E7:E30=170603)*(D7:D30="Construction")*(G7:G30="Re Use On Site"),H7:H30,0))</f>
        <v>0</v>
      </c>
      <c r="AD257" s="191">
        <f t="array" ref="AD257">SUM(IF((E7:E30=170603)*(D7:D30="Construction"),V7:V30,0))</f>
        <v>0</v>
      </c>
      <c r="AE257" s="191">
        <f t="array" ref="AE257">SUM(IF((E7:E30=170603)*(D7:D30="Construction")*(G7:G30="Recycled On Site"),H7:H30,0))</f>
        <v>0</v>
      </c>
      <c r="AF257" s="191">
        <f t="array" ref="AF257">SUM(IF((E7:E30=170603)*(D7:D30="Construction")*(G7:G30="Recycled Off Site - Transfer Station, MRF, EfW"),J7:J30,0))</f>
        <v>0</v>
      </c>
      <c r="AG257" s="191">
        <f t="array" ref="AG257">SUM(IF((E7:E30=170603)*(D7:D30="Construction"),R7:R30,0))</f>
        <v>0</v>
      </c>
      <c r="AH257" s="191">
        <f t="array" ref="AH257">SUM(IF((E7:E30=170603)*(D7:D30="Construction"),S7:S30,0))</f>
        <v>0</v>
      </c>
      <c r="AI257" s="192">
        <f t="shared" si="127"/>
        <v>0</v>
      </c>
      <c r="AJ257" s="192">
        <f t="shared" si="128"/>
        <v>0</v>
      </c>
    </row>
    <row r="258" spans="25:36" x14ac:dyDescent="0.25">
      <c r="Y258" s="865" t="s">
        <v>173</v>
      </c>
      <c r="Z258" s="867">
        <v>170601</v>
      </c>
      <c r="AA258" s="235" t="s">
        <v>126</v>
      </c>
      <c r="AB258" s="231" t="s">
        <v>235</v>
      </c>
      <c r="AC258" s="232">
        <f t="array" ref="AC258">SUM(IF((E7:E30=170601)*(D7:D30="Demolition")*(G7:G30="Re Use On Site"),H7:H30,0))</f>
        <v>0</v>
      </c>
      <c r="AD258" s="232">
        <f t="array" ref="AD258">SUM(IF((E7:E30=170601)*(D7:D30="Demolition"),V7:V30,0))</f>
        <v>0</v>
      </c>
      <c r="AE258" s="232">
        <f t="array" ref="AE258">SUM(IF((E7:E30=170601)*(D7:D30="Demolition")*(G7:G30="Recycled On Site"),H7:H30,0))</f>
        <v>0</v>
      </c>
      <c r="AF258" s="232">
        <f t="array" ref="AF258">SUM(IF((E7:E30=170601)*(D7:D30="Demolition")*(G7:G30="Recycled Off Site - Transfer Station, MRF, EfW"),J7:J30,0))</f>
        <v>0</v>
      </c>
      <c r="AG258" s="232">
        <f t="array" ref="AG258">SUM(IF((E7:E30=170601)*(D7:D30="Demolition"),R7:R30,0))</f>
        <v>0</v>
      </c>
      <c r="AH258" s="232">
        <f t="array" ref="AH258">SUM(IF((E7:E30=170601)*(D7:D30="Demolition"),S7:S30,0))</f>
        <v>0</v>
      </c>
      <c r="AI258" s="192">
        <f t="shared" si="127"/>
        <v>0</v>
      </c>
      <c r="AJ258" s="192">
        <f t="shared" si="128"/>
        <v>0</v>
      </c>
    </row>
    <row r="259" spans="25:36" x14ac:dyDescent="0.25">
      <c r="Y259" s="871"/>
      <c r="Z259" s="868"/>
      <c r="AA259" s="235" t="s">
        <v>126</v>
      </c>
      <c r="AB259" s="234" t="s">
        <v>236</v>
      </c>
      <c r="AC259" s="191">
        <f t="array" ref="AC259">SUM(IF((E7:E30=170601)*(D7:D30="Excavation")*(G7:G30="Re Use On Site"),H7:H30,0))</f>
        <v>0</v>
      </c>
      <c r="AD259" s="191">
        <f t="array" ref="AD259">SUM(IF((E7:E30=170601)*(D7:D30="Excavation"),V7:V30,0))</f>
        <v>0</v>
      </c>
      <c r="AE259" s="191">
        <f t="array" ref="AE259">SUM(IF((E7:E30=170601)*(D7:D30="Excavation")*(G7:G30="Recycled On Site"),H7:H30,0))</f>
        <v>0</v>
      </c>
      <c r="AF259" s="191">
        <f t="array" ref="AF259">SUM(IF((E7:E30=170601)*(D7:D30="Excavation")*(G7:G30="Recycled Off Site - Transfer Station, MRF, EfW"),J7:J30,0))</f>
        <v>0</v>
      </c>
      <c r="AG259" s="191">
        <f t="array" ref="AG259">SUM(IF((E7:E30=170601)*(D7:D30="Excavation"),R7:R30,0))</f>
        <v>0</v>
      </c>
      <c r="AH259" s="191">
        <f t="array" ref="AH259">SUM(IF((E7:E30=170601)*(D7:D30="Excavation"),S7:S30,0))</f>
        <v>0</v>
      </c>
      <c r="AI259" s="192">
        <f t="shared" si="127"/>
        <v>0</v>
      </c>
      <c r="AJ259" s="192">
        <f t="shared" si="128"/>
        <v>0</v>
      </c>
    </row>
    <row r="260" spans="25:36" ht="13.8" thickBot="1" x14ac:dyDescent="0.3">
      <c r="Y260" s="874"/>
      <c r="Z260" s="869"/>
      <c r="AA260" s="235" t="s">
        <v>126</v>
      </c>
      <c r="AB260" s="234" t="s">
        <v>237</v>
      </c>
      <c r="AC260" s="191">
        <f t="array" ref="AC260">SUM(IF((E7:E30=170601)*(D7:D30="Construction")*(G7:G30="Re Use On Site"),H7:H30,0))</f>
        <v>0</v>
      </c>
      <c r="AD260" s="191">
        <f t="array" ref="AD260">SUM(IF((E7:E30=170601)*(D7:D30="Construction"),V7:V30,0))</f>
        <v>0</v>
      </c>
      <c r="AE260" s="191">
        <f t="array" ref="AE260">SUM(IF((E7:E30=170601)*(D7:D30="Construction")*(G7:G30="Recycled On Site"),H7:H30,0))</f>
        <v>0</v>
      </c>
      <c r="AF260" s="191">
        <f t="array" ref="AF260">SUM(IF((E7:E30=170601)*(D7:D30="Construction")*(G7:G30="Recycled Off Site - Transfer Station, MRF, EfW"),J7:J30,0))</f>
        <v>0</v>
      </c>
      <c r="AG260" s="191">
        <f t="array" ref="AG260">SUM(IF((E7:E30=170601)*(D7:D30="Construction"),R7:R30,0))</f>
        <v>0</v>
      </c>
      <c r="AH260" s="191">
        <f t="array" ref="AH260">SUM(IF((E7:E30=170601)*(D7:D30="Construction"),S7:S30,0))</f>
        <v>0</v>
      </c>
      <c r="AI260" s="192">
        <f t="shared" si="127"/>
        <v>0</v>
      </c>
      <c r="AJ260" s="192">
        <f t="shared" si="128"/>
        <v>0</v>
      </c>
    </row>
    <row r="261" spans="25:36" x14ac:dyDescent="0.25">
      <c r="Y261" s="865" t="s">
        <v>174</v>
      </c>
      <c r="Z261" s="875">
        <v>130503</v>
      </c>
      <c r="AA261" s="235" t="s">
        <v>123</v>
      </c>
      <c r="AB261" s="231" t="s">
        <v>235</v>
      </c>
      <c r="AC261" s="232">
        <f t="array" ref="AC261">SUM(IF((E7:E30=130503)*(D7:D30="Demolition")*(G7:G30="Re Use On Site"),H7:H30,0))</f>
        <v>0</v>
      </c>
      <c r="AD261" s="232">
        <f t="array" ref="AD261">SUM(IF((E7:E30=130503)*(D7:D30="Demolition"),V7:V30,0))</f>
        <v>0</v>
      </c>
      <c r="AE261" s="232">
        <f t="array" ref="AE261">SUM(IF((E7:E30=130503)*(D7:D30="Demolition")*(G7:G30="Recycled On Site"),H7:H30,0))</f>
        <v>0</v>
      </c>
      <c r="AF261" s="232">
        <f t="array" ref="AF261">SUM(IF((E7:E30=130503)*(D7:D30="Demolition")*(G7:G30="Recycled Off Site - Transfer Station, MRF, EfW"),J7:J30,0))</f>
        <v>0</v>
      </c>
      <c r="AG261" s="232">
        <f t="array" ref="AG261">SUM(IF((E7:E30=130503)*(D7:D30="Demolition"),R7:R30,0))</f>
        <v>0</v>
      </c>
      <c r="AH261" s="232">
        <f t="array" ref="AH261">SUM(IF((E7:E30=130503)*(D7:D30="Demolition"),S7:S30,0))</f>
        <v>0</v>
      </c>
      <c r="AI261" s="192">
        <f t="shared" si="127"/>
        <v>0</v>
      </c>
      <c r="AJ261" s="192">
        <f t="shared" si="128"/>
        <v>0</v>
      </c>
    </row>
    <row r="262" spans="25:36" x14ac:dyDescent="0.25">
      <c r="Y262" s="871"/>
      <c r="Z262" s="876"/>
      <c r="AA262" s="235" t="s">
        <v>123</v>
      </c>
      <c r="AB262" s="234" t="s">
        <v>236</v>
      </c>
      <c r="AC262" s="191">
        <f t="array" ref="AC262">SUM(IF((E7:E30=130503)*(D7:D30="Excavation")*(G7:G30="Re Use On Site"),H7:H30,0))</f>
        <v>0</v>
      </c>
      <c r="AD262" s="191">
        <f t="array" ref="AD262">SUM(IF((E7:E30=130503)*(D7:D30="Excavation"),V7:V30,0))</f>
        <v>0</v>
      </c>
      <c r="AE262" s="191">
        <f t="array" ref="AE262">SUM(IF((E7:E30=130503)*(D7:D30="Excavation")*(G7:G30="Recycled On Site"),H7:H30,0))</f>
        <v>0</v>
      </c>
      <c r="AF262" s="191">
        <f t="array" ref="AF262">SUM(IF((E7:E30=130503)*(D7:D30="Excavation")*(G7:G30="Recycled Off Site - Transfer Station, MRF, EfW"),J7:J30,0))</f>
        <v>0</v>
      </c>
      <c r="AG262" s="191">
        <f t="array" ref="AG262">SUM(IF((E7:E30=130503)*(D7:D30="Excavation"),R7:R30,0))</f>
        <v>0</v>
      </c>
      <c r="AH262" s="191">
        <f t="array" ref="AH262">SUM(IF((E7:E30=130503)*(D7:D30="Excavation"),S7:S30,0))</f>
        <v>0</v>
      </c>
      <c r="AI262" s="192">
        <f t="shared" si="127"/>
        <v>0</v>
      </c>
      <c r="AJ262" s="192">
        <f t="shared" si="128"/>
        <v>0</v>
      </c>
    </row>
    <row r="263" spans="25:36" ht="13.8" thickBot="1" x14ac:dyDescent="0.3">
      <c r="Y263" s="874"/>
      <c r="Z263" s="877"/>
      <c r="AA263" s="235" t="s">
        <v>123</v>
      </c>
      <c r="AB263" s="234" t="s">
        <v>237</v>
      </c>
      <c r="AC263" s="191">
        <f t="array" ref="AC263">SUM(IF((E7:E30=130503)*(D7:D30="Construction")*(G7:G30="Re Use On Site"),H7:H30,0))</f>
        <v>0</v>
      </c>
      <c r="AD263" s="191">
        <f t="array" ref="AD263">SUM(IF((E7:E30=130503)*(D7:D30="Construction"),V7:V30,0))</f>
        <v>0</v>
      </c>
      <c r="AE263" s="191">
        <f t="array" ref="AE263">SUM(IF((E7:E30=130503)*(D7:D30="Construction")*(G7:G30="Recycled On Site"),H7:H30,0))</f>
        <v>0</v>
      </c>
      <c r="AF263" s="191">
        <f t="array" ref="AF263">SUM(IF((E7:E30=130503)*(D7:D30="Construction")*(G7:G30="Recycled Off Site - Transfer Station, MRF, EfW"),J7:J30,0))</f>
        <v>0</v>
      </c>
      <c r="AG263" s="191">
        <f t="array" ref="AG263">SUM(IF((E7:E30=130503)*(D7:D30="Construction"),R7:R30,0))</f>
        <v>0</v>
      </c>
      <c r="AH263" s="191">
        <f t="array" ref="AH263">SUM(IF((E7:E30=130503)*(D7:D30="Construction"),S7:S30,0))</f>
        <v>0</v>
      </c>
      <c r="AI263" s="192">
        <f t="shared" si="127"/>
        <v>0</v>
      </c>
      <c r="AJ263" s="192">
        <f t="shared" si="128"/>
        <v>0</v>
      </c>
    </row>
    <row r="264" spans="25:36" x14ac:dyDescent="0.25">
      <c r="Y264" s="865" t="s">
        <v>175</v>
      </c>
      <c r="Z264" s="867">
        <v>170402</v>
      </c>
      <c r="AA264" s="235" t="s">
        <v>123</v>
      </c>
      <c r="AB264" s="231" t="s">
        <v>235</v>
      </c>
      <c r="AC264" s="232">
        <f t="array" ref="AC264">SUM(IF((E7:E30=170402)*(D7:D30="Demolition")*(G7:G30="Re Use On Site"),H7:H30,0))</f>
        <v>0</v>
      </c>
      <c r="AD264" s="232">
        <f t="array" ref="AD264">SUM(IF((E7:E30=170402)*(D7:D30="Demolition"),V7:V30,0))</f>
        <v>0</v>
      </c>
      <c r="AE264" s="232">
        <f t="array" ref="AE264">SUM(IF((E7:E30=170402)*(D7:D30="Demolition")*(G7:G30="Recycled On Site"),H7:H30,0))</f>
        <v>0</v>
      </c>
      <c r="AF264" s="232">
        <f t="array" ref="AF264">SUM(IF((E7:E30=170402)*(D7:D30="Demolition")*(G7:G30="Recycled Off Site - Transfer Station, MRF, EfW"),J7:J30,0))</f>
        <v>0</v>
      </c>
      <c r="AG264" s="232">
        <f t="array" ref="AG264">SUM(IF((E7:E30=170402)*(D7:D30="Demolition"),R7:R30,0))</f>
        <v>0</v>
      </c>
      <c r="AH264" s="232">
        <f t="array" ref="AH264">SUM(IF((E7:E30=170402)*(D7:D30="Demolition"),S7:S30,0))</f>
        <v>0</v>
      </c>
      <c r="AI264" s="192">
        <f t="shared" si="127"/>
        <v>0</v>
      </c>
      <c r="AJ264" s="192">
        <f t="shared" si="128"/>
        <v>0</v>
      </c>
    </row>
    <row r="265" spans="25:36" x14ac:dyDescent="0.25">
      <c r="Y265" s="871"/>
      <c r="Z265" s="868"/>
      <c r="AA265" s="235" t="s">
        <v>123</v>
      </c>
      <c r="AB265" s="234" t="s">
        <v>236</v>
      </c>
      <c r="AC265" s="191">
        <f t="array" ref="AC265">SUM(IF((E7:E30=170402)*(D7:D30="Excavation")*(G7:G30="Re Use On Site"),H7:H30,0))</f>
        <v>0</v>
      </c>
      <c r="AD265" s="191">
        <f t="array" ref="AD265">SUM(IF((E7:E30=170402)*(D7:D30="Excavation"),V7:V30,0))</f>
        <v>0</v>
      </c>
      <c r="AE265" s="191">
        <f t="array" ref="AE265">SUM(IF((E7:E30=170402)*(D7:D30="Excavation")*(G7:G30="Recycled On Site"),H7:H30,0))</f>
        <v>0</v>
      </c>
      <c r="AF265" s="191">
        <f t="array" ref="AF265">SUM(IF((E7:E30=170402)*(D7:D30="Excavation")*(G7:G30="Recycled Off Site - Transfer Station, MRF, EfW"),J7:J30,0))</f>
        <v>0</v>
      </c>
      <c r="AG265" s="191">
        <f t="array" ref="AG265">SUM(IF((E7:E30=170402)*(D7:D30="Excavation"),R7:R30,0))</f>
        <v>0</v>
      </c>
      <c r="AH265" s="191">
        <f t="array" ref="AH265">SUM(IF((E7:E30=170402)*(D7:D30="Excavation"),S7:S30,0))</f>
        <v>0</v>
      </c>
      <c r="AI265" s="192">
        <f t="shared" si="127"/>
        <v>0</v>
      </c>
      <c r="AJ265" s="192">
        <f t="shared" si="128"/>
        <v>0</v>
      </c>
    </row>
    <row r="266" spans="25:36" ht="13.8" thickBot="1" x14ac:dyDescent="0.3">
      <c r="Y266" s="874"/>
      <c r="Z266" s="869"/>
      <c r="AA266" s="235" t="s">
        <v>123</v>
      </c>
      <c r="AB266" s="234" t="s">
        <v>237</v>
      </c>
      <c r="AC266" s="191">
        <f t="array" ref="AC266">SUM(IF((E7:E30=170402)*(D7:D30="Construction")*(G7:G30="Re Use On Site"),H7:H30,0))</f>
        <v>0</v>
      </c>
      <c r="AD266" s="191">
        <f t="array" ref="AD266">SUM(IF((E7:E30=170402)*(D7:D30="Construction"),V7:V30,0))</f>
        <v>0</v>
      </c>
      <c r="AE266" s="191">
        <f t="array" ref="AE266">SUM(IF((E7:E30=170402)*(D7:D30="Construction")*(G7:G30="Recycled On Site"),H7:H30,0))</f>
        <v>0</v>
      </c>
      <c r="AF266" s="191">
        <f t="array" ref="AF266">SUM(IF((E7:E30=170402)*(D7:D30="Construction")*(G7:G30="Recycled Off Site - Transfer Station, MRF, EfW"),J7:J30,0))</f>
        <v>0</v>
      </c>
      <c r="AG266" s="191">
        <f t="array" ref="AG266">SUM(IF((E7:E30=170402)*(D7:D30="Construction"),R7:R30,0))</f>
        <v>0</v>
      </c>
      <c r="AH266" s="191">
        <f t="array" ref="AH266">SUM(IF((E7:E30=170402)*(D7:D30="Construction"),S7:S30,0))</f>
        <v>0</v>
      </c>
      <c r="AI266" s="192">
        <f t="shared" si="127"/>
        <v>0</v>
      </c>
      <c r="AJ266" s="192">
        <f t="shared" si="128"/>
        <v>0</v>
      </c>
    </row>
    <row r="267" spans="25:36" x14ac:dyDescent="0.25">
      <c r="Y267" s="865" t="s">
        <v>176</v>
      </c>
      <c r="Z267" s="867">
        <v>170401</v>
      </c>
      <c r="AA267" s="235" t="s">
        <v>123</v>
      </c>
      <c r="AB267" s="231" t="s">
        <v>235</v>
      </c>
      <c r="AC267" s="232">
        <f t="array" ref="AC267">SUM(IF((E7:E30=170401)*(D7:D30="Demolition")*(G7:G30="Re Use On Site"),H7:H30,0))</f>
        <v>0</v>
      </c>
      <c r="AD267" s="232">
        <f t="array" ref="AD267">SUM(IF((E7:E30=170401)*(D7:D30="Demolition"),V7:V30,0))</f>
        <v>0</v>
      </c>
      <c r="AE267" s="232">
        <f t="array" ref="AE267">SUM(IF((E7:E30=170401)*(D7:D30="Demolition")*(G7:G30="Recycled On Site"),H7:H30,0))</f>
        <v>0</v>
      </c>
      <c r="AF267" s="232">
        <f t="array" ref="AF267">SUM(IF((E7:E30=170401)*(D7:D30="Demolition")*(G7:G30="Recycled Off Site - Transfer Station, MRF, EfW"),J7:J30,0))</f>
        <v>0</v>
      </c>
      <c r="AG267" s="232">
        <f t="array" ref="AG267">SUM(IF((E7:E30=170401)*(D7:D30="Demolition"),R7:R30,0))</f>
        <v>0</v>
      </c>
      <c r="AH267" s="232">
        <f t="array" ref="AH267">SUM(IF((E7:E30=170401)*(D7:D30="Demolition"),S7:S30,0))</f>
        <v>0</v>
      </c>
      <c r="AI267" s="192">
        <f t="shared" si="127"/>
        <v>0</v>
      </c>
      <c r="AJ267" s="192">
        <f t="shared" si="128"/>
        <v>0</v>
      </c>
    </row>
    <row r="268" spans="25:36" x14ac:dyDescent="0.25">
      <c r="Y268" s="871"/>
      <c r="Z268" s="868"/>
      <c r="AA268" s="235" t="s">
        <v>123</v>
      </c>
      <c r="AB268" s="234" t="s">
        <v>236</v>
      </c>
      <c r="AC268" s="191">
        <f t="array" ref="AC268">SUM(IF((E7:E30=170401)*(D7:D30="Excavation")*(G7:G30="Re Use On Site"),H7:H30,0))</f>
        <v>0</v>
      </c>
      <c r="AD268" s="191">
        <f t="array" ref="AD268">SUM(IF((E7:E30=170401)*(D7:D30="Excavation"),V7:V30,0))</f>
        <v>0</v>
      </c>
      <c r="AE268" s="191">
        <f t="array" ref="AE268">SUM(IF((E7:E30=170401)*(D7:D30="Excavation")*(G7:G30="Recycled On Site"),H7:H30,0))</f>
        <v>0</v>
      </c>
      <c r="AF268" s="191">
        <f t="array" ref="AF268">SUM(IF((E7:E30=170401)*(D7:D30="Excavation")*(G7:G30="Recycled Off Site - Transfer Station, MRF, EfW"),J7:J30,0))</f>
        <v>0</v>
      </c>
      <c r="AG268" s="191">
        <f t="array" ref="AG268">SUM(IF((E7:E30=170401)*(D7:D30="Excavation"),R7:R30,0))</f>
        <v>0</v>
      </c>
      <c r="AH268" s="191">
        <f t="array" ref="AH268">SUM(IF((E7:E30=170401)*(D7:D30="Excavation"),S7:S30,0))</f>
        <v>0</v>
      </c>
      <c r="AI268" s="192">
        <f t="shared" si="127"/>
        <v>0</v>
      </c>
      <c r="AJ268" s="192">
        <f t="shared" si="128"/>
        <v>0</v>
      </c>
    </row>
    <row r="269" spans="25:36" ht="13.5" customHeight="1" thickBot="1" x14ac:dyDescent="0.3">
      <c r="Y269" s="874"/>
      <c r="Z269" s="869"/>
      <c r="AA269" s="235" t="s">
        <v>123</v>
      </c>
      <c r="AB269" s="234" t="s">
        <v>237</v>
      </c>
      <c r="AC269" s="191">
        <f t="array" ref="AC269">SUM(IF((E7:E30=170401)*(D7:D30="Construction")*(G7:G30="Re Use On Site"),H7:H30,0))</f>
        <v>0</v>
      </c>
      <c r="AD269" s="191">
        <f t="array" ref="AD269">SUM(IF((E7:E30=170401)*(D7:D30="Construction"),V7:V30,0))</f>
        <v>0</v>
      </c>
      <c r="AE269" s="191">
        <f t="array" ref="AE269">SUM(IF((E7:E30=170401)*(D7:D30="Construction")*(G7:G30="Recycled On Site"),H7:H30,0))</f>
        <v>0</v>
      </c>
      <c r="AF269" s="191">
        <f t="array" ref="AF269">SUM(IF((E7:E30=170401)*(D7:D30="Construction")*(G7:G30="Recycled Off Site - Transfer Station, MRF, EfW"),J7:J30,0))</f>
        <v>0</v>
      </c>
      <c r="AG269" s="191">
        <f t="array" ref="AG269">SUM(IF((E7:E30=170401)*(D7:D30="Construction"),R7:R30,0))</f>
        <v>0</v>
      </c>
      <c r="AH269" s="191">
        <f t="array" ref="AH269">SUM(IF((E7:E30=170401)*(D7:D30="Construction"),S7:S30,0))</f>
        <v>0</v>
      </c>
      <c r="AI269" s="192">
        <f t="shared" si="127"/>
        <v>0</v>
      </c>
      <c r="AJ269" s="192">
        <f t="shared" si="128"/>
        <v>0</v>
      </c>
    </row>
    <row r="270" spans="25:36" x14ac:dyDescent="0.25">
      <c r="Y270" s="865" t="s">
        <v>177</v>
      </c>
      <c r="Z270" s="867">
        <v>170405</v>
      </c>
      <c r="AA270" s="235" t="s">
        <v>123</v>
      </c>
      <c r="AB270" s="231" t="s">
        <v>235</v>
      </c>
      <c r="AC270" s="232">
        <f t="array" ref="AC270">SUM(IF((E7:E30=170405)*(D7:D30="Demolition")*(G7:G30="Re Use On Site"),H7:H30,0))</f>
        <v>0</v>
      </c>
      <c r="AD270" s="232">
        <f t="array" ref="AD270">SUM(IF((E7:E30=170405)*(D7:D30="Demolition"),V7:V30,0))</f>
        <v>0</v>
      </c>
      <c r="AE270" s="232">
        <f t="array" ref="AE270">SUM(IF((E7:E30=170405)*(D7:D30="Demolition")*(G7:G30="Recycled On Site"),H7:H30,0))</f>
        <v>0</v>
      </c>
      <c r="AF270" s="232">
        <f t="array" ref="AF270">SUM(IF((E7:E30=170405)*(D7:D30="Demolition")*(G7:G30="Recycled Off Site - Transfer Station, MRF, EfW"),J7:J30,0))</f>
        <v>0</v>
      </c>
      <c r="AG270" s="232">
        <f t="array" ref="AG270">SUM(IF((E7:E30=170405)*(D7:D30="Demolition"),R7:R30,0))</f>
        <v>0</v>
      </c>
      <c r="AH270" s="232">
        <f t="array" ref="AH270">SUM(IF((E7:E30=170405)*(D7:D30="Demolition"),S7:S30,0))</f>
        <v>0</v>
      </c>
      <c r="AI270" s="192">
        <f t="shared" si="127"/>
        <v>0</v>
      </c>
      <c r="AJ270" s="192">
        <f t="shared" si="128"/>
        <v>0</v>
      </c>
    </row>
    <row r="271" spans="25:36" x14ac:dyDescent="0.25">
      <c r="Y271" s="871"/>
      <c r="Z271" s="868"/>
      <c r="AA271" s="235" t="s">
        <v>123</v>
      </c>
      <c r="AB271" s="234" t="s">
        <v>236</v>
      </c>
      <c r="AC271" s="191">
        <f t="array" ref="AC271">SUM(IF((E7:E30=170405)*(D7:D30="Excavation")*(G7:G30="Re Use On Site"),H7:H30,0))</f>
        <v>0</v>
      </c>
      <c r="AD271" s="191">
        <f t="array" ref="AD271">SUM(IF((E7:E30=170405)*(D7:D30="Excavation"),V7:V30,0))</f>
        <v>0</v>
      </c>
      <c r="AE271" s="191">
        <f t="array" ref="AE271">SUM(IF((E7:E30=170405)*(D7:D30="Excavation")*(G7:G30="Recycled On Site"),H7:H30,0))</f>
        <v>0</v>
      </c>
      <c r="AF271" s="191">
        <f t="array" ref="AF271">SUM(IF((E7:E30=170405)*(D7:D30="Excavation")*(G7:G30="Recycled Off Site - Transfer Station, MRF, EfW"),J7:J30,0))</f>
        <v>0</v>
      </c>
      <c r="AG271" s="191">
        <f t="array" ref="AG271">SUM(IF((E7:E30=170405)*(D7:D30="Excavation"),R7:R30,0))</f>
        <v>0</v>
      </c>
      <c r="AH271" s="191">
        <f t="array" ref="AH271">SUM(IF((E7:E30=170405)*(D7:D30="Excavation"),S7:S30,0))</f>
        <v>0</v>
      </c>
      <c r="AI271" s="192">
        <f t="shared" si="127"/>
        <v>0</v>
      </c>
      <c r="AJ271" s="192">
        <f t="shared" si="128"/>
        <v>0</v>
      </c>
    </row>
    <row r="272" spans="25:36" ht="13.8" thickBot="1" x14ac:dyDescent="0.3">
      <c r="Y272" s="874"/>
      <c r="Z272" s="869"/>
      <c r="AA272" s="235" t="s">
        <v>123</v>
      </c>
      <c r="AB272" s="234" t="s">
        <v>237</v>
      </c>
      <c r="AC272" s="191">
        <f t="array" ref="AC272">SUM(IF((E7:E30=170405)*(D7:D30="Construction")*(G7:G30="Re Use On Site"),H7:H30,0))</f>
        <v>0</v>
      </c>
      <c r="AD272" s="191">
        <f t="array" ref="AD272">SUM(IF((E7:E30=170405)*(D7:D30="Construction"),V7:V30,0))</f>
        <v>0</v>
      </c>
      <c r="AE272" s="191">
        <f t="array" ref="AE272">SUM(IF((E7:E30=170405)*(D7:D30="Construction")*(G7:G30="Recycled On Site"),H7:H30,0))</f>
        <v>0</v>
      </c>
      <c r="AF272" s="191">
        <f t="array" ref="AF272">SUM(IF((E7:E30=170405)*(D7:D30="Construction")*(G7:G30="Recycled Off Site - Transfer Station, MRF, EfW"),J7:J30,0))</f>
        <v>0</v>
      </c>
      <c r="AG272" s="191">
        <f t="array" ref="AG272">SUM(IF((E7:E30=170405)*(D7:D30="Construction"),R7:R30,0))</f>
        <v>0</v>
      </c>
      <c r="AH272" s="191">
        <f t="array" ref="AH272">SUM(IF((E7:E30=170405)*(D7:D30="Construction"),S7:S30,0))</f>
        <v>0</v>
      </c>
      <c r="AI272" s="192">
        <f t="shared" si="127"/>
        <v>0</v>
      </c>
      <c r="AJ272" s="192">
        <f t="shared" si="128"/>
        <v>0</v>
      </c>
    </row>
    <row r="273" spans="25:36" x14ac:dyDescent="0.25">
      <c r="Y273" s="865" t="s">
        <v>178</v>
      </c>
      <c r="Z273" s="875">
        <v>170403</v>
      </c>
      <c r="AA273" s="235" t="s">
        <v>123</v>
      </c>
      <c r="AB273" s="231" t="s">
        <v>235</v>
      </c>
      <c r="AC273" s="232">
        <f t="array" ref="AC273">SUM(IF((E7:E30=170403)*(D7:D30="Demolition")*(G7:G30="Re Use On Site"),H7:H30,0))</f>
        <v>0</v>
      </c>
      <c r="AD273" s="232">
        <f t="array" ref="AD273">SUM(IF((E7:E30=170403)*(D7:D30="Demolition"),V7:V30,0))</f>
        <v>0</v>
      </c>
      <c r="AE273" s="232">
        <f t="array" ref="AE273">SUM(IF((E7:E30=170403)*(D7:D30="Demolition")*(G7:G30="Recycled On Site"),H7:H30,0))</f>
        <v>0</v>
      </c>
      <c r="AF273" s="232">
        <f t="array" ref="AF273">SUM(IF((E7:E30=170403)*(D7:D30="Demolition")*(G7:G30="Recycled Off Site - Transfer Station, MRF, EfW"),J7:J30,0))</f>
        <v>0</v>
      </c>
      <c r="AG273" s="232">
        <f t="array" ref="AG273">SUM(IF((E7:E30=170403)*(D7:D30="Demolition"),R7:R30,0))</f>
        <v>0</v>
      </c>
      <c r="AH273" s="232">
        <f t="array" ref="AH273">SUM(IF((E7:E30=170403)*(D7:D30="Demolition"),S7:S30,0))</f>
        <v>0</v>
      </c>
      <c r="AI273" s="192">
        <f t="shared" si="127"/>
        <v>0</v>
      </c>
      <c r="AJ273" s="192">
        <f t="shared" si="128"/>
        <v>0</v>
      </c>
    </row>
    <row r="274" spans="25:36" x14ac:dyDescent="0.25">
      <c r="Y274" s="871"/>
      <c r="Z274" s="876"/>
      <c r="AA274" s="235" t="s">
        <v>123</v>
      </c>
      <c r="AB274" s="234" t="s">
        <v>236</v>
      </c>
      <c r="AC274" s="191">
        <f t="array" ref="AC274">SUM(IF((E7:E30=170403)*(D7:D30="Excavation")*(G7:G30="Re Use On Site"),H7:H30,0))</f>
        <v>0</v>
      </c>
      <c r="AD274" s="191">
        <f t="array" ref="AD274">SUM(IF((E7:E30=170403)*(D7:D30="Excavation"),V7:V30,0))</f>
        <v>0</v>
      </c>
      <c r="AE274" s="191">
        <f t="array" ref="AE274">SUM(IF((E7:E30=170403)*(D7:D30="Excavation")*(G7:G30="Recycled On Site"),H7:H30,0))</f>
        <v>0</v>
      </c>
      <c r="AF274" s="191">
        <f t="array" ref="AF274">SUM(IF((E7:E30=170403)*(D7:D30="Excavation")*(G7:G30="Recycled Off Site - Transfer Station, MRF, EfW"),J7:J30,0))</f>
        <v>0</v>
      </c>
      <c r="AG274" s="191">
        <f t="array" ref="AG274">SUM(IF((E7:E30=170403)*(D7:D30="Excavation"),R7:R30,0))</f>
        <v>0</v>
      </c>
      <c r="AH274" s="191">
        <f t="array" ref="AH274">SUM(IF((E7:E30=170403)*(D7:D30="Excavation"),S7:S30,0))</f>
        <v>0</v>
      </c>
      <c r="AI274" s="192">
        <f t="shared" si="127"/>
        <v>0</v>
      </c>
      <c r="AJ274" s="192">
        <f t="shared" si="128"/>
        <v>0</v>
      </c>
    </row>
    <row r="275" spans="25:36" ht="13.8" thickBot="1" x14ac:dyDescent="0.3">
      <c r="Y275" s="874"/>
      <c r="Z275" s="877"/>
      <c r="AA275" s="235" t="s">
        <v>123</v>
      </c>
      <c r="AB275" s="234" t="s">
        <v>237</v>
      </c>
      <c r="AC275" s="191">
        <f t="array" ref="AC275">SUM(IF((E7:E30=170403)*(D7:D30="Construction")*(G7:G30="Re Use On Site"),H7:H30,0))</f>
        <v>0</v>
      </c>
      <c r="AD275" s="191">
        <f t="array" ref="AD275">SUM(IF((E7:E30=170403)*(D7:D30="Construction"),V7:V30,0))</f>
        <v>0</v>
      </c>
      <c r="AE275" s="191">
        <f t="array" ref="AE275">SUM(IF((E7:E30=170403)*(D7:D30="Construction")*(G7:G30="Recycled On Site"),H7:H30,0))</f>
        <v>0</v>
      </c>
      <c r="AF275" s="191">
        <f t="array" ref="AF275">SUM(IF((E7:E30=170403)*(D7:D30="Construction")*(G7:G30="Recycled Off Site - Transfer Station, MRF, EfW"),J7:J30,0))</f>
        <v>0</v>
      </c>
      <c r="AG275" s="191">
        <f t="array" ref="AG275">SUM(IF((E7:E30=170403)*(D7:D30="Construction"),R7:R30,0))</f>
        <v>0</v>
      </c>
      <c r="AH275" s="191">
        <f t="array" ref="AH275">SUM(IF((E7:E30=170403)*(D7:D30="Construction"),S7:S30,0))</f>
        <v>0</v>
      </c>
      <c r="AI275" s="192">
        <f t="shared" si="127"/>
        <v>0</v>
      </c>
      <c r="AJ275" s="192">
        <f t="shared" si="128"/>
        <v>0</v>
      </c>
    </row>
    <row r="276" spans="25:36" x14ac:dyDescent="0.25">
      <c r="Y276" s="865" t="s">
        <v>179</v>
      </c>
      <c r="Z276" s="867">
        <v>170407</v>
      </c>
      <c r="AA276" s="235" t="s">
        <v>123</v>
      </c>
      <c r="AB276" s="231" t="s">
        <v>235</v>
      </c>
      <c r="AC276" s="232">
        <f t="array" ref="AC276">SUM(IF((E7:E30=170407)*(D7:D30="Demolition")*(G7:G30="Re Use On Site"),H7:H30,0))</f>
        <v>0</v>
      </c>
      <c r="AD276" s="232">
        <f t="array" ref="AD276">SUM(IF((E7:E30=170407)*(D7:D30="Demolition"),V7:V30,0))</f>
        <v>0</v>
      </c>
      <c r="AE276" s="232">
        <f t="array" ref="AE276">SUM(IF((E7:E30=170407)*(D7:D30="Demolition")*(G7:G30="Recycled On Site"),H7:H30,0))</f>
        <v>0</v>
      </c>
      <c r="AF276" s="232">
        <f t="array" ref="AF276">SUM(IF((E7:E30=170407)*(D7:D30="Demolition")*(G7:G30="Recycled Off Site - Transfer Station, MRF, EfW"),J7:J30,0))</f>
        <v>0</v>
      </c>
      <c r="AG276" s="232">
        <f t="array" ref="AG276">SUM(IF((E7:E30=170407)*(D7:D30="Demolition"),R7:R30,0))</f>
        <v>0</v>
      </c>
      <c r="AH276" s="232">
        <f t="array" ref="AH276">SUM(IF((E7:E30=170407)*(D7:D30="Demolition"),S7:S30,0))</f>
        <v>0</v>
      </c>
      <c r="AI276" s="192">
        <f t="shared" si="127"/>
        <v>0</v>
      </c>
      <c r="AJ276" s="192">
        <f t="shared" si="128"/>
        <v>0</v>
      </c>
    </row>
    <row r="277" spans="25:36" x14ac:dyDescent="0.25">
      <c r="Y277" s="871"/>
      <c r="Z277" s="868"/>
      <c r="AA277" s="235" t="s">
        <v>123</v>
      </c>
      <c r="AB277" s="234" t="s">
        <v>236</v>
      </c>
      <c r="AC277" s="191">
        <f t="array" ref="AC277">SUM(IF((E7:E30=170407)*(D7:D30="Excavation")*(G7:G30="Re Use On Site"),H7:H30,0))</f>
        <v>0</v>
      </c>
      <c r="AD277" s="191">
        <f t="array" ref="AD277">SUM(IF((E7:E30=170407)*(D7:D30="Excavation"),V7:V30,0))</f>
        <v>0</v>
      </c>
      <c r="AE277" s="191">
        <f t="array" ref="AE277">SUM(IF((E7:E30=170407)*(D7:D30="Excavation")*(G7:G30="Recycled On Site"),H7:H30,0))</f>
        <v>0</v>
      </c>
      <c r="AF277" s="191">
        <f t="array" ref="AF277">SUM(IF((E7:E30=170407)*(D7:D30="Excavation")*(G7:G30="Recycled Off Site - Transfer Station, MRF, EfW"),J7:J30,0))</f>
        <v>0</v>
      </c>
      <c r="AG277" s="191">
        <f t="array" ref="AG277">SUM(IF((E7:E30=170407)*(D7:D30="Excavation"),R7:R30,0))</f>
        <v>0</v>
      </c>
      <c r="AH277" s="191">
        <f t="array" ref="AH277">SUM(IF((E7:E30=170407)*(D7:D30="Excavation"),S7:S30,0))</f>
        <v>0</v>
      </c>
      <c r="AI277" s="192">
        <f t="shared" si="127"/>
        <v>0</v>
      </c>
      <c r="AJ277" s="192">
        <f t="shared" si="128"/>
        <v>0</v>
      </c>
    </row>
    <row r="278" spans="25:36" ht="13.8" thickBot="1" x14ac:dyDescent="0.3">
      <c r="Y278" s="874"/>
      <c r="Z278" s="869"/>
      <c r="AA278" s="235" t="s">
        <v>123</v>
      </c>
      <c r="AB278" s="234" t="s">
        <v>237</v>
      </c>
      <c r="AC278" s="191">
        <f t="array" ref="AC278">SUM(IF((E7:E30=170407)*(D7:D30="Construction")*(G7:G30="Re Use On Site"),H7:H30,0))</f>
        <v>0</v>
      </c>
      <c r="AD278" s="191">
        <f t="array" ref="AD278">SUM(IF((E7:E30=170407)*(D7:D30="Construction"),V7:V30,0))</f>
        <v>0</v>
      </c>
      <c r="AE278" s="191">
        <f t="array" ref="AE278">SUM(IF((E7:E30=170407)*(D7:D30="Construction")*(G7:G30="Recycled On Site"),H7:H30,0))</f>
        <v>0</v>
      </c>
      <c r="AF278" s="191" t="e">
        <f t="array" ref="AF278">SUM(IF((E7:E30=170407)*(D7:D30="Construction")*(G7:G30="Recycled Off Site - Transfer Station, MRF, EfW"),J7:J30,0))</f>
        <v>#VALUE!</v>
      </c>
      <c r="AG278" s="191">
        <f t="array" ref="AG278">SUM(IF((E7:E30=170407)*(D7:D30="Construction"),R7:R30,0))</f>
        <v>0</v>
      </c>
      <c r="AH278" s="191" t="e">
        <f t="array" ref="AH278">SUM(IF((E7:E30=170407)*(D7:D30="Construction"),S7:S30,0))</f>
        <v>#VALUE!</v>
      </c>
      <c r="AI278" s="192" t="e">
        <f t="shared" si="127"/>
        <v>#VALUE!</v>
      </c>
      <c r="AJ278" s="192" t="e">
        <f t="shared" si="128"/>
        <v>#VALUE!</v>
      </c>
    </row>
    <row r="279" spans="25:36" x14ac:dyDescent="0.25">
      <c r="Y279" s="865" t="s">
        <v>180</v>
      </c>
      <c r="Z279" s="867">
        <v>170409</v>
      </c>
      <c r="AA279" s="235" t="s">
        <v>126</v>
      </c>
      <c r="AB279" s="231" t="s">
        <v>235</v>
      </c>
      <c r="AC279" s="232">
        <f t="array" ref="AC279">SUM(IF((E7:E30=170409)*(D7:D30="Demolition")*(G7:G30="Re Use On Site"),H7:H30,0))</f>
        <v>0</v>
      </c>
      <c r="AD279" s="232">
        <f t="array" ref="AD279">SUM(IF((E7:E30=170409)*(D7:D30="Demolition"),V7:V30,0))</f>
        <v>0</v>
      </c>
      <c r="AE279" s="232">
        <f t="array" ref="AE279">SUM(IF((E7:E30=170409)*(D7:D30="Demolition")*(G7:G30="Recycled On Site"),H7:H30,0))</f>
        <v>0</v>
      </c>
      <c r="AF279" s="232">
        <f t="array" ref="AF279">SUM(IF((E7:E30=170409)*(D7:D30="Demolition")*(G7:G30="Recycled Off Site - Transfer Station, MRF, EfW"),J7:J30,0))</f>
        <v>0</v>
      </c>
      <c r="AG279" s="232">
        <f t="array" ref="AG279">SUM(IF((E7:E30=170409)*(D7:D30="Demolition"),R7:R30,0))</f>
        <v>0</v>
      </c>
      <c r="AH279" s="232">
        <f t="array" ref="AH279">SUM(IF((E7:E30=170409)*(D7:D30="Demolition"),S7:S30,0))</f>
        <v>0</v>
      </c>
      <c r="AI279" s="192">
        <f t="shared" si="127"/>
        <v>0</v>
      </c>
      <c r="AJ279" s="192">
        <f t="shared" si="128"/>
        <v>0</v>
      </c>
    </row>
    <row r="280" spans="25:36" x14ac:dyDescent="0.25">
      <c r="Y280" s="871"/>
      <c r="Z280" s="868"/>
      <c r="AA280" s="235" t="s">
        <v>126</v>
      </c>
      <c r="AB280" s="234" t="s">
        <v>236</v>
      </c>
      <c r="AC280" s="191">
        <f t="array" ref="AC280">SUM(IF((E7:E30=170409)*(D7:D30="Excavation")*(G7:G30="Re Use On Site"),H7:H30,0))</f>
        <v>0</v>
      </c>
      <c r="AD280" s="191">
        <f t="array" ref="AD280">SUM(IF((E7:E30=170409)*(D7:D30="Excavation"),V7:V30,0))</f>
        <v>0</v>
      </c>
      <c r="AE280" s="191">
        <f t="array" ref="AE280">SUM(IF((E7:E30=170409)*(D7:D30="Excavation")*(G7:G30="Recycled On Site"),H7:H30,0))</f>
        <v>0</v>
      </c>
      <c r="AF280" s="191">
        <f t="array" ref="AF280">SUM(IF((E7:E30=170409)*(D7:D30="Excavation")*(G7:G30="Recycled Off Site - Transfer Station, MRF, EfW"),J7:J30,0))</f>
        <v>0</v>
      </c>
      <c r="AG280" s="191">
        <f t="array" ref="AG280">SUM(IF((E7:E30=170409)*(D7:D30="Excavation"),R7:R30,0))</f>
        <v>0</v>
      </c>
      <c r="AH280" s="191">
        <f t="array" ref="AH280">SUM(IF((E7:E30=170409)*(D7:D30="Excavation"),S7:S30,0))</f>
        <v>0</v>
      </c>
      <c r="AI280" s="192">
        <f t="shared" si="127"/>
        <v>0</v>
      </c>
      <c r="AJ280" s="192">
        <f t="shared" si="128"/>
        <v>0</v>
      </c>
    </row>
    <row r="281" spans="25:36" ht="13.8" thickBot="1" x14ac:dyDescent="0.3">
      <c r="Y281" s="874"/>
      <c r="Z281" s="869"/>
      <c r="AA281" s="235" t="s">
        <v>126</v>
      </c>
      <c r="AB281" s="234" t="s">
        <v>237</v>
      </c>
      <c r="AC281" s="191">
        <f t="array" ref="AC281">SUM(IF((E7:E30=170409)*(D7:D30="Construction")*(G7:G30="Re Use On Site"),H7:H30,0))</f>
        <v>0</v>
      </c>
      <c r="AD281" s="191">
        <f t="array" ref="AD281">SUM(IF((E7:E30=170409)*(D7:D30="Construction"),V7:V30,0))</f>
        <v>0</v>
      </c>
      <c r="AE281" s="191">
        <f t="array" ref="AE281">SUM(IF((E7:E30=170409)*(D7:D30="Construction")*(G7:G30="Recycled On Site"),H7:H30,0))</f>
        <v>0</v>
      </c>
      <c r="AF281" s="191">
        <f t="array" ref="AF281">SUM(IF((E7:E30=170409)*(D7:D30="Construction")*(G7:G30="Recycled Off Site - Transfer Station, MRF, EfW"),J7:J30,0))</f>
        <v>0</v>
      </c>
      <c r="AG281" s="191">
        <f t="array" ref="AG281">SUM(IF((E7:E30=170409)*(D7:D30="Construction"),R7:R30,0))</f>
        <v>0</v>
      </c>
      <c r="AH281" s="191">
        <f t="array" ref="AH281">SUM(IF((E7:E30=170409)*(D7:D30="Construction"),S7:S30,0))</f>
        <v>0</v>
      </c>
      <c r="AI281" s="192">
        <f t="shared" si="127"/>
        <v>0</v>
      </c>
      <c r="AJ281" s="192">
        <f t="shared" si="128"/>
        <v>0</v>
      </c>
    </row>
    <row r="282" spans="25:36" x14ac:dyDescent="0.25">
      <c r="Y282" s="865" t="s">
        <v>181</v>
      </c>
      <c r="Z282" s="867">
        <v>170406</v>
      </c>
      <c r="AA282" s="235" t="s">
        <v>123</v>
      </c>
      <c r="AB282" s="231" t="s">
        <v>235</v>
      </c>
      <c r="AC282" s="232">
        <f t="array" ref="AC282">SUM(IF((E7:E30=170406)*(D7:D30="Demolition")*(G7:G30="Re Use On Site"),H7:H30,0))</f>
        <v>0</v>
      </c>
      <c r="AD282" s="232">
        <f t="array" ref="AD282">SUM(IF((E7:E30=170406)*(D7:D30="Demolition"),V7:V30,0))</f>
        <v>0</v>
      </c>
      <c r="AE282" s="232">
        <f t="array" ref="AE282">SUM(IF((E7:E30=170406)*(D7:D30="Demolition")*(G7:G30="Recycled On Site"),H7:H30,0))</f>
        <v>0</v>
      </c>
      <c r="AF282" s="232">
        <f t="array" ref="AF282">SUM(IF((E7:E30=170406)*(D7:D30="Demolition")*(G7:G30="Recycled Off Site - Transfer Station, MRF, EfW"),J7:J30,0))</f>
        <v>0</v>
      </c>
      <c r="AG282" s="232">
        <f t="array" ref="AG282">SUM(IF((E7:E30=170406)*(D7:D30="Demolition"),R7:R30,0))</f>
        <v>0</v>
      </c>
      <c r="AH282" s="232">
        <f t="array" ref="AH282">SUM(IF((E7:E30=170406)*(D7:D30="Demolition"),S7:S30,0))</f>
        <v>0</v>
      </c>
      <c r="AI282" s="192">
        <f t="shared" si="127"/>
        <v>0</v>
      </c>
      <c r="AJ282" s="192">
        <f t="shared" si="128"/>
        <v>0</v>
      </c>
    </row>
    <row r="283" spans="25:36" x14ac:dyDescent="0.25">
      <c r="Y283" s="871"/>
      <c r="Z283" s="868"/>
      <c r="AA283" s="235" t="s">
        <v>123</v>
      </c>
      <c r="AB283" s="234" t="s">
        <v>236</v>
      </c>
      <c r="AC283" s="191">
        <f t="array" ref="AC283">SUM(IF((E7:E30=170406)*(D7:D30="Excavation")*(G7:G30="Re Use On Site"),H7:H30,0))</f>
        <v>0</v>
      </c>
      <c r="AD283" s="191">
        <f t="array" ref="AD283">SUM(IF((E7:E30=170406)*(D7:D30="Excavation"),V7:V30,0))</f>
        <v>0</v>
      </c>
      <c r="AE283" s="191">
        <f t="array" ref="AE283">SUM(IF((E7:E30=170406)*(D7:D30="Excavation")*(G7:G30="Recycled On Site"),H7:H30,0))</f>
        <v>0</v>
      </c>
      <c r="AF283" s="191">
        <f t="array" ref="AF283">SUM(IF((E7:E30=170406)*(D7:D30="Excavation")*(G7:G30="Recycled Off Site - Transfer Station, MRF, EfW"),J7:J30,0))</f>
        <v>0</v>
      </c>
      <c r="AG283" s="191">
        <f t="array" ref="AG283">SUM(IF((E7:E30=170406)*(D7:D30="Excavation"),R7:R30,0))</f>
        <v>0</v>
      </c>
      <c r="AH283" s="191">
        <f t="array" ref="AH283">SUM(IF((E7:E30=170406)*(D7:D30="Excavation"),S7:S30,0))</f>
        <v>0</v>
      </c>
      <c r="AI283" s="192">
        <f t="shared" si="127"/>
        <v>0</v>
      </c>
      <c r="AJ283" s="192">
        <f t="shared" si="128"/>
        <v>0</v>
      </c>
    </row>
    <row r="284" spans="25:36" ht="13.8" thickBot="1" x14ac:dyDescent="0.3">
      <c r="Y284" s="874"/>
      <c r="Z284" s="869"/>
      <c r="AA284" s="235" t="s">
        <v>123</v>
      </c>
      <c r="AB284" s="234" t="s">
        <v>237</v>
      </c>
      <c r="AC284" s="191">
        <f t="array" ref="AC284">SUM(IF((E7:E30=170406)*(D7:D30="Construction")*(G7:G30="Re Use On Site"),H7:H30,0))</f>
        <v>0</v>
      </c>
      <c r="AD284" s="191">
        <f t="array" ref="AD284">SUM(IF((E7:E30=170406)*(D7:D30="Construction"),V7:V30,0))</f>
        <v>0</v>
      </c>
      <c r="AE284" s="191">
        <f t="array" ref="AE284">SUM(IF((E7:E30=170406)*(D7:D30="Construction")*(G7:G30="Recycled On Site"),H7:H30,0))</f>
        <v>0</v>
      </c>
      <c r="AF284" s="191">
        <f t="array" ref="AF284">SUM(IF((E7:E30=170406)*(D7:D30="Construction")*(G7:G30="Recycled Off Site - Transfer Station, MRF, EfW"),J7:J30,0))</f>
        <v>0</v>
      </c>
      <c r="AG284" s="191">
        <f t="array" ref="AG284">SUM(IF((E7:E30=170406)*(D7:D30="Construction"),R7:R30,0))</f>
        <v>0</v>
      </c>
      <c r="AH284" s="191">
        <f t="array" ref="AH284">SUM(IF((E7:E30=170406)*(D7:D30="Construction"),S7:S30,0))</f>
        <v>0</v>
      </c>
      <c r="AI284" s="192">
        <f t="shared" si="127"/>
        <v>0</v>
      </c>
      <c r="AJ284" s="192">
        <f t="shared" si="128"/>
        <v>0</v>
      </c>
    </row>
    <row r="285" spans="25:36" x14ac:dyDescent="0.25">
      <c r="Y285" s="865" t="s">
        <v>182</v>
      </c>
      <c r="Z285" s="867">
        <v>170404</v>
      </c>
      <c r="AA285" s="235" t="s">
        <v>123</v>
      </c>
      <c r="AB285" s="231" t="s">
        <v>235</v>
      </c>
      <c r="AC285" s="232">
        <f t="array" ref="AC285">SUM(IF((E7:E30=170404)*(D7:D30="Demolition")*(G7:G30="Re Use On Site"),H7:H30,0))</f>
        <v>0</v>
      </c>
      <c r="AD285" s="232">
        <f t="array" ref="AD285">SUM(IF((E7:E30=170404)*(D7:D30="Demolition"),V7:V30,0))</f>
        <v>0</v>
      </c>
      <c r="AE285" s="232">
        <f t="array" ref="AE285">SUM(IF((E7:E30=170404)*(D7:D30="Demolition")*(G7:G30="Recycled On Site"),H7:H30,0))</f>
        <v>0</v>
      </c>
      <c r="AF285" s="232">
        <f t="array" ref="AF285">SUM(IF((E7:E30=170404)*(D7:D30="Demolition")*(G7:G30="Recycled Off Site - Transfer Station, MRF, EfW"),J7:J30,0))</f>
        <v>0</v>
      </c>
      <c r="AG285" s="232">
        <f t="array" ref="AG285">SUM(IF((E7:E30=170404)*(D7:D30="Demolition"),R7:R30,0))</f>
        <v>0</v>
      </c>
      <c r="AH285" s="232">
        <f t="array" ref="AH285">SUM(IF((E7:E30=170404)*(D7:D30="Demolition"),S7:S30,0))</f>
        <v>0</v>
      </c>
      <c r="AI285" s="192">
        <f t="shared" si="127"/>
        <v>0</v>
      </c>
      <c r="AJ285" s="192">
        <f t="shared" si="128"/>
        <v>0</v>
      </c>
    </row>
    <row r="286" spans="25:36" x14ac:dyDescent="0.25">
      <c r="Y286" s="871"/>
      <c r="Z286" s="868"/>
      <c r="AA286" s="235" t="s">
        <v>123</v>
      </c>
      <c r="AB286" s="234" t="s">
        <v>236</v>
      </c>
      <c r="AC286" s="191">
        <f t="array" ref="AC286">SUM(IF((E7:E30=170404)*(D7:D30="Excavation")*(G7:G30="Re Use On Site"),H7:H30,0))</f>
        <v>0</v>
      </c>
      <c r="AD286" s="191">
        <f t="array" ref="AD286">SUM(IF((E7:E30=170404)*(D7:D30="Excavation"),V7:V30,0))</f>
        <v>0</v>
      </c>
      <c r="AE286" s="191">
        <f t="array" ref="AE286">SUM(IF((E7:E30=170404)*(D7:D30="Excavation")*(G7:G30="Recycled On Site"),H7:H30,0))</f>
        <v>0</v>
      </c>
      <c r="AF286" s="191">
        <f t="array" ref="AF286">SUM(IF((E7:E30=170404)*(D7:D30="Excavation")*(G7:G30="Recycled Off Site - Transfer Station, MRF, EfW"),J7:J30,0))</f>
        <v>0</v>
      </c>
      <c r="AG286" s="191">
        <f t="array" ref="AG286">SUM(IF((E7:E30=170404)*(D7:D30="Excavation"),R7:R30,0))</f>
        <v>0</v>
      </c>
      <c r="AH286" s="191">
        <f t="array" ref="AH286">SUM(IF((E7:E30=170404)*(D7:D30="Excavation"),S7:S30,0))</f>
        <v>0</v>
      </c>
      <c r="AI286" s="192">
        <f t="shared" si="127"/>
        <v>0</v>
      </c>
      <c r="AJ286" s="192">
        <f t="shared" si="128"/>
        <v>0</v>
      </c>
    </row>
    <row r="287" spans="25:36" ht="13.8" thickBot="1" x14ac:dyDescent="0.3">
      <c r="Y287" s="874"/>
      <c r="Z287" s="869"/>
      <c r="AA287" s="235" t="s">
        <v>123</v>
      </c>
      <c r="AB287" s="234" t="s">
        <v>237</v>
      </c>
      <c r="AC287" s="191">
        <f t="array" ref="AC287">SUM(IF((E7:E30=170404)*(D7:D30="Construction")*(G7:G30="Re Use On Site"),H7:H30,0))</f>
        <v>0</v>
      </c>
      <c r="AD287" s="191">
        <f t="array" ref="AD287">SUM(IF((E7:E30=170404)*(D7:D30="Construction"),V7:V30,0))</f>
        <v>0</v>
      </c>
      <c r="AE287" s="191">
        <f t="array" ref="AE287">SUM(IF((E7:E30=170404)*(D7:D30="Construction")*(G7:G30="Recycled On Site"),H7:H30,0))</f>
        <v>0</v>
      </c>
      <c r="AF287" s="191">
        <f t="array" ref="AF287">SUM(IF((E7:E30=170404)*(D7:D30="Construction")*(G7:G30="Recycled Off Site - Transfer Station, MRF, EfW"),J7:J30,0))</f>
        <v>0</v>
      </c>
      <c r="AG287" s="191">
        <f t="array" ref="AG287">SUM(IF((E7:E30=170404)*(D7:D30="Construction"),R7:R30,0))</f>
        <v>0</v>
      </c>
      <c r="AH287" s="191">
        <f t="array" ref="AH287">SUM(IF((E7:E30=170404)*(D7:D30="Construction"),S7:S30,0))</f>
        <v>0</v>
      </c>
      <c r="AI287" s="192">
        <f t="shared" si="127"/>
        <v>0</v>
      </c>
      <c r="AJ287" s="192">
        <f t="shared" si="128"/>
        <v>0</v>
      </c>
    </row>
    <row r="288" spans="25:36" x14ac:dyDescent="0.25">
      <c r="Y288" s="865" t="s">
        <v>183</v>
      </c>
      <c r="Z288" s="867">
        <v>130205</v>
      </c>
      <c r="AA288" s="235" t="s">
        <v>126</v>
      </c>
      <c r="AB288" s="231" t="s">
        <v>235</v>
      </c>
      <c r="AC288" s="232">
        <f t="array" ref="AC288">SUM(IF((E7:E30=130205)*(D7:D30="Demolition")*(G7:G30="Re Use On Site"),H7:H30,0))</f>
        <v>0</v>
      </c>
      <c r="AD288" s="232">
        <f t="array" ref="AD288">SUM(IF((E7:E30=130205)*(D7:D30="Demolition"),V7:V30,0))</f>
        <v>0</v>
      </c>
      <c r="AE288" s="232">
        <f t="array" ref="AE288">SUM(IF((E7:E30=130205)*(D7:D30="Demolition")*(G7:G30="Recycled On Site"),H7:H30,0))</f>
        <v>0</v>
      </c>
      <c r="AF288" s="232">
        <f t="array" ref="AF288">SUM(IF((E7:E30=130205)*(D7:D30="Demolition")*(G7:G30="Recycled Off Site - Transfer Station, MRF, EfW"),J7:J30,0))</f>
        <v>0</v>
      </c>
      <c r="AG288" s="232">
        <f t="array" ref="AG288">SUM(IF((E7:E30=130205)*(D7:D30="Demolition"),R7:R30,0))</f>
        <v>0</v>
      </c>
      <c r="AH288" s="232">
        <f t="array" ref="AH288">SUM(IF((E7:E30=130205)*(D7:D30="Demolition"),S7:S30,0))</f>
        <v>0</v>
      </c>
      <c r="AI288" s="192">
        <f t="shared" si="127"/>
        <v>0</v>
      </c>
      <c r="AJ288" s="192">
        <f t="shared" si="128"/>
        <v>0</v>
      </c>
    </row>
    <row r="289" spans="25:36" x14ac:dyDescent="0.25">
      <c r="Y289" s="871"/>
      <c r="Z289" s="868"/>
      <c r="AA289" s="235" t="s">
        <v>126</v>
      </c>
      <c r="AB289" s="234" t="s">
        <v>236</v>
      </c>
      <c r="AC289" s="191">
        <f t="array" ref="AC289">SUM(IF((E7:E30=130205)*(D7:D30="Excavation")*(G7:G30="Re Use On Site"),H7:H30,0))</f>
        <v>0</v>
      </c>
      <c r="AD289" s="191">
        <f t="array" ref="AD289">SUM(IF((E7:E30=130205)*(D7:D30="Excavation"),V7:V30,0))</f>
        <v>0</v>
      </c>
      <c r="AE289" s="191">
        <f t="array" ref="AE289">SUM(IF((E7:E30=130205)*(D7:D30="Excavation")*(G7:G30="Recycled On Site"),H7:H30,0))</f>
        <v>0</v>
      </c>
      <c r="AF289" s="191">
        <f t="array" ref="AF289">SUM(IF((E7:E30=130205)*(D7:D30="Excavation")*(G7:G30="Recycled Off Site - Transfer Station, MRF, EfW"),J7:J30,0))</f>
        <v>0</v>
      </c>
      <c r="AG289" s="191">
        <f t="array" ref="AG289">SUM(IF((E7:E30=130205)*(D7:D30="Excavation"),R7:R30,0))</f>
        <v>0</v>
      </c>
      <c r="AH289" s="191">
        <f t="array" ref="AH289">SUM(IF((E7:E30=130205)*(D7:D30="Excavation"),S7:S30,0))</f>
        <v>0</v>
      </c>
      <c r="AI289" s="192">
        <f t="shared" si="127"/>
        <v>0</v>
      </c>
      <c r="AJ289" s="192">
        <f t="shared" si="128"/>
        <v>0</v>
      </c>
    </row>
    <row r="290" spans="25:36" ht="13.8" thickBot="1" x14ac:dyDescent="0.3">
      <c r="Y290" s="874"/>
      <c r="Z290" s="869"/>
      <c r="AA290" s="235" t="s">
        <v>126</v>
      </c>
      <c r="AB290" s="234" t="s">
        <v>237</v>
      </c>
      <c r="AC290" s="191">
        <f t="array" ref="AC290">SUM(IF((E7:E30=130205)*(D7:D30="Construction")*(G7:G30="Re Use On Site"),H7:H30,0))</f>
        <v>0</v>
      </c>
      <c r="AD290" s="191">
        <f t="array" ref="AD290">SUM(IF((E7:E30=130205)*(D7:D30="Construction"),V7:V30,0))</f>
        <v>0</v>
      </c>
      <c r="AE290" s="191">
        <f t="array" ref="AE290">SUM(IF((E7:E30=130205)*(D7:D30="Construction")*(G7:G30="Recycled On Site"),H7:H30,0))</f>
        <v>0</v>
      </c>
      <c r="AF290" s="191">
        <f t="array" ref="AF290">SUM(IF((E7:E30=130205)*(D7:D30="Construction")*(G7:G30="Recycled Off Site - Transfer Station, MRF, EfW"),J7:J30,0))</f>
        <v>0</v>
      </c>
      <c r="AG290" s="191">
        <f t="array" ref="AG290">SUM(IF((E7:E30=130205)*(D7:D30="Construction"),R7:R30,0))</f>
        <v>0</v>
      </c>
      <c r="AH290" s="191">
        <f t="array" ref="AH290">SUM(IF((E7:E30=130205)*(D7:D30="Construction"),S7:S30,0))</f>
        <v>0</v>
      </c>
      <c r="AI290" s="192">
        <f t="shared" si="127"/>
        <v>0</v>
      </c>
      <c r="AJ290" s="192">
        <f t="shared" si="128"/>
        <v>0</v>
      </c>
    </row>
    <row r="291" spans="25:36" x14ac:dyDescent="0.25">
      <c r="Y291" s="865" t="s">
        <v>184</v>
      </c>
      <c r="Z291" s="867">
        <v>130112</v>
      </c>
      <c r="AA291" s="235" t="s">
        <v>126</v>
      </c>
      <c r="AB291" s="231" t="s">
        <v>235</v>
      </c>
      <c r="AC291" s="232">
        <f t="array" ref="AC291">SUM(IF((E7:E30=130112)*(D7:D30="Demolition")*(G7:G30="Re Use On Site"),H7:H30,0))</f>
        <v>0</v>
      </c>
      <c r="AD291" s="232">
        <f t="array" ref="AD291">SUM(IF((E7:E30=130112)*(D7:D30="Demolition"),V7:V30,0))</f>
        <v>0</v>
      </c>
      <c r="AE291" s="232">
        <f t="array" ref="AE291">SUM(IF((E7:E30=130112)*(D7:D30="Demolition")*(G7:G30="Recycled On Site"),H7:H30,0))</f>
        <v>0</v>
      </c>
      <c r="AF291" s="232">
        <f t="array" ref="AF291">SUM(IF((E7:E30=130112)*(D7:D30="Demolition")*(G7:G30="Recycled Off Site - Transfer Station, MRF, EfW"),J7:J30,0))</f>
        <v>0</v>
      </c>
      <c r="AG291" s="232">
        <f t="array" ref="AG291">SUM(IF((E7:E30=130112)*(D7:D30="Demolition"),R7:R30,0))</f>
        <v>0</v>
      </c>
      <c r="AH291" s="232">
        <f t="array" ref="AH291">SUM(IF((E7:E30=130112)*(D7:D30="Demolition"),S7:S30,0))</f>
        <v>0</v>
      </c>
      <c r="AI291" s="192">
        <f t="shared" si="127"/>
        <v>0</v>
      </c>
      <c r="AJ291" s="192">
        <f t="shared" si="128"/>
        <v>0</v>
      </c>
    </row>
    <row r="292" spans="25:36" x14ac:dyDescent="0.25">
      <c r="Y292" s="871"/>
      <c r="Z292" s="868"/>
      <c r="AA292" s="235" t="s">
        <v>126</v>
      </c>
      <c r="AB292" s="234" t="s">
        <v>236</v>
      </c>
      <c r="AC292" s="191">
        <f t="array" ref="AC292">SUM(IF((E7:E30=130112)*(D7:D30="Excavation")*(G7:G30="Re Use On Site"),H7:H30,0))</f>
        <v>0</v>
      </c>
      <c r="AD292" s="191">
        <f t="array" ref="AD292">SUM(IF((E7:E30=130112)*(D7:D30="Excavation"),V7:V30,0))</f>
        <v>0</v>
      </c>
      <c r="AE292" s="191">
        <f t="array" ref="AE292">SUM(IF((E7:E30=130112)*(D7:D30="Excavation")*(G7:G30="Recycled On Site"),H7:H30,0))</f>
        <v>0</v>
      </c>
      <c r="AF292" s="191">
        <f t="array" ref="AF292">SUM(IF((E7:E30=130112)*(D7:D30="Excavation")*(G7:G30="Recycled Off Site - Transfer Station, MRF, EfW"),J7:J30,0))</f>
        <v>0</v>
      </c>
      <c r="AG292" s="191">
        <f t="array" ref="AG292">SUM(IF((E7:E30=130112)*(D7:D30="Excavation"),R7:R30,0))</f>
        <v>0</v>
      </c>
      <c r="AH292" s="191">
        <f t="array" ref="AH292">SUM(IF((E7:E30=130112)*(D7:D30="Excavation"),S7:S30,0))</f>
        <v>0</v>
      </c>
      <c r="AI292" s="192">
        <f t="shared" si="127"/>
        <v>0</v>
      </c>
      <c r="AJ292" s="192">
        <f t="shared" si="128"/>
        <v>0</v>
      </c>
    </row>
    <row r="293" spans="25:36" ht="13.8" thickBot="1" x14ac:dyDescent="0.3">
      <c r="Y293" s="874"/>
      <c r="Z293" s="869"/>
      <c r="AA293" s="235" t="s">
        <v>126</v>
      </c>
      <c r="AB293" s="234" t="s">
        <v>237</v>
      </c>
      <c r="AC293" s="191">
        <f t="array" ref="AC293">SUM(IF((E7:E30=130112)*(D7:D30="Construction")*(G7:G30="Re Use On Site"),H7:H30,0))</f>
        <v>0</v>
      </c>
      <c r="AD293" s="191">
        <f t="array" ref="AD293">SUM(IF((E7:E30=130112)*(D7:D30="Construction"),V7:V30,0))</f>
        <v>0</v>
      </c>
      <c r="AE293" s="191">
        <f t="array" ref="AE293">SUM(IF((E7:E30=130112)*(D7:D30="Construction")*(G7:G30="Recycled On Site"),H7:H30,0))</f>
        <v>0</v>
      </c>
      <c r="AF293" s="191">
        <f t="array" ref="AF293">SUM(IF((E7:E30=130112)*(D7:D30="Construction")*(G7:G30="Recycled Off Site - Transfer Station, MRF, EfW"),J7:J30,0))</f>
        <v>0</v>
      </c>
      <c r="AG293" s="191">
        <f t="array" ref="AG293">SUM(IF((E7:E30=130112)*(D7:D30="Construction"),R7:R30,0))</f>
        <v>0</v>
      </c>
      <c r="AH293" s="191">
        <f t="array" ref="AH293">SUM(IF((E7:E30=130112)*(D7:D30="Construction"),S7:S30,0))</f>
        <v>0</v>
      </c>
      <c r="AI293" s="192">
        <f t="shared" si="127"/>
        <v>0</v>
      </c>
      <c r="AJ293" s="192">
        <f t="shared" si="128"/>
        <v>0</v>
      </c>
    </row>
    <row r="294" spans="25:36" x14ac:dyDescent="0.25">
      <c r="Y294" s="865" t="s">
        <v>185</v>
      </c>
      <c r="Z294" s="867">
        <v>130111</v>
      </c>
      <c r="AA294" s="235" t="s">
        <v>126</v>
      </c>
      <c r="AB294" s="231" t="s">
        <v>235</v>
      </c>
      <c r="AC294" s="232">
        <f t="array" ref="AC294">SUM(IF((E7:E30=130111)*(D7:D30="Demolition")*(G7:G30="Re Use On Site"),H7:H30,0))</f>
        <v>0</v>
      </c>
      <c r="AD294" s="232">
        <f t="array" ref="AD294">SUM(IF((E7:E30=130111)*(D7:D30="Demolition"),V7:V30,0))</f>
        <v>0</v>
      </c>
      <c r="AE294" s="232">
        <f t="array" ref="AE294">SUM(IF((E7:E30=130111)*(D7:D30="Demolition")*(G7:G30="Recycled On Site"),H7:H30,0))</f>
        <v>0</v>
      </c>
      <c r="AF294" s="232">
        <f t="array" ref="AF294">SUM(IF((E7:E30=130111)*(D7:D30="Demolition")*(G7:G30="Recycled Off Site - Transfer Station, MRF, EfW"),J7:J30,0))</f>
        <v>0</v>
      </c>
      <c r="AG294" s="232">
        <f t="array" ref="AG294">SUM(IF((E7:E30=130111)*(D7:D30="Demolition"),R7:R30,0))</f>
        <v>0</v>
      </c>
      <c r="AH294" s="232">
        <f t="array" ref="AH294">SUM(IF((E7:E30=130111)*(D7:D30="Demolition"),S7:S30,0))</f>
        <v>0</v>
      </c>
      <c r="AI294" s="192">
        <f t="shared" si="127"/>
        <v>0</v>
      </c>
      <c r="AJ294" s="192">
        <f t="shared" si="128"/>
        <v>0</v>
      </c>
    </row>
    <row r="295" spans="25:36" x14ac:dyDescent="0.25">
      <c r="Y295" s="871"/>
      <c r="Z295" s="868"/>
      <c r="AA295" s="235" t="s">
        <v>126</v>
      </c>
      <c r="AB295" s="234" t="s">
        <v>236</v>
      </c>
      <c r="AC295" s="191">
        <f t="array" ref="AC295">SUM(IF((E7:E30=130111)*(D7:D30="Excavation")*(G7:G30="Re Use On Site"),H7:H30,0))</f>
        <v>0</v>
      </c>
      <c r="AD295" s="191">
        <f t="array" ref="AD295">SUM(IF((E7:E30=130111)*(D7:D30="Excavation"),V7:V30,0))</f>
        <v>0</v>
      </c>
      <c r="AE295" s="191">
        <f t="array" ref="AE295">SUM(IF((E7:E30=130111)*(D7:D30="Excavation")*(G7:G30="Recycled On Site"),H7:H30,0))</f>
        <v>0</v>
      </c>
      <c r="AF295" s="191">
        <f t="array" ref="AF295">SUM(IF((E7:E30=130111)*(D7:D30="Excavation")*(G7:G30="Recycled Off Site - Transfer Station, MRF, EfW"),J7:J30,0))</f>
        <v>0</v>
      </c>
      <c r="AG295" s="191">
        <f t="array" ref="AG295">SUM(IF((E7:E30=130111)*(D7:D30="Excavation"),R7:R30,0))</f>
        <v>0</v>
      </c>
      <c r="AH295" s="191">
        <f t="array" ref="AH295">SUM(IF((E7:E30=130111)*(D7:D30="Excavation"),S7:S30,0))</f>
        <v>0</v>
      </c>
      <c r="AI295" s="192">
        <f t="shared" si="127"/>
        <v>0</v>
      </c>
      <c r="AJ295" s="192">
        <f t="shared" si="128"/>
        <v>0</v>
      </c>
    </row>
    <row r="296" spans="25:36" ht="13.8" thickBot="1" x14ac:dyDescent="0.3">
      <c r="Y296" s="874"/>
      <c r="Z296" s="869"/>
      <c r="AA296" s="235" t="s">
        <v>126</v>
      </c>
      <c r="AB296" s="234" t="s">
        <v>237</v>
      </c>
      <c r="AC296" s="191">
        <f t="array" ref="AC296">SUM(IF((E7:E30=130111)*(D7:D30="Construction")*(G7:G30="Re Use On Site"),H7:H30,0))</f>
        <v>0</v>
      </c>
      <c r="AD296" s="191">
        <f t="array" ref="AD296">SUM(IF((E7:E30=130111)*(D7:D30="Construction"),V7:V30,0))</f>
        <v>0</v>
      </c>
      <c r="AE296" s="191">
        <f t="array" ref="AE296">SUM(IF((E7:E30=130111)*(D7:D30="Construction")*(G7:G30="Recycled On Site"),H7:H30,0))</f>
        <v>0</v>
      </c>
      <c r="AF296" s="191">
        <f t="array" ref="AF296">SUM(IF((E7:E30=130111)*(D7:D30="Construction")*(G7:G30="Recycled Off Site - Transfer Station, MRF, EfW"),J7:J30,0))</f>
        <v>0</v>
      </c>
      <c r="AG296" s="191">
        <f t="array" ref="AG296">SUM(IF((E7:E30=130111)*(D7:D30="Construction"),R7:R30,0))</f>
        <v>0</v>
      </c>
      <c r="AH296" s="191">
        <f t="array" ref="AH296">SUM(IF((E7:E30=130111)*(D7:D30="Construction"),S7:S30,0))</f>
        <v>0</v>
      </c>
      <c r="AI296" s="192">
        <f t="shared" si="127"/>
        <v>0</v>
      </c>
      <c r="AJ296" s="192">
        <f t="shared" si="128"/>
        <v>0</v>
      </c>
    </row>
    <row r="297" spans="25:36" x14ac:dyDescent="0.25">
      <c r="Y297" s="865" t="s">
        <v>186</v>
      </c>
      <c r="Z297" s="867">
        <v>130207</v>
      </c>
      <c r="AA297" s="235" t="s">
        <v>126</v>
      </c>
      <c r="AB297" s="231" t="s">
        <v>235</v>
      </c>
      <c r="AC297" s="232">
        <f t="array" ref="AC297">SUM(IF((E7:E30=130207)*(D7:D30="Demolition")*(G7:G30="Re Use On Site"),H7:H30,0))</f>
        <v>0</v>
      </c>
      <c r="AD297" s="232">
        <f t="array" ref="AD297">SUM(IF((E7:E30=130207)*(D7:D30="Demolition"),V7:V30,0))</f>
        <v>0</v>
      </c>
      <c r="AE297" s="232">
        <f t="array" ref="AE297">SUM(IF((E7:E30=130207)*(D7:D30="Demolition")*(G7:G30="Recycled On Site"),H7:H30,0))</f>
        <v>0</v>
      </c>
      <c r="AF297" s="232">
        <f t="array" ref="AF297">SUM(IF((E7:E30=130207)*(D7:D30="Demolition")*(G7:G30="Recycled Off Site - Transfer Station, MRF, EfW"),J7:J30,0))</f>
        <v>0</v>
      </c>
      <c r="AG297" s="232">
        <f t="array" ref="AG297">SUM(IF((E7:E30=130207)*(D7:D30="Demolition"),R7:R30,0))</f>
        <v>0</v>
      </c>
      <c r="AH297" s="232">
        <f t="array" ref="AH297">SUM(IF((E7:E30=130207)*(D7:D30="Demolition"),S7:S30,0))</f>
        <v>0</v>
      </c>
      <c r="AI297" s="192">
        <f t="shared" si="127"/>
        <v>0</v>
      </c>
      <c r="AJ297" s="192">
        <f t="shared" si="128"/>
        <v>0</v>
      </c>
    </row>
    <row r="298" spans="25:36" x14ac:dyDescent="0.25">
      <c r="Y298" s="871"/>
      <c r="Z298" s="868"/>
      <c r="AA298" s="235" t="s">
        <v>126</v>
      </c>
      <c r="AB298" s="234" t="s">
        <v>236</v>
      </c>
      <c r="AC298" s="191">
        <f t="array" ref="AC298">SUM(IF((E7:E30=130207)*(D7:D30="Excavation")*(G7:G30="Re Use On Site"),H7:H30,0))</f>
        <v>0</v>
      </c>
      <c r="AD298" s="191">
        <f t="array" ref="AD298">SUM(IF((E7:E30=130207)*(D7:D30="Excavation"),V7:V30,0))</f>
        <v>0</v>
      </c>
      <c r="AE298" s="191">
        <f t="array" ref="AE298">SUM(IF((E7:E30=130207)*(D7:D30="Excavation")*(G7:G30="Recycled On Site"),H7:H30,0))</f>
        <v>0</v>
      </c>
      <c r="AF298" s="191">
        <f t="array" ref="AF298">SUM(IF((E7:E30=130207)*(D7:D30="Excavation")*(G7:G30="Recycled Off Site - Transfer Station, MRF, EfW"),J7:J30,0))</f>
        <v>0</v>
      </c>
      <c r="AG298" s="191">
        <f t="array" ref="AG298">SUM(IF((E7:E30=130207)*(D7:D30="Excavation"),R7:R30,0))</f>
        <v>0</v>
      </c>
      <c r="AH298" s="191">
        <f t="array" ref="AH298">SUM(IF((E7:E30=130207)*(D7:D30="Excavation"),S7:S30,0))</f>
        <v>0</v>
      </c>
      <c r="AI298" s="192">
        <f t="shared" si="127"/>
        <v>0</v>
      </c>
      <c r="AJ298" s="192">
        <f t="shared" si="128"/>
        <v>0</v>
      </c>
    </row>
    <row r="299" spans="25:36" ht="13.8" thickBot="1" x14ac:dyDescent="0.3">
      <c r="Y299" s="874"/>
      <c r="Z299" s="869"/>
      <c r="AA299" s="235" t="s">
        <v>126</v>
      </c>
      <c r="AB299" s="234" t="s">
        <v>237</v>
      </c>
      <c r="AC299" s="191">
        <f t="array" ref="AC299">SUM(IF((E7:E30=130207)*(D7:D30="Construction")*(G7:G30="Re Use On Site"),H7:H30,0))</f>
        <v>0</v>
      </c>
      <c r="AD299" s="191">
        <f t="array" ref="AD299">SUM(IF((E7:E30=130207)*(D7:D30="Construction"),V7:V30,0))</f>
        <v>0</v>
      </c>
      <c r="AE299" s="191">
        <f t="array" ref="AE299">SUM(IF((E7:E30=130207)*(D7:D30="Construction")*(G7:G30="Recycled On Site"),H7:H30,0))</f>
        <v>0</v>
      </c>
      <c r="AF299" s="191">
        <f t="array" ref="AF299">SUM(IF((E7:E30=130207)*(D7:D30="Construction")*(G7:G30="Recycled Off Site - Transfer Station, MRF, EfW"),J7:J30,0))</f>
        <v>0</v>
      </c>
      <c r="AG299" s="191">
        <f t="array" ref="AG299">SUM(IF((E7:E30=130207)*(D7:D30="Construction"),R7:R30,0))</f>
        <v>0</v>
      </c>
      <c r="AH299" s="191">
        <f t="array" ref="AH299">SUM(IF((E7:E30=130207)*(D7:D30="Construction"),S7:S30,0))</f>
        <v>0</v>
      </c>
      <c r="AI299" s="192">
        <f t="shared" si="127"/>
        <v>0</v>
      </c>
      <c r="AJ299" s="192">
        <f t="shared" si="128"/>
        <v>0</v>
      </c>
    </row>
    <row r="300" spans="25:36" x14ac:dyDescent="0.25">
      <c r="Y300" s="865" t="s">
        <v>187</v>
      </c>
      <c r="Z300" s="867">
        <v>130206</v>
      </c>
      <c r="AA300" s="235" t="s">
        <v>126</v>
      </c>
      <c r="AB300" s="231" t="s">
        <v>235</v>
      </c>
      <c r="AC300" s="232">
        <f t="array" ref="AC300">SUM(IF((E7:E30=130206)*(D7:D30="Demolition")*(G7:G30="Re Use On Site"),H7:H30,0))</f>
        <v>0</v>
      </c>
      <c r="AD300" s="232">
        <f t="array" ref="AD300">SUM(IF((E7:E30=130206)*(D7:D30="Demolition"),V7:V30,0))</f>
        <v>0</v>
      </c>
      <c r="AE300" s="232">
        <f t="array" ref="AE300">SUM(IF((E7:E30=130206)*(D7:D30="Demolition")*(G7:G30="Recycled On Site"),H7:H30,0))</f>
        <v>0</v>
      </c>
      <c r="AF300" s="232">
        <f t="array" ref="AF300">SUM(IF((E7:E30=130206)*(D7:D30="Demolition")*(G7:G30="Recycled Off Site - Transfer Station, MRF, EfW"),J7:J30,0))</f>
        <v>0</v>
      </c>
      <c r="AG300" s="232">
        <f t="array" ref="AG300">SUM(IF((E7:E30=130206)*(D7:D30="Demolition"),R7:R30,0))</f>
        <v>0</v>
      </c>
      <c r="AH300" s="232">
        <f t="array" ref="AH300">SUM(IF((E7:E30=130206)*(D7:D30="Demolition"),S7:S30,0))</f>
        <v>0</v>
      </c>
      <c r="AI300" s="192">
        <f t="shared" si="127"/>
        <v>0</v>
      </c>
      <c r="AJ300" s="192">
        <f t="shared" si="128"/>
        <v>0</v>
      </c>
    </row>
    <row r="301" spans="25:36" x14ac:dyDescent="0.25">
      <c r="Y301" s="871"/>
      <c r="Z301" s="868"/>
      <c r="AA301" s="235" t="s">
        <v>126</v>
      </c>
      <c r="AB301" s="234" t="s">
        <v>236</v>
      </c>
      <c r="AC301" s="191">
        <f t="array" ref="AC301">SUM(IF((E7:E30=130206)*(D7:D30="Excavation")*(G7:G30="Re Use On Site"),H7:H30,0))</f>
        <v>0</v>
      </c>
      <c r="AD301" s="191">
        <f t="array" ref="AD301">SUM(IF((E7:E30=130206)*(D7:D30="Excavation"),V7:V30,0))</f>
        <v>0</v>
      </c>
      <c r="AE301" s="191">
        <f t="array" ref="AE301">SUM(IF((E7:E30=130206)*(D7:D30="Excavation")*(G7:G30="Recycled On Site"),H7:H30,0))</f>
        <v>0</v>
      </c>
      <c r="AF301" s="191">
        <f t="array" ref="AF301">SUM(IF((E7:E30=130206)*(D7:D30="Excavation")*(G7:G30="Recycled Off Site - Transfer Station, MRF, EfW"),J7:J30,0))</f>
        <v>0</v>
      </c>
      <c r="AG301" s="191">
        <f t="array" ref="AG301">SUM(IF((E7:E30=130206)*(D7:D30="Excavation"),R7:R30,0))</f>
        <v>0</v>
      </c>
      <c r="AH301" s="191">
        <f t="array" ref="AH301">SUM(IF((E7:E30=130206)*(D7:D30="Excavation"),S7:S30,0))</f>
        <v>0</v>
      </c>
      <c r="AI301" s="192">
        <f t="shared" si="127"/>
        <v>0</v>
      </c>
      <c r="AJ301" s="192">
        <f t="shared" si="128"/>
        <v>0</v>
      </c>
    </row>
    <row r="302" spans="25:36" ht="13.8" thickBot="1" x14ac:dyDescent="0.3">
      <c r="Y302" s="874"/>
      <c r="Z302" s="869"/>
      <c r="AA302" s="235" t="s">
        <v>126</v>
      </c>
      <c r="AB302" s="234" t="s">
        <v>237</v>
      </c>
      <c r="AC302" s="191">
        <f t="array" ref="AC302">SUM(IF((E7:E30=130206)*(D7:D30="Construction")*(G7:G30="Re Use On Site"),H7:H30,0))</f>
        <v>0</v>
      </c>
      <c r="AD302" s="191">
        <f t="array" ref="AD302">SUM(IF((E7:E30=130206)*(D7:D30="Construction"),V7:V30,0))</f>
        <v>0</v>
      </c>
      <c r="AE302" s="191">
        <f t="array" ref="AE302">SUM(IF((E7:E30=130206)*(D7:D30="Construction")*(G7:G30="Recycled On Site"),H7:H30,0))</f>
        <v>0</v>
      </c>
      <c r="AF302" s="191">
        <f t="array" ref="AF302">SUM(IF((E7:E30=130206)*(D7:D30="Construction")*(G7:G30="Recycled Off Site - Transfer Station, MRF, EfW"),J7:J30,0))</f>
        <v>0</v>
      </c>
      <c r="AG302" s="191">
        <f t="array" ref="AG302">SUM(IF((E7:E30=130206)*(D7:D30="Construction"),R7:R30,0))</f>
        <v>0</v>
      </c>
      <c r="AH302" s="191">
        <f t="array" ref="AH302">SUM(IF((E7:E30=130206)*(D7:D30="Construction"),S7:S30,0))</f>
        <v>0</v>
      </c>
      <c r="AI302" s="192">
        <f t="shared" si="127"/>
        <v>0</v>
      </c>
      <c r="AJ302" s="192">
        <f t="shared" si="128"/>
        <v>0</v>
      </c>
    </row>
    <row r="303" spans="25:36" x14ac:dyDescent="0.25">
      <c r="Y303" s="865" t="s">
        <v>188</v>
      </c>
      <c r="Z303" s="867">
        <v>160107</v>
      </c>
      <c r="AA303" s="235" t="s">
        <v>126</v>
      </c>
      <c r="AB303" s="231" t="s">
        <v>235</v>
      </c>
      <c r="AC303" s="232">
        <f t="array" ref="AC303">SUM(IF((E7:E30=160107)*(D7:D30="Demolition")*(G7:G30="Re Use On Site"),H7:H30,0))</f>
        <v>0</v>
      </c>
      <c r="AD303" s="232">
        <f t="array" ref="AD303">SUM(IF((E7:E30=160107)*(D7:D30="Demolition"),V7:V30,0))</f>
        <v>0</v>
      </c>
      <c r="AE303" s="232">
        <f t="array" ref="AE303">SUM(IF((E7:E30=160107)*(D7:D30="Demolition")*(G7:G30="Recycled On Site"),H7:H30,0))</f>
        <v>0</v>
      </c>
      <c r="AF303" s="232">
        <f t="array" ref="AF303">SUM(IF((E7:E30=160107)*(D7:D30="Demolition")*(G7:G30="Recycled Off Site - Transfer Station, MRF, EfW"),J7:J30,0))</f>
        <v>0</v>
      </c>
      <c r="AG303" s="232">
        <f t="array" ref="AG303">SUM(IF((E7:E30=160107)*(D7:D30="Demolition"),R7:R30,0))</f>
        <v>0</v>
      </c>
      <c r="AH303" s="232">
        <f t="array" ref="AH303">SUM(IF((E7:E30=160107)*(D7:D30="Demolition"),S7:S30,0))</f>
        <v>0</v>
      </c>
      <c r="AI303" s="192">
        <f t="shared" si="127"/>
        <v>0</v>
      </c>
      <c r="AJ303" s="192">
        <f t="shared" si="128"/>
        <v>0</v>
      </c>
    </row>
    <row r="304" spans="25:36" x14ac:dyDescent="0.25">
      <c r="Y304" s="871"/>
      <c r="Z304" s="868"/>
      <c r="AA304" s="235" t="s">
        <v>126</v>
      </c>
      <c r="AB304" s="234" t="s">
        <v>236</v>
      </c>
      <c r="AC304" s="191">
        <f t="array" ref="AC304">SUM(IF((E7:E30=160107)*(D7:D30="Excavation")*(G7:G30="Re Use On Site"),H7:H30,0))</f>
        <v>0</v>
      </c>
      <c r="AD304" s="191">
        <f t="array" ref="AD304">SUM(IF((E7:E30=160107)*(D7:D30="Excavation"),V7:V30,0))</f>
        <v>0</v>
      </c>
      <c r="AE304" s="191">
        <f t="array" ref="AE304">SUM(IF((E7:E30=160107)*(D7:D30="Excavation")*(G7:G30="Recycled On Site"),H7:H30,0))</f>
        <v>0</v>
      </c>
      <c r="AF304" s="191">
        <f t="array" ref="AF304">SUM(IF((E7:E30=160107)*(D7:D30="Excavation")*(G7:G30="Recycled Off Site - Transfer Station, MRF, EfW"),J7:J30,0))</f>
        <v>0</v>
      </c>
      <c r="AG304" s="191">
        <f t="array" ref="AG304">SUM(IF((E7:E30=160107)*(D7:D30="Excavation"),R7:R30,0))</f>
        <v>0</v>
      </c>
      <c r="AH304" s="191">
        <f t="array" ref="AH304">SUM(IF((E7:E30=160107)*(D7:D30="Excavation"),S7:S30,0))</f>
        <v>0</v>
      </c>
      <c r="AI304" s="192">
        <f t="shared" si="127"/>
        <v>0</v>
      </c>
      <c r="AJ304" s="192">
        <f t="shared" si="128"/>
        <v>0</v>
      </c>
    </row>
    <row r="305" spans="25:36" ht="13.8" thickBot="1" x14ac:dyDescent="0.3">
      <c r="Y305" s="874"/>
      <c r="Z305" s="869"/>
      <c r="AA305" s="235" t="s">
        <v>126</v>
      </c>
      <c r="AB305" s="234" t="s">
        <v>237</v>
      </c>
      <c r="AC305" s="191">
        <f t="array" ref="AC305">SUM(IF((E7:E30=160107)*(D7:D30="Construction")*(G7:G30="Re Use On Site"),H7:H30,0))</f>
        <v>0</v>
      </c>
      <c r="AD305" s="191">
        <f t="array" ref="AD305">SUM(IF((E7:E30=160107)*(D7:D30="Construction"),V7:V30,0))</f>
        <v>0</v>
      </c>
      <c r="AE305" s="191">
        <f t="array" ref="AE305">SUM(IF((E7:E30=160107)*(D7:D30="Construction")*(G7:G30="Recycled On Site"),H7:H30,0))</f>
        <v>0</v>
      </c>
      <c r="AF305" s="191">
        <f t="array" ref="AF305">SUM(IF((E7:E30=160107)*(D7:D30="Construction")*(G7:G30="Recycled Off Site - Transfer Station, MRF, EfW"),J7:J30,0))</f>
        <v>0</v>
      </c>
      <c r="AG305" s="191">
        <f t="array" ref="AG305">SUM(IF((E7:E30=160107)*(D7:D30="Construction"),R7:R30,0))</f>
        <v>0</v>
      </c>
      <c r="AH305" s="191">
        <f t="array" ref="AH305">SUM(IF((E7:E30=160107)*(D7:D30="Construction"),S7:S30,0))</f>
        <v>0</v>
      </c>
      <c r="AI305" s="192">
        <f t="shared" si="127"/>
        <v>0</v>
      </c>
      <c r="AJ305" s="192">
        <f t="shared" si="128"/>
        <v>0</v>
      </c>
    </row>
    <row r="306" spans="25:36" x14ac:dyDescent="0.25">
      <c r="Y306" s="865" t="s">
        <v>189</v>
      </c>
      <c r="Z306" s="867">
        <v>130506</v>
      </c>
      <c r="AA306" s="235" t="s">
        <v>126</v>
      </c>
      <c r="AB306" s="231" t="s">
        <v>235</v>
      </c>
      <c r="AC306" s="232">
        <f t="array" ref="AC306">SUM(IF((E7:E30=130506)*(D7:D30="Demolition")*(G7:G30="Re Use On Site"),H7:H30,0))</f>
        <v>0</v>
      </c>
      <c r="AD306" s="232">
        <f t="array" ref="AD306">SUM(IF((E7:E30=130506)*(D7:D30="Demolition"),V7:V30,0))</f>
        <v>0</v>
      </c>
      <c r="AE306" s="232">
        <f t="array" ref="AE306">SUM(IF((E7:E30=130506)*(D7:D30="Demolition")*(G7:G30="Recycled On Site"),H7:H30,0))</f>
        <v>0</v>
      </c>
      <c r="AF306" s="232">
        <f t="array" ref="AF306">SUM(IF((E7:E30=130506)*(D7:D30="Demolition")*(G7:G30="Recycled Off Site - Transfer Station, MRF, EfW"),J7:J30,0))</f>
        <v>0</v>
      </c>
      <c r="AG306" s="232">
        <f t="array" ref="AG306">SUM(IF((E7:E30=130506)*(D7:D30="Demolition"),R7:R30,0))</f>
        <v>0</v>
      </c>
      <c r="AH306" s="232">
        <f t="array" ref="AH306">SUM(IF((E7:E30=130506)*(D7:D30="Demolition"),S7:S30,0))</f>
        <v>0</v>
      </c>
      <c r="AI306" s="192">
        <f t="shared" si="127"/>
        <v>0</v>
      </c>
      <c r="AJ306" s="192">
        <f t="shared" si="128"/>
        <v>0</v>
      </c>
    </row>
    <row r="307" spans="25:36" x14ac:dyDescent="0.25">
      <c r="Y307" s="871"/>
      <c r="Z307" s="868"/>
      <c r="AA307" s="235" t="s">
        <v>126</v>
      </c>
      <c r="AB307" s="234" t="s">
        <v>236</v>
      </c>
      <c r="AC307" s="191">
        <f t="array" ref="AC307">SUM(IF((E7:E30=130506)*(D7:D30="Excavation")*(G7:G30="Re Use On Site"),H7:H30,0))</f>
        <v>0</v>
      </c>
      <c r="AD307" s="191">
        <f t="array" ref="AD307">SUM(IF((E7:E30=130506)*(D7:D30="Excavation"),V7:V30,0))</f>
        <v>0</v>
      </c>
      <c r="AE307" s="191">
        <f t="array" ref="AE307">SUM(IF((E7:E30=130506)*(D7:D30="Excavation")*(G7:G30="Recycled On Site"),H7:H30,0))</f>
        <v>0</v>
      </c>
      <c r="AF307" s="191">
        <f t="array" ref="AF307">SUM(IF((E7:E30=130506)*(D7:D30="Excavation")*(G7:G30="Recycled Off Site - Transfer Station, MRF, EfW"),J7:J30,0))</f>
        <v>0</v>
      </c>
      <c r="AG307" s="191">
        <f t="array" ref="AG307">SUM(IF((E7:E30=130506)*(D7:D30="Excavation"),R7:R30,0))</f>
        <v>0</v>
      </c>
      <c r="AH307" s="191">
        <f t="array" ref="AH307">SUM(IF((E7:E30=130506)*(D7:D30="Excavation"),S7:S30,0))</f>
        <v>0</v>
      </c>
      <c r="AI307" s="192">
        <f t="shared" si="127"/>
        <v>0</v>
      </c>
      <c r="AJ307" s="192">
        <f t="shared" si="128"/>
        <v>0</v>
      </c>
    </row>
    <row r="308" spans="25:36" ht="13.8" thickBot="1" x14ac:dyDescent="0.3">
      <c r="Y308" s="874"/>
      <c r="Z308" s="869"/>
      <c r="AA308" s="235" t="s">
        <v>126</v>
      </c>
      <c r="AB308" s="234" t="s">
        <v>237</v>
      </c>
      <c r="AC308" s="191">
        <f t="array" ref="AC308">SUM(IF((E7:E30=130506)*(D7:D30="Construction")*(G7:G30="Re Use On Site"),H7:H30,0))</f>
        <v>0</v>
      </c>
      <c r="AD308" s="191">
        <f t="array" ref="AD308">SUM(IF((E7:E30=130506)*(D7:D30="Construction"),V7:V30,0))</f>
        <v>0</v>
      </c>
      <c r="AE308" s="191">
        <f t="array" ref="AE308">SUM(IF((E7:E30=130506)*(D7:D30="Construction")*(G7:G30="Recycled On Site"),H7:H30,0))</f>
        <v>0</v>
      </c>
      <c r="AF308" s="191">
        <f t="array" ref="AF308">SUM(IF((E7:E30=130506)*(D7:D30="Construction")*(G7:G30="Recycled Off Site - Transfer Station, MRF, EfW"),J7:J30,0))</f>
        <v>0</v>
      </c>
      <c r="AG308" s="191">
        <f t="array" ref="AG308">SUM(IF((E7:E30=130506)*(D7:D30="Construction"),R7:R30,0))</f>
        <v>0</v>
      </c>
      <c r="AH308" s="191">
        <f t="array" ref="AH308">SUM(IF((E7:E30=130506)*(D7:D30="Construction"),S7:S30,0))</f>
        <v>0</v>
      </c>
      <c r="AI308" s="192">
        <f t="shared" si="127"/>
        <v>0</v>
      </c>
      <c r="AJ308" s="192">
        <f t="shared" si="128"/>
        <v>0</v>
      </c>
    </row>
    <row r="309" spans="25:36" x14ac:dyDescent="0.25">
      <c r="Y309" s="865" t="s">
        <v>190</v>
      </c>
      <c r="Z309" s="867">
        <v>130507</v>
      </c>
      <c r="AA309" s="235" t="s">
        <v>126</v>
      </c>
      <c r="AB309" s="231" t="s">
        <v>235</v>
      </c>
      <c r="AC309" s="232">
        <f t="array" ref="AC309">SUM(IF((E7:E30=130507)*(D7:D30="Demolition")*(G7:G30="Re Use On Site"),H7:H30,0))</f>
        <v>0</v>
      </c>
      <c r="AD309" s="232">
        <f t="array" ref="AD309">SUM(IF((E7:E30=130507)*(D7:D30="Demolition"),V7:V30,0))</f>
        <v>0</v>
      </c>
      <c r="AE309" s="232">
        <f t="array" ref="AE309">SUM(IF((E7:E30=130507)*(D7:D30="Demolition")*(G7:G30="Recycled On Site"),H7:H30,0))</f>
        <v>0</v>
      </c>
      <c r="AF309" s="232">
        <f t="array" ref="AF309">SUM(IF((E7:E30=130507)*(D7:D30="Demolition")*(G7:G30="Recycled Off Site - Transfer Station, MRF, EfW"),J7:J30,0))</f>
        <v>0</v>
      </c>
      <c r="AG309" s="232">
        <f t="array" ref="AG309">SUM(IF((E7:E30=130507)*(D7:D30="Demolition"),R7:R30,0))</f>
        <v>0</v>
      </c>
      <c r="AH309" s="232">
        <f t="array" ref="AH309">SUM(IF((E7:E30=130507)*(D7:D30="Demolition"),S7:S30,0))</f>
        <v>0</v>
      </c>
      <c r="AI309" s="192">
        <f t="shared" si="127"/>
        <v>0</v>
      </c>
      <c r="AJ309" s="192">
        <f t="shared" si="128"/>
        <v>0</v>
      </c>
    </row>
    <row r="310" spans="25:36" x14ac:dyDescent="0.25">
      <c r="Y310" s="871"/>
      <c r="Z310" s="868"/>
      <c r="AA310" s="235" t="s">
        <v>126</v>
      </c>
      <c r="AB310" s="234" t="s">
        <v>236</v>
      </c>
      <c r="AC310" s="191">
        <f t="array" ref="AC310">SUM(IF((E7:E30=130507)*(D7:D30="Excavation")*(G7:G30="Re Use On Site"),H7:H30,0))</f>
        <v>0</v>
      </c>
      <c r="AD310" s="191">
        <f t="array" ref="AD310">SUM(IF((E7:E30=130507)*(D7:D30="Excavation"),V7:V30,0))</f>
        <v>0</v>
      </c>
      <c r="AE310" s="191">
        <f t="array" ref="AE310">SUM(IF((E7:E30=130507)*(D7:D30="Excavation")*(G7:G30="Recycled On Site"),H7:H30,0))</f>
        <v>0</v>
      </c>
      <c r="AF310" s="191">
        <f t="array" ref="AF310">SUM(IF((E7:E30=130507)*(D7:D30="Excavation")*(G7:G30="Recycled Off Site - Transfer Station, MRF, EfW"),J7:J30,0))</f>
        <v>0</v>
      </c>
      <c r="AG310" s="191">
        <f t="array" ref="AG310">SUM(IF((E7:E30=130507)*(D7:D30="Excavation"),R7:R30,0))</f>
        <v>0</v>
      </c>
      <c r="AH310" s="191">
        <f t="array" ref="AH310">SUM(IF((E7:E30=130507)*(D7:D30="Excavation"),S7:S30,0))</f>
        <v>0</v>
      </c>
      <c r="AI310" s="192">
        <f t="shared" si="127"/>
        <v>0</v>
      </c>
      <c r="AJ310" s="192">
        <f t="shared" si="128"/>
        <v>0</v>
      </c>
    </row>
    <row r="311" spans="25:36" ht="13.8" thickBot="1" x14ac:dyDescent="0.3">
      <c r="Y311" s="874"/>
      <c r="Z311" s="869"/>
      <c r="AA311" s="235" t="s">
        <v>126</v>
      </c>
      <c r="AB311" s="234" t="s">
        <v>237</v>
      </c>
      <c r="AC311" s="191">
        <f t="array" ref="AC311">SUM(IF((E7:E30=130507)*(D7:D30="Construction")*(G7:G30="Re Use On Site"),H7:H30,0))</f>
        <v>0</v>
      </c>
      <c r="AD311" s="191">
        <f t="array" ref="AD311">SUM(IF((E7:E30=130507)*(D7:D30="Construction"),V7:V30,0))</f>
        <v>0</v>
      </c>
      <c r="AE311" s="191">
        <f t="array" ref="AE311">SUM(IF((E7:E30=130507)*(D7:D30="Construction")*(G7:G30="Recycled On Site"),H7:H30,0))</f>
        <v>0</v>
      </c>
      <c r="AF311" s="191">
        <f t="array" ref="AF311">SUM(IF((E7:E30=130507)*(D7:D30="Construction")*(G7:G30="Recycled Off Site - Transfer Station, MRF, EfW"),J7:J30,0))</f>
        <v>0</v>
      </c>
      <c r="AG311" s="191">
        <f t="array" ref="AG311">SUM(IF((E7:E30=130507)*(D7:D30="Construction"),R7:R30,0))</f>
        <v>0</v>
      </c>
      <c r="AH311" s="191">
        <f t="array" ref="AH311">SUM(IF((E7:E30=130507)*(D7:D30="Construction"),S7:S30,0))</f>
        <v>0</v>
      </c>
      <c r="AI311" s="192">
        <f t="shared" si="127"/>
        <v>0</v>
      </c>
      <c r="AJ311" s="192">
        <f t="shared" si="128"/>
        <v>0</v>
      </c>
    </row>
    <row r="312" spans="25:36" x14ac:dyDescent="0.25">
      <c r="Y312" s="865" t="s">
        <v>191</v>
      </c>
      <c r="Z312" s="875">
        <v>150107</v>
      </c>
      <c r="AA312" s="235" t="s">
        <v>141</v>
      </c>
      <c r="AB312" s="231" t="s">
        <v>235</v>
      </c>
      <c r="AC312" s="232">
        <f t="array" ref="AC312">SUM(IF((E7:E30=150107)*(D7:D30="Demolition")*(G7:G30="Re Use On Site"),H7:H30,0))</f>
        <v>0</v>
      </c>
      <c r="AD312" s="232">
        <f t="array" ref="AD312">SUM(IF((E7:E30=150107)*(D7:D30="Demolition"),V7:V30,0))</f>
        <v>0</v>
      </c>
      <c r="AE312" s="232">
        <f t="array" ref="AE312">SUM(IF((E7:E30=150107)*(D7:D30="Demolition")*(G7:G30="Recycled On Site"),H7:H30,0))</f>
        <v>0</v>
      </c>
      <c r="AF312" s="232">
        <f t="array" ref="AF312">SUM(IF((E7:E30=150107)*(D7:D30="Demolition")*(G7:G30="Recycled Off Site - Transfer Station, MRF, EfW"),J7:J30,0))</f>
        <v>0</v>
      </c>
      <c r="AG312" s="232">
        <f t="array" ref="AG312">SUM(IF((E7:E30=150107)*(D7:D30="Demolition"),R7:R30,0))</f>
        <v>0</v>
      </c>
      <c r="AH312" s="232">
        <f t="array" ref="AH312">SUM(IF((E7:E30=150107)*(D7:D30="Demolition"),S7:S30,0))</f>
        <v>0</v>
      </c>
      <c r="AI312" s="192">
        <f t="shared" ref="AI312:AI375" si="129">AC312+AD312+AE312+AF312+AK312+AM312+AH312</f>
        <v>0</v>
      </c>
      <c r="AJ312" s="192">
        <f t="shared" ref="AJ312:AJ375" si="130">AD312+AF312+AK312+AM312+AH312</f>
        <v>0</v>
      </c>
    </row>
    <row r="313" spans="25:36" x14ac:dyDescent="0.25">
      <c r="Y313" s="871"/>
      <c r="Z313" s="876"/>
      <c r="AA313" s="235" t="s">
        <v>141</v>
      </c>
      <c r="AB313" s="234" t="s">
        <v>236</v>
      </c>
      <c r="AC313" s="191">
        <f t="array" ref="AC313">SUM(IF((E7:E30=150107)*(D7:D30="Excavation")*(G7:G30="Re Use On Site"),H7:H30,0))</f>
        <v>0</v>
      </c>
      <c r="AD313" s="191">
        <f t="array" ref="AD313">SUM(IF((E7:E30=150107)*(D7:D30="Excavation"),V7:V30,0))</f>
        <v>0</v>
      </c>
      <c r="AE313" s="191">
        <f t="array" ref="AE313">SUM(IF((E7:E30=150107)*(D7:D30="Excavation")*(G7:G30="Recycled On Site"),H7:H30,0))</f>
        <v>0</v>
      </c>
      <c r="AF313" s="191">
        <f t="array" ref="AF313">SUM(IF((E7:E30=150107)*(D7:D30="Excavation")*(G7:G30="Recycled Off Site - Transfer Station, MRF, EfW"),J7:J30,0))</f>
        <v>0</v>
      </c>
      <c r="AG313" s="191">
        <f t="array" ref="AG313">SUM(IF((E7:E30=150107)*(D7:D30="Excavation"),R7:R30,0))</f>
        <v>0</v>
      </c>
      <c r="AH313" s="191">
        <f t="array" ref="AH313">SUM(IF((E7:E30=150107)*(D7:D30="Excavation"),S7:S30,0))</f>
        <v>0</v>
      </c>
      <c r="AI313" s="192">
        <f t="shared" si="129"/>
        <v>0</v>
      </c>
      <c r="AJ313" s="192">
        <f t="shared" si="130"/>
        <v>0</v>
      </c>
    </row>
    <row r="314" spans="25:36" ht="13.8" thickBot="1" x14ac:dyDescent="0.3">
      <c r="Y314" s="874"/>
      <c r="Z314" s="877"/>
      <c r="AA314" s="235" t="s">
        <v>141</v>
      </c>
      <c r="AB314" s="234" t="s">
        <v>237</v>
      </c>
      <c r="AC314" s="191">
        <f t="array" ref="AC314">SUM(IF((E7:E30=150107)*(D7:D30="Construction")*(G7:G30="Re Use On Site"),H7:H30,0))</f>
        <v>0</v>
      </c>
      <c r="AD314" s="191">
        <f t="array" ref="AD314">SUM(IF((E7:E30=150107)*(D7:D30="Construction"),V7:V30,0))</f>
        <v>0</v>
      </c>
      <c r="AE314" s="191">
        <f t="array" ref="AE314">SUM(IF((E7:E30=150107)*(D7:D30="Construction")*(G7:G30="Recycled On Site"),H7:H30,0))</f>
        <v>0</v>
      </c>
      <c r="AF314" s="191">
        <f t="array" ref="AF314">SUM(IF((E7:E30=150107)*(D7:D30="Construction")*(G7:G30="Recycled Off Site - Transfer Station, MRF, EfW"),J7:J30,0))</f>
        <v>0</v>
      </c>
      <c r="AG314" s="191">
        <f t="array" ref="AG314">SUM(IF((E7:E30=150107)*(D7:D30="Construction"),R7:R30,0))</f>
        <v>0</v>
      </c>
      <c r="AH314" s="191">
        <f t="array" ref="AH314">SUM(IF((E7:E30=150107)*(D7:D30="Construction"),S7:S30,0))</f>
        <v>0</v>
      </c>
      <c r="AI314" s="192">
        <f t="shared" si="129"/>
        <v>0</v>
      </c>
      <c r="AJ314" s="192">
        <f t="shared" si="130"/>
        <v>0</v>
      </c>
    </row>
    <row r="315" spans="25:36" x14ac:dyDescent="0.25">
      <c r="Y315" s="865" t="s">
        <v>192</v>
      </c>
      <c r="Z315" s="875">
        <v>150104</v>
      </c>
      <c r="AA315" s="235" t="s">
        <v>123</v>
      </c>
      <c r="AB315" s="231" t="s">
        <v>235</v>
      </c>
      <c r="AC315" s="232">
        <f t="array" ref="AC315">SUM(IF((E7:E30=150104)*(D7:D30="Demolition")*(G7:G30="Re Use On Site"),H7:H30,0))</f>
        <v>0</v>
      </c>
      <c r="AD315" s="232">
        <f t="array" ref="AD315">SUM(IF((E7:E30=150104)*(D7:D30="Demolition"),V7:V30,0))</f>
        <v>0</v>
      </c>
      <c r="AE315" s="232">
        <f t="array" ref="AE315">SUM(IF((E7:E30=150104)*(D7:D30="Demolition")*(G7:G30="Recycled On Site"),H7:H30,0))</f>
        <v>0</v>
      </c>
      <c r="AF315" s="232">
        <f t="array" ref="AF315">SUM(IF((E7:E30=150104)*(D7:D30="Demolition")*(G7:G30="Recycled Off Site - Transfer Station, MRF, EfW"),J7:J30,0))</f>
        <v>0</v>
      </c>
      <c r="AG315" s="232">
        <f t="array" ref="AG315">SUM(IF((E7:E30=150104)*(D7:D30="Demolition"),R7:R30,0))</f>
        <v>0</v>
      </c>
      <c r="AH315" s="232">
        <f t="array" ref="AH315">SUM(IF((E7:E30=150104)*(D7:D30="Demolition"),S7:S30,0))</f>
        <v>0</v>
      </c>
      <c r="AI315" s="192">
        <f t="shared" si="129"/>
        <v>0</v>
      </c>
      <c r="AJ315" s="192">
        <f t="shared" si="130"/>
        <v>0</v>
      </c>
    </row>
    <row r="316" spans="25:36" x14ac:dyDescent="0.25">
      <c r="Y316" s="871"/>
      <c r="Z316" s="876"/>
      <c r="AA316" s="235" t="s">
        <v>123</v>
      </c>
      <c r="AB316" s="234" t="s">
        <v>236</v>
      </c>
      <c r="AC316" s="191">
        <f t="array" ref="AC316">SUM(IF((E7:E30=150104)*(D7:D30="Excavation")*(G7:G30="Re Use On Site"),H7:H30,0))</f>
        <v>0</v>
      </c>
      <c r="AD316" s="191">
        <f t="array" ref="AD316">SUM(IF((E7:E30=150104)*(D7:D30="Excavation"),V7:V30,0))</f>
        <v>0</v>
      </c>
      <c r="AE316" s="191">
        <f t="array" ref="AE316">SUM(IF((E7:E30=150104)*(D7:D30="Excavation")*(G7:G30="Recycled On Site"),H7:H30,0))</f>
        <v>0</v>
      </c>
      <c r="AF316" s="191">
        <f t="array" ref="AF316">SUM(IF((E7:E30=150104)*(D7:D30="Excavation")*(G7:G30="Recycled Off Site - Transfer Station, MRF, EfW"),J7:J30,0))</f>
        <v>0</v>
      </c>
      <c r="AG316" s="191">
        <f t="array" ref="AG316">SUM(IF((E7:E30=150104)*(D7:D30="Excavation"),R7:R30,0))</f>
        <v>0</v>
      </c>
      <c r="AH316" s="191">
        <f t="array" ref="AH316">SUM(IF((E7:E30=150104)*(D7:D30="Excavation"),S7:S30,0))</f>
        <v>0</v>
      </c>
      <c r="AI316" s="192">
        <f t="shared" si="129"/>
        <v>0</v>
      </c>
      <c r="AJ316" s="192">
        <f t="shared" si="130"/>
        <v>0</v>
      </c>
    </row>
    <row r="317" spans="25:36" ht="13.8" thickBot="1" x14ac:dyDescent="0.3">
      <c r="Y317" s="874"/>
      <c r="Z317" s="877"/>
      <c r="AA317" s="235" t="s">
        <v>123</v>
      </c>
      <c r="AB317" s="234" t="s">
        <v>237</v>
      </c>
      <c r="AC317" s="191">
        <f t="array" ref="AC317">SUM(IF((E7:E30=150104)*(D7:D30="Construction")*(G7:G30="Re Use On Site"),H7:H30,0))</f>
        <v>0</v>
      </c>
      <c r="AD317" s="191">
        <f t="array" ref="AD317">SUM(IF((E7:E30=150104)*(D7:D30="Construction"),V7:V30,0))</f>
        <v>0</v>
      </c>
      <c r="AE317" s="191">
        <f t="array" ref="AE317">SUM(IF((E7:E30=150104)*(D7:D30="Construction")*(G7:G30="Recycled On Site"),H7:H30,0))</f>
        <v>0</v>
      </c>
      <c r="AF317" s="191">
        <f t="array" ref="AF317">SUM(IF((E7:E30=150104)*(D7:D30="Construction")*(G7:G30="Recycled Off Site - Transfer Station, MRF, EfW"),J7:J30,0))</f>
        <v>0</v>
      </c>
      <c r="AG317" s="191">
        <f t="array" ref="AG317">SUM(IF((E7:E30=150104)*(D7:D30="Construction"),R7:R30,0))</f>
        <v>0</v>
      </c>
      <c r="AH317" s="191">
        <f t="array" ref="AH317">SUM(IF((E7:E30=150104)*(D7:D30="Construction"),S7:S30,0))</f>
        <v>0</v>
      </c>
      <c r="AI317" s="192">
        <f t="shared" si="129"/>
        <v>0</v>
      </c>
      <c r="AJ317" s="192">
        <f t="shared" si="130"/>
        <v>0</v>
      </c>
    </row>
    <row r="318" spans="25:36" x14ac:dyDescent="0.25">
      <c r="Y318" s="865" t="s">
        <v>193</v>
      </c>
      <c r="Z318" s="875">
        <v>150106</v>
      </c>
      <c r="AA318" s="235" t="s">
        <v>123</v>
      </c>
      <c r="AB318" s="231" t="s">
        <v>235</v>
      </c>
      <c r="AC318" s="232">
        <f t="array" ref="AC318">SUM(IF((C7:C30="Packaging - Mixed")*(D7:D30="Demolition")*(G7:G30="Re Use On Site"),H7:H30,0))</f>
        <v>0</v>
      </c>
      <c r="AD318" s="232">
        <f t="array" ref="AD318">SUM(IF((C7:C30="Packaging - Mixed")*(D7:D30="Demolition"),V7:V30,0))</f>
        <v>0</v>
      </c>
      <c r="AE318" s="232">
        <f t="array" ref="AE318">SUM(IF((C7:C30="Packaging - Mixed")*(D7:D30="Demolition")*(G7:G30="Recycled On Site"),H7:H30,0))</f>
        <v>0</v>
      </c>
      <c r="AF318" s="232">
        <f t="array" ref="AF318">SUM(IF((C7:C30="Packaging - Mixed")*(D7:D30="Demolition")*(G7:G30="Recycled Off Site - Transfer Station, MRF, EfW"),J7:J30,0))</f>
        <v>0</v>
      </c>
      <c r="AG318" s="232">
        <f t="array" ref="AG318">SUM(IF((C7:C30="Packaging - Mixed")*(D7:D30="Demolition"),R7:R30,0))</f>
        <v>0</v>
      </c>
      <c r="AH318" s="232">
        <f t="array" ref="AH318">SUM(IF((C7:C30="Packaging - Mixed")*(D7:D30="Demolition"),S7:S30,0))</f>
        <v>0</v>
      </c>
      <c r="AI318" s="192">
        <f t="shared" si="129"/>
        <v>0</v>
      </c>
      <c r="AJ318" s="192">
        <f t="shared" si="130"/>
        <v>0</v>
      </c>
    </row>
    <row r="319" spans="25:36" x14ac:dyDescent="0.25">
      <c r="Y319" s="871"/>
      <c r="Z319" s="876"/>
      <c r="AA319" s="235" t="s">
        <v>123</v>
      </c>
      <c r="AB319" s="234" t="s">
        <v>236</v>
      </c>
      <c r="AC319" s="191">
        <f t="array" ref="AC319">SUM(IF((C7:C30="Packaging - Mixed")*(D7:D30="Excavation")*(G7:G30="Re Use On Site"),H7:H30,0))</f>
        <v>0</v>
      </c>
      <c r="AD319" s="191">
        <f t="array" ref="AD319">SUM(IF((C7:C30="Packaging - Mixed")*(D7:D30="Excavation"),V7:V30,0))</f>
        <v>0</v>
      </c>
      <c r="AE319" s="191">
        <f t="array" ref="AE319">SUM(IF((C7:C30="Packaging - Mixed")*(D7:D30="Excavation")*(G7:G30="Recycled On Site"),H7:H30,0))</f>
        <v>0</v>
      </c>
      <c r="AF319" s="191">
        <f t="array" ref="AF319">SUM(IF((C7:C30="Packaging - Mixed")*(D7:D30="Excavation")*(G7:G30="Recycled Off Site - Transfer Station, MRF, EfW"),J7:J30,0))</f>
        <v>0</v>
      </c>
      <c r="AG319" s="191">
        <f t="array" ref="AG319">SUM(IF((C7:C30="Packaging - Mixed")*(D7:D30="Excavation"),R7:R30,0))</f>
        <v>0</v>
      </c>
      <c r="AH319" s="191">
        <f t="array" ref="AH319">SUM(IF((C7:C30="Packaging - Mixed")*(D7:D30="Excavation"),S7:S30,0))</f>
        <v>0</v>
      </c>
      <c r="AI319" s="192">
        <f t="shared" si="129"/>
        <v>0</v>
      </c>
      <c r="AJ319" s="192">
        <f t="shared" si="130"/>
        <v>0</v>
      </c>
    </row>
    <row r="320" spans="25:36" ht="13.8" thickBot="1" x14ac:dyDescent="0.3">
      <c r="Y320" s="874"/>
      <c r="Z320" s="877"/>
      <c r="AA320" s="235" t="s">
        <v>123</v>
      </c>
      <c r="AB320" s="234" t="s">
        <v>237</v>
      </c>
      <c r="AC320" s="191">
        <f t="array" ref="AC320">SUM(IF((C7:C30="Packaging - Mixed")*(D7:D30="Construction")*(G7:G30="Re Use On Site"),H7:H30,0))</f>
        <v>0</v>
      </c>
      <c r="AD320" s="191">
        <f t="array" ref="AD320">SUM(IF((C7:C30="Packaging - Mixed")*(D7:D30="Construction"),V7:V30,0))</f>
        <v>0</v>
      </c>
      <c r="AE320" s="191">
        <f t="array" ref="AE320">SUM(IF((C7:C30="Packaging - Mixed")*(D7:D30="Construction")*(G7:G30="Recycled On Site"),H7:H30,0))</f>
        <v>0</v>
      </c>
      <c r="AF320" s="191">
        <f t="array" ref="AF320">SUM(IF((C7:C30="Packaging - Mixed")*(D7:D30="Construction")*(G7:G30="Recycled Off Site - Transfer Station, MRF, EfW"),J7:J30,0))</f>
        <v>0</v>
      </c>
      <c r="AG320" s="191">
        <f t="array" ref="AG320">SUM(IF((C7:C30="Packaging - Mixed")*(D7:D30="Construction"),R7:R30,0))</f>
        <v>0</v>
      </c>
      <c r="AH320" s="191">
        <f t="array" ref="AH320">SUM(IF((C7:C30="Packaging - Mixed")*(D7:D30="Construction"),S7:S30,0))</f>
        <v>0</v>
      </c>
      <c r="AI320" s="192">
        <f t="shared" si="129"/>
        <v>0</v>
      </c>
      <c r="AJ320" s="192">
        <f t="shared" si="130"/>
        <v>0</v>
      </c>
    </row>
    <row r="321" spans="25:36" x14ac:dyDescent="0.25">
      <c r="Y321" s="865" t="s">
        <v>194</v>
      </c>
      <c r="Z321" s="875">
        <v>150102</v>
      </c>
      <c r="AA321" s="235" t="s">
        <v>123</v>
      </c>
      <c r="AB321" s="231" t="s">
        <v>235</v>
      </c>
      <c r="AC321" s="232">
        <f t="array" ref="AC321">SUM(IF((E7:E30=150102)*(D7:D30="Demolition")*(G7:G30="Re Use On Site"),H7:H30,0))</f>
        <v>0</v>
      </c>
      <c r="AD321" s="232">
        <f t="array" ref="AD321">SUM(IF((E7:E30=150102)*(D7:D30="Demolition"),V7:V30,0))</f>
        <v>0</v>
      </c>
      <c r="AE321" s="232">
        <f t="array" ref="AE321">SUM(IF((E7:E30=150102)*(D7:D30="Demolition")*(G7:G30="Recycled On Site"),H7:H30,0))</f>
        <v>0</v>
      </c>
      <c r="AF321" s="232">
        <f t="array" ref="AF321">SUM(IF((E7:E30=150102)*(D7:D30="Demolition")*(G7:G30="Recycled Off Site - Transfer Station, MRF, EfW"),J7:J30,0))</f>
        <v>0</v>
      </c>
      <c r="AG321" s="232">
        <f t="array" ref="AG321">SUM(IF((E7:E30=150102)*(D7:D30="Demolition"),R7:R30,0))</f>
        <v>0</v>
      </c>
      <c r="AH321" s="232">
        <f t="array" ref="AH321">SUM(IF((E7:E30=150102)*(D7:D30="Demolition"),S7:S30,0))</f>
        <v>0</v>
      </c>
      <c r="AI321" s="192">
        <f t="shared" si="129"/>
        <v>0</v>
      </c>
      <c r="AJ321" s="192">
        <f t="shared" si="130"/>
        <v>0</v>
      </c>
    </row>
    <row r="322" spans="25:36" x14ac:dyDescent="0.25">
      <c r="Y322" s="871"/>
      <c r="Z322" s="876"/>
      <c r="AA322" s="235" t="s">
        <v>123</v>
      </c>
      <c r="AB322" s="234" t="s">
        <v>236</v>
      </c>
      <c r="AC322" s="191">
        <f t="array" ref="AC322">SUM(IF((E7:E30=150102)*(D7:D30="Excavation")*(G7:G30="Re Use On Site"),H7:H30,0))</f>
        <v>0</v>
      </c>
      <c r="AD322" s="191">
        <f t="array" ref="AD322">SUM(IF((E7:E30=150102)*(D7:D30="Excavation"),V7:V30,0))</f>
        <v>0</v>
      </c>
      <c r="AE322" s="191">
        <f t="array" ref="AE322">SUM(IF((E7:E30=150102)*(D7:D30="Excavation")*(G7:G30="Recycled On Site"),H7:H30,0))</f>
        <v>0</v>
      </c>
      <c r="AF322" s="191">
        <f t="array" ref="AF322">SUM(IF((E7:E30=150102)*(D7:D30="Excavation")*(G7:G30="Recycled Off Site - Transfer Station, MRF, EfW"),J7:J30,0))</f>
        <v>0</v>
      </c>
      <c r="AG322" s="191">
        <f t="array" ref="AG322">SUM(IF((E7:E30=150102)*(D7:D30="Excavation"),R7:R30,0))</f>
        <v>0</v>
      </c>
      <c r="AH322" s="191">
        <f t="array" ref="AH322">SUM(IF((E7:E30=150102)*(D7:D30="Excavation"),S7:S30,0))</f>
        <v>0</v>
      </c>
      <c r="AI322" s="192">
        <f t="shared" si="129"/>
        <v>0</v>
      </c>
      <c r="AJ322" s="192">
        <f t="shared" si="130"/>
        <v>0</v>
      </c>
    </row>
    <row r="323" spans="25:36" ht="13.8" thickBot="1" x14ac:dyDescent="0.3">
      <c r="Y323" s="874"/>
      <c r="Z323" s="877"/>
      <c r="AA323" s="235" t="s">
        <v>123</v>
      </c>
      <c r="AB323" s="234" t="s">
        <v>237</v>
      </c>
      <c r="AC323" s="191">
        <f t="array" ref="AC323">SUM(IF((E7:E30=150102)*(D7:D30="Construction")*(G7:G30="Re Use On Site"),H7:H30,0))</f>
        <v>0</v>
      </c>
      <c r="AD323" s="191">
        <f t="array" ref="AD323">SUM(IF((E7:E30=150102)*(D7:D30="Construction"),V7:V30,0))</f>
        <v>0</v>
      </c>
      <c r="AE323" s="191">
        <f t="array" ref="AE323">SUM(IF((E7:E30=150102)*(D7:D30="Construction")*(G7:G30="Recycled On Site"),H7:H30,0))</f>
        <v>0</v>
      </c>
      <c r="AF323" s="191">
        <f t="array" ref="AF323">SUM(IF((E7:E30=150102)*(D7:D30="Construction")*(G7:G30="Recycled Off Site - Transfer Station, MRF, EfW"),J7:J30,0))</f>
        <v>0</v>
      </c>
      <c r="AG323" s="191">
        <f t="array" ref="AG323">SUM(IF((E7:E30=150102)*(D7:D30="Construction"),R7:R30,0))</f>
        <v>0</v>
      </c>
      <c r="AH323" s="191">
        <f t="array" ref="AH323">SUM(IF((E7:E30=150102)*(D7:D30="Construction"),S7:S30,0))</f>
        <v>0</v>
      </c>
      <c r="AI323" s="192">
        <f t="shared" si="129"/>
        <v>0</v>
      </c>
      <c r="AJ323" s="192">
        <f t="shared" si="130"/>
        <v>0</v>
      </c>
    </row>
    <row r="324" spans="25:36" x14ac:dyDescent="0.25">
      <c r="Y324" s="865" t="s">
        <v>195</v>
      </c>
      <c r="Z324" s="875">
        <v>150103</v>
      </c>
      <c r="AA324" s="235" t="s">
        <v>123</v>
      </c>
      <c r="AB324" s="231" t="s">
        <v>235</v>
      </c>
      <c r="AC324" s="232">
        <f t="array" ref="AC324">SUM(IF((E7:E30=150103)*(D7:D30="Demolition")*(G7:G30="Re Use On Site"),H7:H30,0))</f>
        <v>0</v>
      </c>
      <c r="AD324" s="232">
        <f t="array" ref="AD324">SUM(IF((E7:E30=150103)*(D7:D30="Demolition"),V7:V30,0))</f>
        <v>0</v>
      </c>
      <c r="AE324" s="232">
        <f t="array" ref="AE324">SUM(IF((E7:E30=150103)*(D7:D30="Demolition")*(G7:G30="Recycled On Site"),H7:H30,0))</f>
        <v>0</v>
      </c>
      <c r="AF324" s="232">
        <f t="array" ref="AF324">SUM(IF((E7:E30=150103)*(D7:D30="Demolition")*(G7:G30="Recycled Off Site - Transfer Station, MRF, EfW"),J7:J30,0))</f>
        <v>0</v>
      </c>
      <c r="AG324" s="232">
        <f t="array" ref="AG324">SUM(IF((E7:E30=150103)*(D7:D30="Demolition"),R7:R30,0))</f>
        <v>0</v>
      </c>
      <c r="AH324" s="232">
        <f t="array" ref="AH324">SUM(IF((E7:E30=150103)*(D7:D30="Demolition"),S7:S30,0))</f>
        <v>0</v>
      </c>
      <c r="AI324" s="192">
        <f t="shared" si="129"/>
        <v>0</v>
      </c>
      <c r="AJ324" s="192">
        <f t="shared" si="130"/>
        <v>0</v>
      </c>
    </row>
    <row r="325" spans="25:36" x14ac:dyDescent="0.25">
      <c r="Y325" s="871"/>
      <c r="Z325" s="876"/>
      <c r="AA325" s="235" t="s">
        <v>123</v>
      </c>
      <c r="AB325" s="234" t="s">
        <v>236</v>
      </c>
      <c r="AC325" s="191">
        <f t="array" ref="AC325">SUM(IF((E7:E30=150103)*(D7:D30="Excavation")*(G7:G30="Re Use On Site"),H7:H30,0))</f>
        <v>0</v>
      </c>
      <c r="AD325" s="191">
        <f t="array" ref="AD325">SUM(IF((E7:E30=150103)*(D7:D30="Excavation"),V7:V30,0))</f>
        <v>0</v>
      </c>
      <c r="AE325" s="191">
        <f t="array" ref="AE325">SUM(IF((E7:E30=150103)*(D7:D30="Excavation")*(G7:G30="Recycled On Site"),H7:H30,0))</f>
        <v>0</v>
      </c>
      <c r="AF325" s="191">
        <f t="array" ref="AF325">SUM(IF((E7:E30=150103)*(D7:D30="Excavation")*(G7:G30="Recycled Off Site - Transfer Station, MRF, EfW"),J7:J30,0))</f>
        <v>0</v>
      </c>
      <c r="AG325" s="191">
        <f t="array" ref="AG325">SUM(IF((E7:E30=150103)*(D7:D30="Excavation"),R7:R30,0))</f>
        <v>0</v>
      </c>
      <c r="AH325" s="191">
        <f t="array" ref="AH325">SUM(IF((E7:E30=150103)*(D7:D30="Excavation"),S7:S30,0))</f>
        <v>0</v>
      </c>
      <c r="AI325" s="192">
        <f t="shared" si="129"/>
        <v>0</v>
      </c>
      <c r="AJ325" s="192">
        <f t="shared" si="130"/>
        <v>0</v>
      </c>
    </row>
    <row r="326" spans="25:36" ht="13.8" thickBot="1" x14ac:dyDescent="0.3">
      <c r="Y326" s="874"/>
      <c r="Z326" s="877"/>
      <c r="AA326" s="235" t="s">
        <v>123</v>
      </c>
      <c r="AB326" s="234" t="s">
        <v>237</v>
      </c>
      <c r="AC326" s="191">
        <f t="array" ref="AC326">SUM(IF((E7:E30=150103)*(D7:D30="Construction")*(G7:G30="Re Use On Site"),H7:H30,0))</f>
        <v>0</v>
      </c>
      <c r="AD326" s="191">
        <f t="array" ref="AD326">SUM(IF((E7:E30=150103)*(D7:D30="Construction"),V7:V30,0))</f>
        <v>0</v>
      </c>
      <c r="AE326" s="191">
        <f t="array" ref="AE326">SUM(IF((E7:E30=150103)*(D7:D30="Construction")*(G7:G30="Recycled On Site"),H7:H30,0))</f>
        <v>0</v>
      </c>
      <c r="AF326" s="191">
        <f t="array" ref="AF326">SUM(IF((E7:E30=150103)*(D7:D30="Construction")*(G7:G30="Recycled Off Site - Transfer Station, MRF, EfW"),J7:J30,0))</f>
        <v>0</v>
      </c>
      <c r="AG326" s="191">
        <f t="array" ref="AG326">SUM(IF((E7:E30=150103)*(D7:D30="Construction"),R7:R30,0))</f>
        <v>0</v>
      </c>
      <c r="AH326" s="191">
        <f t="array" ref="AH326">SUM(IF((E7:E30=150103)*(D7:D30="Construction"),S7:S30,0))</f>
        <v>0</v>
      </c>
      <c r="AI326" s="192">
        <f t="shared" si="129"/>
        <v>0</v>
      </c>
      <c r="AJ326" s="192">
        <f t="shared" si="130"/>
        <v>0</v>
      </c>
    </row>
    <row r="327" spans="25:36" x14ac:dyDescent="0.25">
      <c r="Y327" s="865" t="s">
        <v>196</v>
      </c>
      <c r="Z327" s="867">
        <v>80112</v>
      </c>
      <c r="AA327" s="235" t="s">
        <v>123</v>
      </c>
      <c r="AB327" s="231" t="s">
        <v>235</v>
      </c>
      <c r="AC327" s="232">
        <f t="array" ref="AC327">SUM(IF((E7:E30=80112)*(D7:D30="Demolition")*(G7:G30="Re Use On Site"),H7:H30,0))</f>
        <v>0</v>
      </c>
      <c r="AD327" s="232">
        <f t="array" ref="AD327">SUM(IF((E7:E30=80112)*(D7:D30="Demolition"),V7:V30,0))</f>
        <v>0</v>
      </c>
      <c r="AE327" s="232">
        <f t="array" ref="AE327">SUM(IF((E7:E30=80112)*(D7:D30="Demolition")*(G7:G30="Recycled On Site"),H7:H30,0))</f>
        <v>0</v>
      </c>
      <c r="AF327" s="232">
        <f t="array" ref="AF327">SUM(IF((E7:E30=80112)*(D7:D30="Demolition")*(G7:G30="Recycled Off Site - Transfer Station, MRF, EfW"),J7:J30,0))</f>
        <v>0</v>
      </c>
      <c r="AG327" s="232">
        <f t="array" ref="AG327">SUM(IF((E7:E30=80112)*(D7:D30="Demolition"),R7:R30,0))</f>
        <v>0</v>
      </c>
      <c r="AH327" s="232">
        <f t="array" ref="AH327">SUM(IF((E7:E30=80112)*(D7:D30="Demolition"),S7:S30,0))</f>
        <v>0</v>
      </c>
      <c r="AI327" s="192">
        <f t="shared" si="129"/>
        <v>0</v>
      </c>
      <c r="AJ327" s="192">
        <f t="shared" si="130"/>
        <v>0</v>
      </c>
    </row>
    <row r="328" spans="25:36" x14ac:dyDescent="0.25">
      <c r="Y328" s="871"/>
      <c r="Z328" s="868"/>
      <c r="AA328" s="235" t="s">
        <v>123</v>
      </c>
      <c r="AB328" s="234" t="s">
        <v>236</v>
      </c>
      <c r="AC328" s="191">
        <f t="array" ref="AC328">SUM(IF((E7:E30=80112)*(D7:D30="Excavation")*(G7:G30="Re Use On Site"),H7:H30,0))</f>
        <v>0</v>
      </c>
      <c r="AD328" s="191">
        <f t="array" ref="AD328">SUM(IF((E7:E30=80112)*(D7:D30="Excavation"),V7:V30,0))</f>
        <v>0</v>
      </c>
      <c r="AE328" s="191">
        <f t="array" ref="AE328">SUM(IF((E7:E30=80112)*(D7:D30="Excavation")*(G7:G30="Recycled On Site"),H7:H30,0))</f>
        <v>0</v>
      </c>
      <c r="AF328" s="191">
        <f t="array" ref="AF328">SUM(IF((E7:E30=80112)*(D7:D30="Excavation")*(G7:G30="Recycled Off Site - Transfer Station, MRF, EfW"),J7:J30,0))</f>
        <v>0</v>
      </c>
      <c r="AG328" s="191">
        <f t="array" ref="AG328">SUM(IF((E7:E30=80112)*(D7:D30="Excavation"),R7:R30,0))</f>
        <v>0</v>
      </c>
      <c r="AH328" s="191">
        <f t="array" ref="AH328">SUM(IF((E7:E30=80112)*(D7:D30="Excavation"),S7:S30,0))</f>
        <v>0</v>
      </c>
      <c r="AI328" s="192">
        <f t="shared" si="129"/>
        <v>0</v>
      </c>
      <c r="AJ328" s="192">
        <f t="shared" si="130"/>
        <v>0</v>
      </c>
    </row>
    <row r="329" spans="25:36" ht="13.8" thickBot="1" x14ac:dyDescent="0.3">
      <c r="Y329" s="874"/>
      <c r="Z329" s="869"/>
      <c r="AA329" s="235" t="s">
        <v>123</v>
      </c>
      <c r="AB329" s="234" t="s">
        <v>237</v>
      </c>
      <c r="AC329" s="191">
        <f t="array" ref="AC329">SUM(IF((E7:E30=80112)*(D7:D30="Construction")*(G7:G30="Re Use On Site"),H7:H30,0))</f>
        <v>0</v>
      </c>
      <c r="AD329" s="191">
        <f t="array" ref="AD329">SUM(IF((E7:E30=80112)*(D7:D30="Construction"),V7:V30,0))</f>
        <v>0</v>
      </c>
      <c r="AE329" s="191">
        <f t="array" ref="AE329">SUM(IF((E7:E30=80112)*(D7:D30="Construction")*(G7:G30="Recycled On Site"),H7:H30,0))</f>
        <v>0</v>
      </c>
      <c r="AF329" s="191">
        <f t="array" ref="AF329">SUM(IF((E7:E30=80112)*(D7:D30="Construction")*(G7:G30="Recycled Off Site - Transfer Station, MRF, EfW"),J7:J30,0))</f>
        <v>0</v>
      </c>
      <c r="AG329" s="191">
        <f t="array" ref="AG329">SUM(IF((E7:E30=80112)*(D7:D30="Construction"),R7:R30,0))</f>
        <v>0</v>
      </c>
      <c r="AH329" s="191">
        <f t="array" ref="AH329">SUM(IF((E7:E30=80112)*(D7:D30="Construction"),S7:S30,0))</f>
        <v>0</v>
      </c>
      <c r="AI329" s="192">
        <f t="shared" si="129"/>
        <v>0</v>
      </c>
      <c r="AJ329" s="192">
        <f t="shared" si="130"/>
        <v>0</v>
      </c>
    </row>
    <row r="330" spans="25:36" x14ac:dyDescent="0.25">
      <c r="Y330" s="865" t="s">
        <v>197</v>
      </c>
      <c r="Z330" s="867">
        <v>80111</v>
      </c>
      <c r="AA330" s="235" t="s">
        <v>126</v>
      </c>
      <c r="AB330" s="231" t="s">
        <v>235</v>
      </c>
      <c r="AC330" s="232">
        <f t="array" ref="AC330">SUM(IF((E7:E30=80111)*(D7:D30="Demolition")*(G7:G30="Re Use On Site"),H7:H30,0))</f>
        <v>0</v>
      </c>
      <c r="AD330" s="232">
        <f t="array" ref="AD330">SUM(IF((E7:E30=80111)*(D7:D30="Demolition"),V7:V30,0))</f>
        <v>0</v>
      </c>
      <c r="AE330" s="232">
        <f t="array" ref="AE330">SUM(IF((E7:E30=80111)*(D7:D30="Demolition")*(G7:G30="Recycled On Site"),H7:H30,0))</f>
        <v>0</v>
      </c>
      <c r="AF330" s="232">
        <f t="array" ref="AF330">SUM(IF((E7:E30=80111)*(D7:D30="Demolition")*(G7:G30="Recycled Off Site - Transfer Station, MRF, EfW"),J7:J30,0))</f>
        <v>0</v>
      </c>
      <c r="AG330" s="232">
        <f t="array" ref="AG330">SUM(IF((E7:E30=80111)*(D7:D30="Demolition"),R7:R30,0))</f>
        <v>0</v>
      </c>
      <c r="AH330" s="232">
        <f t="array" ref="AH330">SUM(IF((E7:E30=80111)*(D7:D30="Demolition"),S7:S30,0))</f>
        <v>0</v>
      </c>
      <c r="AI330" s="192">
        <f t="shared" si="129"/>
        <v>0</v>
      </c>
      <c r="AJ330" s="192">
        <f t="shared" si="130"/>
        <v>0</v>
      </c>
    </row>
    <row r="331" spans="25:36" x14ac:dyDescent="0.25">
      <c r="Y331" s="871"/>
      <c r="Z331" s="868"/>
      <c r="AA331" s="235" t="s">
        <v>126</v>
      </c>
      <c r="AB331" s="234" t="s">
        <v>236</v>
      </c>
      <c r="AC331" s="191">
        <f t="array" ref="AC331">SUM(IF((E7:E30=80111)*(D7:D30="Excavation")*(G7:G30="Re Use On Site"),H7:H30,0))</f>
        <v>0</v>
      </c>
      <c r="AD331" s="191">
        <f t="array" ref="AD331">SUM(IF((E7:E30=80111)*(D7:D30="Excavation"),V7:V30,0))</f>
        <v>0</v>
      </c>
      <c r="AE331" s="191">
        <f t="array" ref="AE331">SUM(IF((E7:E30=80111)*(D7:D30="Excavation")*(G7:G30="Recycled On Site"),H7:H30,0))</f>
        <v>0</v>
      </c>
      <c r="AF331" s="191">
        <f t="array" ref="AF331">SUM(IF((E7:E30=80111)*(D7:D30="Excavation")*(G7:G30="Recycled Off Site - Transfer Station, MRF, EfW"),J7:J30,0))</f>
        <v>0</v>
      </c>
      <c r="AG331" s="191">
        <f t="array" ref="AG331">SUM(IF((E7:E30=80111)*(D7:D30="Excavation"),R7:R30,0))</f>
        <v>0</v>
      </c>
      <c r="AH331" s="191">
        <f t="array" ref="AH331">SUM(IF((E7:E30=80111)*(D7:D30="Excavation"),S7:S30,0))</f>
        <v>0</v>
      </c>
      <c r="AI331" s="192">
        <f t="shared" si="129"/>
        <v>0</v>
      </c>
      <c r="AJ331" s="192">
        <f t="shared" si="130"/>
        <v>0</v>
      </c>
    </row>
    <row r="332" spans="25:36" ht="13.8" thickBot="1" x14ac:dyDescent="0.3">
      <c r="Y332" s="874"/>
      <c r="Z332" s="869"/>
      <c r="AA332" s="235" t="s">
        <v>126</v>
      </c>
      <c r="AB332" s="234" t="s">
        <v>237</v>
      </c>
      <c r="AC332" s="191">
        <f t="array" ref="AC332">SUM(IF((E7:E30=80111)*(D7:D30="Construction")*(G7:G30="Re Use On Site"),H7:H30,0))</f>
        <v>0</v>
      </c>
      <c r="AD332" s="191">
        <f t="array" ref="AD332">SUM(IF((E7:E30=80111)*(D7:D30="Construction"),V7:V30,0))</f>
        <v>0</v>
      </c>
      <c r="AE332" s="191">
        <f t="array" ref="AE332">SUM(IF((E7:E30=80111)*(D7:D30="Construction")*(G7:G30="Recycled On Site"),H7:H30,0))</f>
        <v>0</v>
      </c>
      <c r="AF332" s="191">
        <f t="array" ref="AF332">SUM(IF((E7:E30=80111)*(D7:D30="Construction")*(G7:G30="Recycled Off Site - Transfer Station, MRF, EfW"),J7:J30,0))</f>
        <v>0</v>
      </c>
      <c r="AG332" s="191">
        <f t="array" ref="AG332">SUM(IF((E7:E30=80111)*(D7:D30="Construction"),R7:R30,0))</f>
        <v>0</v>
      </c>
      <c r="AH332" s="191">
        <f t="array" ref="AH332">SUM(IF((E7:E30=80111)*(D7:D30="Construction"),S7:S30,0))</f>
        <v>0</v>
      </c>
      <c r="AI332" s="192">
        <f t="shared" si="129"/>
        <v>0</v>
      </c>
      <c r="AJ332" s="192">
        <f t="shared" si="130"/>
        <v>0</v>
      </c>
    </row>
    <row r="333" spans="25:36" x14ac:dyDescent="0.25">
      <c r="Y333" s="865" t="s">
        <v>198</v>
      </c>
      <c r="Z333" s="867">
        <v>80118</v>
      </c>
      <c r="AA333" s="235" t="s">
        <v>123</v>
      </c>
      <c r="AB333" s="231" t="s">
        <v>235</v>
      </c>
      <c r="AC333" s="232">
        <f t="array" ref="AC333">SUM(IF((E7:E30=80118)*(D7:D30="Demolition")*(G7:G30="Re Use On Site"),H7:H30,0))</f>
        <v>0</v>
      </c>
      <c r="AD333" s="232">
        <f t="array" ref="AD333">SUM(IF((E7:E30=80118)*(D7:D30="Demolition"),V7:V30,0))</f>
        <v>0</v>
      </c>
      <c r="AE333" s="232">
        <f t="array" ref="AE333">SUM(IF((E7:E30=80118)*(D7:D30="Demolition")*(G7:G30="Recycled On Site"),H7:H30,0))</f>
        <v>0</v>
      </c>
      <c r="AF333" s="232">
        <f t="array" ref="AF333">SUM(IF((E7:E30=80118)*(D7:D30="Demolition")*(G7:G30="Recycled Off Site - Transfer Station, MRF, EfW"),J7:J30,0))</f>
        <v>0</v>
      </c>
      <c r="AG333" s="232">
        <f t="array" ref="AG333">SUM(IF((E7:E30=80118)*(D7:D30="Demolition"),R7:R30,0))</f>
        <v>0</v>
      </c>
      <c r="AH333" s="232">
        <f t="array" ref="AH333">SUM(IF((E7:E30=80118)*(D7:D30="Demolition"),S7:S30,0))</f>
        <v>0</v>
      </c>
      <c r="AI333" s="192">
        <f t="shared" si="129"/>
        <v>0</v>
      </c>
      <c r="AJ333" s="192">
        <f t="shared" si="130"/>
        <v>0</v>
      </c>
    </row>
    <row r="334" spans="25:36" x14ac:dyDescent="0.25">
      <c r="Y334" s="871"/>
      <c r="Z334" s="868"/>
      <c r="AA334" s="235" t="s">
        <v>123</v>
      </c>
      <c r="AB334" s="234" t="s">
        <v>236</v>
      </c>
      <c r="AC334" s="191">
        <f t="array" ref="AC334">SUM(IF((E7:E30=80118)*(D7:D30="Excavation")*(G7:G30="Re Use On Site"),H7:H30,0))</f>
        <v>0</v>
      </c>
      <c r="AD334" s="191">
        <f t="array" ref="AD334">SUM(IF((E7:E30=80118)*(D7:D30="Excavation"),V7:V30,0))</f>
        <v>0</v>
      </c>
      <c r="AE334" s="191">
        <f t="array" ref="AE334">SUM(IF((E7:E30=80118)*(D7:D30="Excavation")*(G7:G30="Recycled On Site"),H7:H30,0))</f>
        <v>0</v>
      </c>
      <c r="AF334" s="191">
        <f t="array" ref="AF334">SUM(IF((E7:E30=80118)*(D7:D30="Excavation")*(G7:G30="Recycled Off Site - Transfer Station, MRF, EfW"),J7:J30,0))</f>
        <v>0</v>
      </c>
      <c r="AG334" s="191">
        <f t="array" ref="AG334">SUM(IF((E7:E30=80118)*(D7:D30="Excavation"),R7:R30,0))</f>
        <v>0</v>
      </c>
      <c r="AH334" s="191">
        <f t="array" ref="AH334">SUM(IF((E7:E30=80118)*(D7:D30="Excavation"),S7:S30,0))</f>
        <v>0</v>
      </c>
      <c r="AI334" s="192">
        <f t="shared" si="129"/>
        <v>0</v>
      </c>
      <c r="AJ334" s="192">
        <f t="shared" si="130"/>
        <v>0</v>
      </c>
    </row>
    <row r="335" spans="25:36" ht="13.8" thickBot="1" x14ac:dyDescent="0.3">
      <c r="Y335" s="874"/>
      <c r="Z335" s="869"/>
      <c r="AA335" s="235" t="s">
        <v>123</v>
      </c>
      <c r="AB335" s="234" t="s">
        <v>237</v>
      </c>
      <c r="AC335" s="191">
        <f t="array" ref="AC335">SUM(IF((E7:E30=80118)*(D7:D30="Construction")*(G7:G30="Re Use On Site"),H7:H30,0))</f>
        <v>0</v>
      </c>
      <c r="AD335" s="191">
        <f t="array" ref="AD335">SUM(IF((E7:E30=80118)*(D7:D30="Construction"),V7:V30,0))</f>
        <v>0</v>
      </c>
      <c r="AE335" s="191">
        <f t="array" ref="AE335">SUM(IF((E7:E30=80118)*(D7:D30="Construction")*(G7:G30="Recycled On Site"),H7:H30,0))</f>
        <v>0</v>
      </c>
      <c r="AF335" s="191">
        <f t="array" ref="AF335">SUM(IF((E7:E30=80118)*(D7:D30="Construction")*(G7:G30="Recycled Off Site - Transfer Station, MRF, EfW"),J7:J30,0))</f>
        <v>0</v>
      </c>
      <c r="AG335" s="191">
        <f t="array" ref="AG335">SUM(IF((E7:E30=80118)*(D7:D30="Construction"),R7:R30,0))</f>
        <v>0</v>
      </c>
      <c r="AH335" s="191">
        <f t="array" ref="AH335">SUM(IF((E7:E30=80118)*(D7:D30="Construction"),S7:S30,0))</f>
        <v>0</v>
      </c>
      <c r="AI335" s="192">
        <f t="shared" si="129"/>
        <v>0</v>
      </c>
      <c r="AJ335" s="192">
        <f t="shared" si="130"/>
        <v>0</v>
      </c>
    </row>
    <row r="336" spans="25:36" x14ac:dyDescent="0.25">
      <c r="Y336" s="865" t="s">
        <v>199</v>
      </c>
      <c r="Z336" s="867">
        <v>80117</v>
      </c>
      <c r="AA336" s="235" t="s">
        <v>126</v>
      </c>
      <c r="AB336" s="231" t="s">
        <v>235</v>
      </c>
      <c r="AC336" s="232">
        <f t="array" ref="AC336">SUM(IF((E7:E30=80117)*(D7:D30="Demolition")*(G7:G30="Re Use On Site"),H7:H30,0))</f>
        <v>0</v>
      </c>
      <c r="AD336" s="232">
        <f t="array" ref="AD336">SUM(IF((E7:E30=80117)*(D7:D30="Demolition"),V7:V30,0))</f>
        <v>0</v>
      </c>
      <c r="AE336" s="232">
        <f t="array" ref="AE336">SUM(IF((E7:E30=80117)*(D7:D30="Demolition")*(G7:G30="Recycled On Site"),H7:H30,0))</f>
        <v>0</v>
      </c>
      <c r="AF336" s="232">
        <f t="array" ref="AF336">SUM(IF((E7:E30=80117)*(D7:D30="Demolition")*(G7:G30="Recycled Off Site - Transfer Station, MRF, EfW"),J7:J30,0))</f>
        <v>0</v>
      </c>
      <c r="AG336" s="232">
        <f t="array" ref="AG336">SUM(IF((E7:E30=80117)*(D7:D30="Demolition"),R7:R30,0))</f>
        <v>0</v>
      </c>
      <c r="AH336" s="232">
        <f t="array" ref="AH336">SUM(IF((E7:E30=80117)*(D7:D30="Demolition"),S7:S30,0))</f>
        <v>0</v>
      </c>
      <c r="AI336" s="192">
        <f t="shared" si="129"/>
        <v>0</v>
      </c>
      <c r="AJ336" s="192">
        <f t="shared" si="130"/>
        <v>0</v>
      </c>
    </row>
    <row r="337" spans="25:36" x14ac:dyDescent="0.25">
      <c r="Y337" s="871"/>
      <c r="Z337" s="868"/>
      <c r="AA337" s="235" t="s">
        <v>126</v>
      </c>
      <c r="AB337" s="234" t="s">
        <v>236</v>
      </c>
      <c r="AC337" s="191">
        <f t="array" ref="AC337">SUM(IF((E7:E30=80117)*(D7:D30="Excavation")*(G7:G30="Re Use On Site"),H7:H30,0))</f>
        <v>0</v>
      </c>
      <c r="AD337" s="191">
        <f t="array" ref="AD337">SUM(IF((E7:E30=80117)*(D7:D30="Excavation"),V7:V30,0))</f>
        <v>0</v>
      </c>
      <c r="AE337" s="191">
        <f t="array" ref="AE337">SUM(IF((E7:E30=80117)*(D7:D30="Excavation")*(G7:G30="Recycled On Site"),H7:H30,0))</f>
        <v>0</v>
      </c>
      <c r="AF337" s="191">
        <f t="array" ref="AF337">SUM(IF((E7:E30=80117)*(D7:D30="Excavation")*(G7:G30="Recycled Off Site - Transfer Station, MRF, EfW"),J7:J30,0))</f>
        <v>0</v>
      </c>
      <c r="AG337" s="191">
        <f t="array" ref="AG337">SUM(IF((E7:E30=80117)*(D7:D30="Excavation"),R7:R30,0))</f>
        <v>0</v>
      </c>
      <c r="AH337" s="191">
        <f t="array" ref="AH337">SUM(IF((E7:E30=80117)*(D7:D30="Excavation"),S7:S30,0))</f>
        <v>0</v>
      </c>
      <c r="AI337" s="192">
        <f t="shared" si="129"/>
        <v>0</v>
      </c>
      <c r="AJ337" s="192">
        <f t="shared" si="130"/>
        <v>0</v>
      </c>
    </row>
    <row r="338" spans="25:36" ht="13.8" thickBot="1" x14ac:dyDescent="0.3">
      <c r="Y338" s="874"/>
      <c r="Z338" s="869"/>
      <c r="AA338" s="235" t="s">
        <v>126</v>
      </c>
      <c r="AB338" s="234" t="s">
        <v>237</v>
      </c>
      <c r="AC338" s="191">
        <f t="array" ref="AC338">SUM(IF((E7:E30=80117)*(D7:D30="Construction")*(G7:G30="Re Use On Site"),H7:H30,0))</f>
        <v>0</v>
      </c>
      <c r="AD338" s="191">
        <f t="array" ref="AD338">SUM(IF((E7:E30=80117)*(D7:D30="Construction"),V7:V30,0))</f>
        <v>0</v>
      </c>
      <c r="AE338" s="191">
        <f t="array" ref="AE338">SUM(IF((E7:E30=80117)*(D7:D30="Construction")*(G7:G30="Recycled On Site"),H7:H30,0))</f>
        <v>0</v>
      </c>
      <c r="AF338" s="191">
        <f t="array" ref="AF338">SUM(IF((E7:E30=80117)*(D7:D30="Construction")*(G7:G30="Recycled Off Site - Transfer Station, MRF, EfW"),J7:J30,0))</f>
        <v>0</v>
      </c>
      <c r="AG338" s="191">
        <f t="array" ref="AG338">SUM(IF((E7:E30=80117)*(D7:D30="Construction"),R7:R30,0))</f>
        <v>0</v>
      </c>
      <c r="AH338" s="191">
        <f t="array" ref="AH338">SUM(IF((E7:E30=80117)*(D7:D30="Construction"),S7:S30,0))</f>
        <v>0</v>
      </c>
      <c r="AI338" s="192">
        <f t="shared" si="129"/>
        <v>0</v>
      </c>
      <c r="AJ338" s="192">
        <f t="shared" si="130"/>
        <v>0</v>
      </c>
    </row>
    <row r="339" spans="25:36" x14ac:dyDescent="0.25">
      <c r="Y339" s="865" t="s">
        <v>200</v>
      </c>
      <c r="Z339" s="867">
        <v>200101</v>
      </c>
      <c r="AA339" s="235" t="s">
        <v>123</v>
      </c>
      <c r="AB339" s="231" t="s">
        <v>235</v>
      </c>
      <c r="AC339" s="232">
        <f t="array" ref="AC339">SUM(IF((E7:E30=200101)*(D7:D30="Demolition")*(G7:G30="Re Use On Site"),H7:H30,0))</f>
        <v>0</v>
      </c>
      <c r="AD339" s="232">
        <f t="array" ref="AD339">SUM(IF((E7:E30=200101)*(D7:D30="Demolition"),V7:V30,0))</f>
        <v>0</v>
      </c>
      <c r="AE339" s="232">
        <f t="array" ref="AE339">SUM(IF((E7:E30=200101)*(D7:D30="Demolition")*(G7:G30="Recycled On Site"),H7:H30,0))</f>
        <v>0</v>
      </c>
      <c r="AF339" s="232">
        <f t="array" ref="AF339">SUM(IF((E7:E30=200101)*(D7:D30="Demolition")*(G7:G30="Recycled Off Site - Transfer Station, MRF, EfW"),J7:J30,0))</f>
        <v>0</v>
      </c>
      <c r="AG339" s="232">
        <f t="array" ref="AG339">SUM(IF((E7:E30=200101)*(D7:D30="Demolition"),R7:R30,0))</f>
        <v>0</v>
      </c>
      <c r="AH339" s="232">
        <f t="array" ref="AH339">SUM(IF((E7:E30=200101)*(D7:D30="Demolition"),S7:S30,0))</f>
        <v>0</v>
      </c>
      <c r="AI339" s="192">
        <f t="shared" si="129"/>
        <v>0</v>
      </c>
      <c r="AJ339" s="192">
        <f t="shared" si="130"/>
        <v>0</v>
      </c>
    </row>
    <row r="340" spans="25:36" x14ac:dyDescent="0.25">
      <c r="Y340" s="871"/>
      <c r="Z340" s="868"/>
      <c r="AA340" s="235" t="s">
        <v>123</v>
      </c>
      <c r="AB340" s="234" t="s">
        <v>236</v>
      </c>
      <c r="AC340" s="191">
        <f t="array" ref="AC340">SUM(IF((E7:E30=200101)*(D7:D30="Excavation")*(G7:G30="Re Use On Site"),H7:H30,0))</f>
        <v>0</v>
      </c>
      <c r="AD340" s="191">
        <f t="array" ref="AD340">SUM(IF((E7:E30=200101)*(D7:D30="Excavation"),V7:V30,0))</f>
        <v>0</v>
      </c>
      <c r="AE340" s="191">
        <f t="array" ref="AE340">SUM(IF((E7:E30=200101)*(D7:D30="Excavation")*(G7:G30="Recycled On Site"),H7:H30,0))</f>
        <v>0</v>
      </c>
      <c r="AF340" s="191">
        <f t="array" ref="AF340">SUM(IF((E7:E30=200101)*(D7:D30="Excavation")*(G7:G30="Recycled Off Site - Transfer Station, MRF, EfW"),J7:J30,0))</f>
        <v>0</v>
      </c>
      <c r="AG340" s="191">
        <f t="array" ref="AG340">SUM(IF((E7:E30=200101)*(D7:D30="Excavation"),R7:R30,0))</f>
        <v>0</v>
      </c>
      <c r="AH340" s="191">
        <f t="array" ref="AH340">SUM(IF((E7:E30=200101)*(D7:D30="Excavation"),S7:S30,0))</f>
        <v>0</v>
      </c>
      <c r="AI340" s="192">
        <f t="shared" si="129"/>
        <v>0</v>
      </c>
      <c r="AJ340" s="192">
        <f t="shared" si="130"/>
        <v>0</v>
      </c>
    </row>
    <row r="341" spans="25:36" ht="13.8" thickBot="1" x14ac:dyDescent="0.3">
      <c r="Y341" s="874"/>
      <c r="Z341" s="869"/>
      <c r="AA341" s="235" t="s">
        <v>123</v>
      </c>
      <c r="AB341" s="234" t="s">
        <v>237</v>
      </c>
      <c r="AC341" s="191">
        <f t="array" ref="AC341">SUM(IF((E7:E30=200101)*(D7:D30="Construction")*(G7:G30="Re Use On Site"),H7:H30,0))</f>
        <v>0</v>
      </c>
      <c r="AD341" s="191">
        <f t="array" ref="AD341">SUM(IF((E7:E30=200101)*(D7:D30="Construction"),V7:V30,0))</f>
        <v>0</v>
      </c>
      <c r="AE341" s="191">
        <f t="array" ref="AE341">SUM(IF((E7:E30=200101)*(D7:D30="Construction")*(G7:G30="Recycled On Site"),H7:H30,0))</f>
        <v>0</v>
      </c>
      <c r="AF341" s="191">
        <f t="array" ref="AF341">SUM(IF((E7:E30=200101)*(D7:D30="Construction")*(G7:G30="Recycled Off Site - Transfer Station, MRF, EfW"),J7:J30,0))</f>
        <v>0</v>
      </c>
      <c r="AG341" s="191">
        <f t="array" ref="AG341">SUM(IF((E7:E30=200101)*(D7:D30="Construction"),R7:R30,0))</f>
        <v>0</v>
      </c>
      <c r="AH341" s="191">
        <f t="array" ref="AH341">SUM(IF((E7:E30=200101)*(D7:D30="Construction"),S7:S30,0))</f>
        <v>0</v>
      </c>
      <c r="AI341" s="192">
        <f t="shared" si="129"/>
        <v>0</v>
      </c>
      <c r="AJ341" s="192">
        <f t="shared" si="130"/>
        <v>0</v>
      </c>
    </row>
    <row r="342" spans="25:36" x14ac:dyDescent="0.25">
      <c r="Y342" s="865" t="s">
        <v>201</v>
      </c>
      <c r="Z342" s="867">
        <v>150101</v>
      </c>
      <c r="AA342" s="235" t="s">
        <v>123</v>
      </c>
      <c r="AB342" s="231" t="s">
        <v>235</v>
      </c>
      <c r="AC342" s="232">
        <f t="array" ref="AC342">SUM(IF((E7:E30=150101)*(D7:D30="Demolition")*(G7:G30="Re Use On Site"),H7:H30,0))</f>
        <v>0</v>
      </c>
      <c r="AD342" s="232">
        <f t="array" ref="AD342">SUM(IF((E7:E30=150101)*(D7:D30="Demolition"),V7:V30,0))</f>
        <v>0</v>
      </c>
      <c r="AE342" s="232">
        <f t="array" ref="AE342">SUM(IF((E7:E30=150101)*(D7:D30="Demolition")*(G7:G30="Recycled On Site"),H7:H30,0))</f>
        <v>0</v>
      </c>
      <c r="AF342" s="232">
        <f t="array" ref="AF342">SUM(IF((E7:E30=150101)*(D7:D30="Demolition")*(G7:G30="Recycled Off Site - Transfer Station, MRF, EfW"),J7:J30,0))</f>
        <v>0</v>
      </c>
      <c r="AG342" s="232">
        <f t="array" ref="AG342">SUM(IF((E7:E30=150101)*(D7:D30="Demolition"),R7:R30,0))</f>
        <v>0</v>
      </c>
      <c r="AH342" s="232">
        <f t="array" ref="AH342">SUM(IF((E7:E30=150101)*(D7:D30="Demolition"),S7:S30,0))</f>
        <v>0</v>
      </c>
      <c r="AI342" s="192">
        <f t="shared" si="129"/>
        <v>0</v>
      </c>
      <c r="AJ342" s="192">
        <f t="shared" si="130"/>
        <v>0</v>
      </c>
    </row>
    <row r="343" spans="25:36" x14ac:dyDescent="0.25">
      <c r="Y343" s="871"/>
      <c r="Z343" s="868"/>
      <c r="AA343" s="235" t="s">
        <v>123</v>
      </c>
      <c r="AB343" s="234" t="s">
        <v>236</v>
      </c>
      <c r="AC343" s="191">
        <f t="array" ref="AC343">SUM(IF((E7:E30=150101)*(D7:D30="Excavation")*(G7:G30="Re Use On Site"),H7:H30,0))</f>
        <v>0</v>
      </c>
      <c r="AD343" s="191">
        <f t="array" ref="AD343">SUM(IF((E7:E30=150101)*(D7:D30="Excavation"),V7:V30,0))</f>
        <v>0</v>
      </c>
      <c r="AE343" s="191">
        <f t="array" ref="AE343">SUM(IF((E7:E30=150101)*(D7:D30="Excavation")*(G7:G30="Recycled On Site"),H7:H30,0))</f>
        <v>0</v>
      </c>
      <c r="AF343" s="191">
        <f t="array" ref="AF343">SUM(IF((E7:E30=150101)*(D7:D30="Excavation")*(G7:G30="Recycled Off Site - Transfer Station, MRF, EfW"),J7:J30,0))</f>
        <v>0</v>
      </c>
      <c r="AG343" s="191">
        <f t="array" ref="AG343">SUM(IF((E7:E30=150101)*(D7:D30="Excavation"),R7:R30,0))</f>
        <v>0</v>
      </c>
      <c r="AH343" s="191">
        <f t="array" ref="AH343">SUM(IF((E7:E30=150101)*(D7:D30="Excavation"),S7:S30,0))</f>
        <v>0</v>
      </c>
      <c r="AI343" s="192">
        <f t="shared" si="129"/>
        <v>0</v>
      </c>
      <c r="AJ343" s="192">
        <f t="shared" si="130"/>
        <v>0</v>
      </c>
    </row>
    <row r="344" spans="25:36" ht="13.8" thickBot="1" x14ac:dyDescent="0.3">
      <c r="Y344" s="874"/>
      <c r="Z344" s="869"/>
      <c r="AA344" s="235" t="s">
        <v>123</v>
      </c>
      <c r="AB344" s="234" t="s">
        <v>237</v>
      </c>
      <c r="AC344" s="191">
        <f t="array" ref="AC344">SUM(IF((E7:E30=150101)*(D7:D30="Construction")*(G7:G30="Re Use On Site"),H7:H30,0))</f>
        <v>0</v>
      </c>
      <c r="AD344" s="191">
        <f t="array" ref="AD344">SUM(IF((E7:E30=150101)*(D7:D30="Construction"),V7:V30,0))</f>
        <v>0</v>
      </c>
      <c r="AE344" s="191">
        <f t="array" ref="AE344">SUM(IF((E7:E30=150101)*(D7:D30="Construction")*(G7:G30="Recycled On Site"),H7:H30,0))</f>
        <v>0</v>
      </c>
      <c r="AF344" s="191">
        <f t="array" ref="AF344">SUM(IF((E7:E30=150101)*(D7:D30="Construction")*(G7:G30="Recycled Off Site - Transfer Station, MRF, EfW"),J7:J30,0))</f>
        <v>0</v>
      </c>
      <c r="AG344" s="191">
        <f t="array" ref="AG344">SUM(IF((E7:E30=150101)*(D7:D30="Construction"),R7:R30,0))</f>
        <v>0</v>
      </c>
      <c r="AH344" s="191">
        <f t="array" ref="AH344">SUM(IF((E7:E30=150101)*(D7:D30="Construction"),S7:S30,0))</f>
        <v>0</v>
      </c>
      <c r="AI344" s="192">
        <f t="shared" si="129"/>
        <v>0</v>
      </c>
      <c r="AJ344" s="192">
        <f t="shared" si="130"/>
        <v>0</v>
      </c>
    </row>
    <row r="345" spans="25:36" x14ac:dyDescent="0.25">
      <c r="Y345" s="865" t="s">
        <v>202</v>
      </c>
      <c r="Z345" s="867">
        <v>170203</v>
      </c>
      <c r="AA345" s="235" t="s">
        <v>123</v>
      </c>
      <c r="AB345" s="231" t="s">
        <v>235</v>
      </c>
      <c r="AC345" s="232">
        <f t="array" ref="AC345">SUM(IF((E7:E30=170203)*(D7:D30="Demolition")*(G7:G30="Re Use On Site"),H7:H30,0))</f>
        <v>0</v>
      </c>
      <c r="AD345" s="232">
        <f t="array" ref="AD345">SUM(IF((E7:E30=170203)*(D7:D30="Demolition"),V7:V30,0))</f>
        <v>0</v>
      </c>
      <c r="AE345" s="232">
        <f t="array" ref="AE345">SUM(IF((E7:E30=170203)*(D7:D30="Demolition")*(G7:G30="Recycled On Site"),H7:H30,0))</f>
        <v>0</v>
      </c>
      <c r="AF345" s="232">
        <f t="array" ref="AF345">SUM(IF((E7:E30=170203)*(D7:D30="Demolition")*(G7:G30="Recycled Off Site - Transfer Station, MRF, EfW"),J7:J30,0))</f>
        <v>0</v>
      </c>
      <c r="AG345" s="232">
        <f t="array" ref="AG345">SUM(IF((E7:E30=170203)*(D7:D30="Demolition"),R7:R30,0))</f>
        <v>0</v>
      </c>
      <c r="AH345" s="232">
        <f t="array" ref="AH345">SUM(IF((E7:E30=170203)*(D7:D30="Demolition"),S7:S30,0))</f>
        <v>0</v>
      </c>
      <c r="AI345" s="192">
        <f t="shared" si="129"/>
        <v>0</v>
      </c>
      <c r="AJ345" s="192">
        <f t="shared" si="130"/>
        <v>0</v>
      </c>
    </row>
    <row r="346" spans="25:36" x14ac:dyDescent="0.25">
      <c r="Y346" s="871"/>
      <c r="Z346" s="868"/>
      <c r="AA346" s="235" t="s">
        <v>123</v>
      </c>
      <c r="AB346" s="234" t="s">
        <v>236</v>
      </c>
      <c r="AC346" s="191">
        <f t="array" ref="AC346">SUM(IF((E7:E30=170203)*(D7:D30="Excavation")*(G7:G30="Re Use On Site"),H7:H30,0))</f>
        <v>0</v>
      </c>
      <c r="AD346" s="191">
        <f t="array" ref="AD346">SUM(IF((E7:E30=170203)*(D7:D30="Excavation"),V7:V30,0))</f>
        <v>0</v>
      </c>
      <c r="AE346" s="191">
        <f t="array" ref="AE346">SUM(IF((E7:E30=170203)*(D7:D30="Excavation")*(G7:G30="Recycled On Site"),H7:H30,0))</f>
        <v>0</v>
      </c>
      <c r="AF346" s="191">
        <f t="array" ref="AF346">SUM(IF((E7:E30=170203)*(D7:D30="Excavation")*(G7:G30="Recycled Off Site - Transfer Station, MRF, EfW"),J7:J30,0))</f>
        <v>0</v>
      </c>
      <c r="AG346" s="191">
        <f t="array" ref="AG346">SUM(IF((E7:E30=170203)*(D7:D30="Excavation"),R7:R30,0))</f>
        <v>0</v>
      </c>
      <c r="AH346" s="191">
        <f t="array" ref="AH346">SUM(IF((E7:E30=170203)*(D7:D30="Excavation"),S7:S30,0))</f>
        <v>0</v>
      </c>
      <c r="AI346" s="192">
        <f t="shared" si="129"/>
        <v>0</v>
      </c>
      <c r="AJ346" s="192">
        <f t="shared" si="130"/>
        <v>0</v>
      </c>
    </row>
    <row r="347" spans="25:36" ht="13.8" thickBot="1" x14ac:dyDescent="0.3">
      <c r="Y347" s="874"/>
      <c r="Z347" s="869"/>
      <c r="AA347" s="235" t="s">
        <v>123</v>
      </c>
      <c r="AB347" s="234" t="s">
        <v>237</v>
      </c>
      <c r="AC347" s="191">
        <f t="array" ref="AC347">SUM(IF((E7:E30=170203)*(D7:D30="Construction")*(G7:G30="Re Use On Site"),H7:H30,0))</f>
        <v>0</v>
      </c>
      <c r="AD347" s="191">
        <f t="array" ref="AD347">SUM(IF((E7:E30=170203)*(D7:D30="Construction"),V7:V30,0))</f>
        <v>0</v>
      </c>
      <c r="AE347" s="191">
        <f t="array" ref="AE347">SUM(IF((E7:E30=170203)*(D7:D30="Construction")*(G7:G30="Recycled On Site"),H7:H30,0))</f>
        <v>0</v>
      </c>
      <c r="AF347" s="191">
        <f t="array" ref="AF347">SUM(IF((E7:E30=170203)*(D7:D30="Construction")*(G7:G30="Recycled Off Site - Transfer Station, MRF, EfW"),J7:J30,0))</f>
        <v>0</v>
      </c>
      <c r="AG347" s="191">
        <f t="array" ref="AG347">SUM(IF((E7:E30=170203)*(D7:D30="Construction"),R7:R30,0))</f>
        <v>0</v>
      </c>
      <c r="AH347" s="191">
        <f t="array" ref="AH347">SUM(IF((E7:E30=170203)*(D7:D30="Construction"),S7:S30,0))</f>
        <v>0</v>
      </c>
      <c r="AI347" s="192">
        <f t="shared" si="129"/>
        <v>0</v>
      </c>
      <c r="AJ347" s="192">
        <f t="shared" si="130"/>
        <v>0</v>
      </c>
    </row>
    <row r="348" spans="25:36" x14ac:dyDescent="0.25">
      <c r="Y348" s="865" t="s">
        <v>203</v>
      </c>
      <c r="Z348" s="867">
        <v>80318</v>
      </c>
      <c r="AA348" s="235" t="s">
        <v>123</v>
      </c>
      <c r="AB348" s="231" t="s">
        <v>235</v>
      </c>
      <c r="AC348" s="232">
        <f t="array" ref="AC348">SUM(IF((E7:E30=80318)*(D7:D30="Demolition")*(G7:G30="Re Use On Site"),H7:H30,0))</f>
        <v>0</v>
      </c>
      <c r="AD348" s="232">
        <f t="array" ref="AD348">SUM(IF((E7:E30=80318)*(D7:D30="Demolition"),V7:V30,0))</f>
        <v>0</v>
      </c>
      <c r="AE348" s="232">
        <f t="array" ref="AE348">SUM(IF((E7:E30=80318)*(D7:D30="Demolition")*(G7:G30="Recycled On Site"),H7:H30,0))</f>
        <v>0</v>
      </c>
      <c r="AF348" s="232">
        <f t="array" ref="AF348">SUM(IF((E7:E30=80318)*(D7:D30="Demolition")*(G7:G30="Recycled Off Site - Transfer Station, MRF, EfW"),J7:J30,0))</f>
        <v>0</v>
      </c>
      <c r="AG348" s="232">
        <f t="array" ref="AG348">SUM(IF((E7:E30=80318)*(D7:D30="Demolition"),R7:R30,0))</f>
        <v>0</v>
      </c>
      <c r="AH348" s="232">
        <f t="array" ref="AH348">SUM(IF((E7:E30=80318)*(D7:D30="Demolition"),S7:S30,0))</f>
        <v>0</v>
      </c>
      <c r="AI348" s="192">
        <f t="shared" si="129"/>
        <v>0</v>
      </c>
      <c r="AJ348" s="192">
        <f t="shared" si="130"/>
        <v>0</v>
      </c>
    </row>
    <row r="349" spans="25:36" x14ac:dyDescent="0.25">
      <c r="Y349" s="871"/>
      <c r="Z349" s="868"/>
      <c r="AA349" s="235" t="s">
        <v>123</v>
      </c>
      <c r="AB349" s="234" t="s">
        <v>236</v>
      </c>
      <c r="AC349" s="191">
        <f t="array" ref="AC349">SUM(IF((E7:E30=80318)*(D7:D30="Excavation")*(G7:G30="Re Use On Site"),H7:H30,0))</f>
        <v>0</v>
      </c>
      <c r="AD349" s="191">
        <f t="array" ref="AD349">SUM(IF((E7:E30=80318)*(D7:D30="Excavation"),V7:V30,0))</f>
        <v>0</v>
      </c>
      <c r="AE349" s="191">
        <f t="array" ref="AE349">SUM(IF((E7:E30=80318)*(D7:D30="Excavation")*(G7:G30="Recycled On Site"),H7:H30,0))</f>
        <v>0</v>
      </c>
      <c r="AF349" s="191">
        <f t="array" ref="AF349">SUM(IF((E7:E30=80318)*(D7:D30="Excavation")*(G7:G30="Recycled Off Site - Transfer Station, MRF, EfW"),J7:J30,0))</f>
        <v>0</v>
      </c>
      <c r="AG349" s="191">
        <f t="array" ref="AG349">SUM(IF((E7:E30=80318)*(D7:D30="Excavation"),R7:R30,0))</f>
        <v>0</v>
      </c>
      <c r="AH349" s="191">
        <f t="array" ref="AH349">SUM(IF((E7:E30=80318)*(D7:D30="Excavation"),S7:S30,0))</f>
        <v>0</v>
      </c>
      <c r="AI349" s="192">
        <f t="shared" si="129"/>
        <v>0</v>
      </c>
      <c r="AJ349" s="192">
        <f t="shared" si="130"/>
        <v>0</v>
      </c>
    </row>
    <row r="350" spans="25:36" ht="13.8" thickBot="1" x14ac:dyDescent="0.3">
      <c r="Y350" s="874"/>
      <c r="Z350" s="869"/>
      <c r="AA350" s="235" t="s">
        <v>123</v>
      </c>
      <c r="AB350" s="234" t="s">
        <v>237</v>
      </c>
      <c r="AC350" s="191">
        <f t="array" ref="AC350">SUM(IF((E7:E30=80318)*(D7:D30="Construction")*(G7:G30="Re Use On Site"),H7:H30,0))</f>
        <v>0</v>
      </c>
      <c r="AD350" s="191">
        <f t="array" ref="AD350">SUM(IF((E7:E30=80318)*(D7:D30="Construction"),V7:V30,0))</f>
        <v>0</v>
      </c>
      <c r="AE350" s="191">
        <f t="array" ref="AE350">SUM(IF((E7:E30=80318)*(D7:D30="Construction")*(G7:G30="Recycled On Site"),H7:H30,0))</f>
        <v>0</v>
      </c>
      <c r="AF350" s="191">
        <f t="array" ref="AF350">SUM(IF((E7:E30=80318)*(D7:D30="Construction")*(G7:G30="Recycled Off Site - Transfer Station, MRF, EfW"),J7:J30,0))</f>
        <v>0</v>
      </c>
      <c r="AG350" s="191">
        <f t="array" ref="AG350">SUM(IF((E7:E30=80318)*(D7:D30="Construction"),R7:R30,0))</f>
        <v>0</v>
      </c>
      <c r="AH350" s="191">
        <f t="array" ref="AH350">SUM(IF((E7:E30=80318)*(D7:D30="Construction"),S7:S30,0))</f>
        <v>0</v>
      </c>
      <c r="AI350" s="192">
        <f t="shared" si="129"/>
        <v>0</v>
      </c>
      <c r="AJ350" s="192">
        <f t="shared" si="130"/>
        <v>0</v>
      </c>
    </row>
    <row r="351" spans="25:36" x14ac:dyDescent="0.25">
      <c r="Y351" s="865" t="s">
        <v>204</v>
      </c>
      <c r="Z351" s="867">
        <v>80317</v>
      </c>
      <c r="AA351" s="235" t="s">
        <v>126</v>
      </c>
      <c r="AB351" s="231" t="s">
        <v>235</v>
      </c>
      <c r="AC351" s="232">
        <f t="array" ref="AC351">SUM(IF((E7:E30=80317)*(D7:D30="Demolition")*(G7:G30="Re Use On Site"),H7:H30,0))</f>
        <v>0</v>
      </c>
      <c r="AD351" s="232">
        <f t="array" ref="AD351">SUM(IF((E7:E30=80317)*(D7:D30="Demolition"),V7:V30,0))</f>
        <v>0</v>
      </c>
      <c r="AE351" s="232">
        <f t="array" ref="AE351">SUM(IF((E7:E30=80317)*(D7:D30="Demolition")*(G7:G30="Recycled On Site"),H7:H30,0))</f>
        <v>0</v>
      </c>
      <c r="AF351" s="232">
        <f t="array" ref="AF351">SUM(IF((E7:E30=80317)*(D7:D30="Demolition")*(G7:G30="Recycled Off Site - Transfer Station, MRF, EfW"),J7:J30,0))</f>
        <v>0</v>
      </c>
      <c r="AG351" s="232">
        <f t="array" ref="AG351">SUM(IF((E7:E30=80317)*(D7:D30="Demolition"),R7:R30,0))</f>
        <v>0</v>
      </c>
      <c r="AH351" s="232">
        <f t="array" ref="AH351">SUM(IF((E7:E30=80317)*(D7:D30="Demolition"),S7:S30,0))</f>
        <v>0</v>
      </c>
      <c r="AI351" s="192">
        <f t="shared" si="129"/>
        <v>0</v>
      </c>
      <c r="AJ351" s="192">
        <f t="shared" si="130"/>
        <v>0</v>
      </c>
    </row>
    <row r="352" spans="25:36" x14ac:dyDescent="0.25">
      <c r="Y352" s="871"/>
      <c r="Z352" s="868"/>
      <c r="AA352" s="235" t="s">
        <v>126</v>
      </c>
      <c r="AB352" s="234" t="s">
        <v>236</v>
      </c>
      <c r="AC352" s="191">
        <f t="array" ref="AC352">SUM(IF((E7:E30=80317)*(D7:D30="Excavation")*(G7:G30="Re Use On Site"),H7:H30,0))</f>
        <v>0</v>
      </c>
      <c r="AD352" s="191">
        <f t="array" ref="AD352">SUM(IF((E7:E30=80317)*(D7:D30="Excavation"),V7:V30,0))</f>
        <v>0</v>
      </c>
      <c r="AE352" s="191">
        <f t="array" ref="AE352">SUM(IF((E7:E30=80317)*(D7:D30="Excavation")*(G7:G30="Recycled On Site"),H7:H30,0))</f>
        <v>0</v>
      </c>
      <c r="AF352" s="191">
        <f t="array" ref="AF352">SUM(IF((E7:E30=80317)*(D7:D30="Excavation")*(G7:G30="Recycled Off Site - Transfer Station, MRF, EfW"),J7:J30,0))</f>
        <v>0</v>
      </c>
      <c r="AG352" s="191">
        <f t="array" ref="AG352">SUM(IF((E7:E30=80317)*(D7:D30="Excavation"),R7:R30,0))</f>
        <v>0</v>
      </c>
      <c r="AH352" s="191">
        <f t="array" ref="AH352">SUM(IF((E7:E30=80317)*(D7:D30="Excavation"),S7:S30,0))</f>
        <v>0</v>
      </c>
      <c r="AI352" s="192">
        <f t="shared" si="129"/>
        <v>0</v>
      </c>
      <c r="AJ352" s="192">
        <f t="shared" si="130"/>
        <v>0</v>
      </c>
    </row>
    <row r="353" spans="25:36" ht="13.8" thickBot="1" x14ac:dyDescent="0.3">
      <c r="Y353" s="874"/>
      <c r="Z353" s="869"/>
      <c r="AA353" s="235" t="s">
        <v>126</v>
      </c>
      <c r="AB353" s="234" t="s">
        <v>237</v>
      </c>
      <c r="AC353" s="191">
        <f t="array" ref="AC353">SUM(IF((E7:E30=80317)*(D7:D30="Construction")*(G7:G30="Re Use On Site"),H7:H30,0))</f>
        <v>0</v>
      </c>
      <c r="AD353" s="191">
        <f t="array" ref="AD353">SUM(IF((E7:E30=80317)*(D7:D30="Construction"),V7:V30,0))</f>
        <v>0</v>
      </c>
      <c r="AE353" s="191">
        <f t="array" ref="AE353">SUM(IF((E7:E30=80317)*(D7:D30="Construction")*(G7:G30="Recycled On Site"),H7:H30,0))</f>
        <v>0</v>
      </c>
      <c r="AF353" s="191">
        <f t="array" ref="AF353">SUM(IF((E7:E30=80317)*(D7:D30="Construction")*(G7:G30="Recycled Off Site - Transfer Station, MRF, EfW"),J7:J30,0))</f>
        <v>0</v>
      </c>
      <c r="AG353" s="191">
        <f t="array" ref="AG353">SUM(IF((E7:E30=80317)*(D7:D30="Construction"),R7:R30,0))</f>
        <v>0</v>
      </c>
      <c r="AH353" s="191">
        <f t="array" ref="AH353">SUM(IF((E7:E30=80317)*(D7:D30="Construction"),S7:S30,0))</f>
        <v>0</v>
      </c>
      <c r="AI353" s="192">
        <f t="shared" si="129"/>
        <v>0</v>
      </c>
      <c r="AJ353" s="192">
        <f t="shared" si="130"/>
        <v>0</v>
      </c>
    </row>
    <row r="354" spans="25:36" x14ac:dyDescent="0.25">
      <c r="Y354" s="865" t="s">
        <v>205</v>
      </c>
      <c r="Z354" s="867">
        <v>200304</v>
      </c>
      <c r="AA354" s="235" t="s">
        <v>123</v>
      </c>
      <c r="AB354" s="231" t="s">
        <v>235</v>
      </c>
      <c r="AC354" s="232">
        <f t="array" ref="AC354">SUM(IF((E7:E30=200304)*(D7:D30="Demolition")*(G7:G30="Re Use On Site"),H7:H30,0))</f>
        <v>0</v>
      </c>
      <c r="AD354" s="232">
        <f t="array" ref="AD354">SUM(IF((E7:E30=200304)*(D7:D30="Demolition"),V7:V30,0))</f>
        <v>0</v>
      </c>
      <c r="AE354" s="232">
        <f t="array" ref="AE354">SUM(IF((E7:E30=200304)*(D7:D30="Demolition")*(G7:G30="Recycled On Site"),H7:H30,0))</f>
        <v>0</v>
      </c>
      <c r="AF354" s="232">
        <f t="array" ref="AF354">SUM(IF((E7:E30=200304)*(D7:D30="Demolition")*(G7:G30="Recycled Off Site - Transfer Station, MRF, EfW"),J7:J30,0))</f>
        <v>0</v>
      </c>
      <c r="AG354" s="232">
        <f t="array" ref="AG354">SUM(IF((E7:E30=200304)*(D7:D30="Demolition"),R7:R30,0))</f>
        <v>0</v>
      </c>
      <c r="AH354" s="232">
        <f t="array" ref="AH354">SUM(IF((E7:E30=200304)*(D7:D30="Demolition"),S7:S30,0))</f>
        <v>0</v>
      </c>
      <c r="AI354" s="192">
        <f t="shared" si="129"/>
        <v>0</v>
      </c>
      <c r="AJ354" s="192">
        <f t="shared" si="130"/>
        <v>0</v>
      </c>
    </row>
    <row r="355" spans="25:36" x14ac:dyDescent="0.25">
      <c r="Y355" s="871"/>
      <c r="Z355" s="868"/>
      <c r="AA355" s="235" t="s">
        <v>123</v>
      </c>
      <c r="AB355" s="234" t="s">
        <v>236</v>
      </c>
      <c r="AC355" s="191">
        <f t="array" ref="AC355">SUM(IF((E7:E30=200304)*(D7:D30="Excavation")*(G7:G30="Re Use On Site"),H7:H30,0))</f>
        <v>0</v>
      </c>
      <c r="AD355" s="191">
        <f t="array" ref="AD355">SUM(IF((E7:E30=200304)*(D7:D30="Excavation"),V7:V30,0))</f>
        <v>0</v>
      </c>
      <c r="AE355" s="191">
        <f t="array" ref="AE355">SUM(IF((E7:E30=200304)*(D7:D30="Excavation")*(G7:G30="Recycled On Site"),H7:H30,0))</f>
        <v>0</v>
      </c>
      <c r="AF355" s="191">
        <f t="array" ref="AF355">SUM(IF((E7:E30=200304)*(D7:D30="Excavation")*(G7:G30="Recycled Off Site - Transfer Station, MRF, EfW"),J7:J30,0))</f>
        <v>0</v>
      </c>
      <c r="AG355" s="191">
        <f t="array" ref="AG355">SUM(IF((E7:E30=200304)*(D7:D30="Excavation"),R7:R30,0))</f>
        <v>0</v>
      </c>
      <c r="AH355" s="191">
        <f t="array" ref="AH355">SUM(IF((E7:E30=200304)*(D7:D30="Excavation"),S7:S30,0))</f>
        <v>0</v>
      </c>
      <c r="AI355" s="192">
        <f t="shared" si="129"/>
        <v>0</v>
      </c>
      <c r="AJ355" s="192">
        <f t="shared" si="130"/>
        <v>0</v>
      </c>
    </row>
    <row r="356" spans="25:36" ht="13.8" thickBot="1" x14ac:dyDescent="0.3">
      <c r="Y356" s="874"/>
      <c r="Z356" s="869"/>
      <c r="AA356" s="235" t="s">
        <v>123</v>
      </c>
      <c r="AB356" s="234" t="s">
        <v>237</v>
      </c>
      <c r="AC356" s="191">
        <f t="array" ref="AC356">SUM(IF((E7:E30=200304)*(D7:D30="Construction")*(G7:G30="Re Use On Site"),H7:H30,0))</f>
        <v>0</v>
      </c>
      <c r="AD356" s="191">
        <f t="array" ref="AD356">SUM(IF((E7:E30=200304)*(D7:D30="Construction"),V7:V30,0))</f>
        <v>0</v>
      </c>
      <c r="AE356" s="191">
        <f t="array" ref="AE356">SUM(IF((E7:E30=200304)*(D7:D30="Construction")*(G7:G30="Recycled On Site"),H7:H30,0))</f>
        <v>0</v>
      </c>
      <c r="AF356" s="191">
        <f t="array" ref="AF356">SUM(IF((E7:E30=200304)*(D7:D30="Construction")*(G7:G30="Recycled Off Site - Transfer Station, MRF, EfW"),J7:J30,0))</f>
        <v>0</v>
      </c>
      <c r="AG356" s="191">
        <f t="array" ref="AG356">SUM(IF((E7:E30=200304)*(D7:D30="Construction"),R7:R30,0))</f>
        <v>0</v>
      </c>
      <c r="AH356" s="191">
        <f t="array" ref="AH356">SUM(IF((E7:E30=200304)*(D7:D30="Construction"),S7:S30,0))</f>
        <v>0</v>
      </c>
      <c r="AI356" s="192">
        <f t="shared" si="129"/>
        <v>0</v>
      </c>
      <c r="AJ356" s="192">
        <f t="shared" si="130"/>
        <v>0</v>
      </c>
    </row>
    <row r="357" spans="25:36" x14ac:dyDescent="0.25">
      <c r="Y357" s="865" t="s">
        <v>238</v>
      </c>
      <c r="Z357" s="867">
        <v>161002</v>
      </c>
      <c r="AA357" s="235" t="s">
        <v>123</v>
      </c>
      <c r="AB357" s="231" t="s">
        <v>235</v>
      </c>
      <c r="AC357" s="232">
        <f t="array" ref="AC357">SUM(IF((E7:E30=161002)*(D7:D30="Demolition")*(G7:G30="Re Use On Site"),H7:H30,0))</f>
        <v>0</v>
      </c>
      <c r="AD357" s="232">
        <f t="array" ref="AD357">SUM(IF((E7:E30=161002)*(D7:D30="Demolition"),V7:V30,0))</f>
        <v>0</v>
      </c>
      <c r="AE357" s="232">
        <f t="array" ref="AE357">SUM(IF((E7:E30=161002)*(D7:D30="Demolition")*(G7:G30="Recycled On Site"),H7:H30,0))</f>
        <v>0</v>
      </c>
      <c r="AF357" s="232">
        <f t="array" ref="AF357">SUM(IF((E7:E30=161002)*(D7:D30="Demolition")*(G7:G30="Recycled Off Site - Transfer Station, MRF, EfW"),J7:J30,0))</f>
        <v>0</v>
      </c>
      <c r="AG357" s="232">
        <f t="array" ref="AG357">SUM(IF((E7:E30=161002)*(D7:D30="Demolition"),R7:R30,0))</f>
        <v>0</v>
      </c>
      <c r="AH357" s="232">
        <f t="array" ref="AH357">SUM(IF((E7:E30=161002)*(D7:D30="Demolition"),S7:S30,0))</f>
        <v>0</v>
      </c>
      <c r="AI357" s="192">
        <f t="shared" si="129"/>
        <v>0</v>
      </c>
      <c r="AJ357" s="192">
        <f t="shared" si="130"/>
        <v>0</v>
      </c>
    </row>
    <row r="358" spans="25:36" x14ac:dyDescent="0.25">
      <c r="Y358" s="871"/>
      <c r="Z358" s="868"/>
      <c r="AA358" s="235" t="s">
        <v>123</v>
      </c>
      <c r="AB358" s="234" t="s">
        <v>236</v>
      </c>
      <c r="AC358" s="191">
        <f t="array" ref="AC358">SUM(IF((E7:E30=161002)*(D7:D30="Excavation")*(G7:G30="Re Use On Site"),H7:H30,0))</f>
        <v>0</v>
      </c>
      <c r="AD358" s="191">
        <f t="array" ref="AD358">SUM(IF((E7:E30=161002)*(D7:D30="Excavation"),V7:V30,0))</f>
        <v>0</v>
      </c>
      <c r="AE358" s="191">
        <f t="array" ref="AE358">SUM(IF((E7:E30=161002)*(D7:D30="Excavation")*(G7:G30="Recycled On Site"),H7:H30,0))</f>
        <v>0</v>
      </c>
      <c r="AF358" s="191">
        <f t="array" ref="AF358">SUM(IF((E7:E30=161002)*(D7:D30="Excavation")*(G7:G30="Recycled Off Site - Transfer Station, MRF, EfW"),J7:J30,0))</f>
        <v>0</v>
      </c>
      <c r="AG358" s="191">
        <f t="array" ref="AG358">SUM(IF((E7:E30=161002)*(D7:D30="Excavation"),R7:R30,0))</f>
        <v>0</v>
      </c>
      <c r="AH358" s="191">
        <f t="array" ref="AH358">SUM(IF((E7:E30=161002)*(D7:D30="Excavation"),S7:S30,0))</f>
        <v>0</v>
      </c>
      <c r="AI358" s="192">
        <f t="shared" si="129"/>
        <v>0</v>
      </c>
      <c r="AJ358" s="192">
        <f t="shared" si="130"/>
        <v>0</v>
      </c>
    </row>
    <row r="359" spans="25:36" ht="13.8" thickBot="1" x14ac:dyDescent="0.3">
      <c r="Y359" s="874"/>
      <c r="Z359" s="869"/>
      <c r="AA359" s="235" t="s">
        <v>123</v>
      </c>
      <c r="AB359" s="234" t="s">
        <v>237</v>
      </c>
      <c r="AC359" s="191">
        <f t="array" ref="AC359">SUM(IF((E7:E30=161002)*(D7:D30="Construction")*(G7:G30="Re Use On Site"),H7:H30,0))</f>
        <v>0</v>
      </c>
      <c r="AD359" s="191">
        <f t="array" ref="AD359">SUM(IF((E7:E30=161002)*(D7:D30="Construction"),V7:V30,0))</f>
        <v>0</v>
      </c>
      <c r="AE359" s="191">
        <f t="array" ref="AE359">SUM(IF((E7:E30=161002)*(D7:D30="Construction")*(G7:G30="Recycled On Site"),H7:H30,0))</f>
        <v>0</v>
      </c>
      <c r="AF359" s="191">
        <f t="array" ref="AF359">SUM(IF((E7:E30=161002)*(D7:D30="Construction")*(G7:G30="Recycled Off Site - Transfer Station, MRF, EfW"),J7:J30,0))</f>
        <v>0</v>
      </c>
      <c r="AG359" s="191">
        <f t="array" ref="AG359">SUM(IF((E7:E30=161002)*(D7:D30="Construction"),R7:R30,0))</f>
        <v>0</v>
      </c>
      <c r="AH359" s="191">
        <f t="array" ref="AH359">SUM(IF((E7:E30=161002)*(D7:D30="Construction"),S7:S30,0))</f>
        <v>0</v>
      </c>
      <c r="AI359" s="192">
        <f t="shared" si="129"/>
        <v>0</v>
      </c>
      <c r="AJ359" s="192">
        <f t="shared" si="130"/>
        <v>0</v>
      </c>
    </row>
    <row r="360" spans="25:36" x14ac:dyDescent="0.25">
      <c r="Y360" s="865" t="s">
        <v>207</v>
      </c>
      <c r="Z360" s="867">
        <v>200301</v>
      </c>
      <c r="AA360" s="235" t="s">
        <v>123</v>
      </c>
      <c r="AB360" s="231" t="s">
        <v>235</v>
      </c>
      <c r="AC360" s="232">
        <f t="array" ref="AC360">SUM(IF((E7:E30=200301)*(D7:D30="Demolition")*(G7:G30="Re Use On Site"),H7:H30,0))</f>
        <v>0</v>
      </c>
      <c r="AD360" s="232">
        <f t="array" ref="AD360">SUM(IF((E7:E30=200301)*(D7:D30="Demolition"),V7:V30,0))</f>
        <v>0</v>
      </c>
      <c r="AE360" s="232">
        <f t="array" ref="AE360">SUM(IF((E7:E30=200301)*(D7:D30="Demolition")*(G7:G30="Recycled On Site"),H7:H30,0))</f>
        <v>0</v>
      </c>
      <c r="AF360" s="232">
        <f t="array" ref="AF360">SUM(IF((E7:E30=200301)*(D7:D30="Demolition")*(G7:G30="Recycled Off Site - Transfer Station, MRF, EfW"),J7:J30,0))</f>
        <v>0</v>
      </c>
      <c r="AG360" s="232">
        <f t="array" ref="AG360">SUM(IF((E7:E30=200301)*(D7:D30="Demolition"),R7:R30,0))</f>
        <v>0</v>
      </c>
      <c r="AH360" s="232">
        <f t="array" ref="AH360">SUM(IF((E7:E30=200301)*(D7:D30="Demolition"),S7:S30,0))</f>
        <v>0</v>
      </c>
      <c r="AI360" s="192">
        <f t="shared" si="129"/>
        <v>0</v>
      </c>
      <c r="AJ360" s="192">
        <f t="shared" si="130"/>
        <v>0</v>
      </c>
    </row>
    <row r="361" spans="25:36" x14ac:dyDescent="0.25">
      <c r="Y361" s="871"/>
      <c r="Z361" s="868"/>
      <c r="AA361" s="235" t="s">
        <v>123</v>
      </c>
      <c r="AB361" s="234" t="s">
        <v>236</v>
      </c>
      <c r="AC361" s="191">
        <f t="array" ref="AC361">SUM(IF((E7:E30=200301)*(D7:D30="Excavation")*(G7:G30="Re Use On Site"),H7:H30,0))</f>
        <v>0</v>
      </c>
      <c r="AD361" s="191">
        <f t="array" ref="AD361">SUM(IF((E7:E30=200301)*(D7:D30="Excavation"),V7:V30,0))</f>
        <v>0</v>
      </c>
      <c r="AE361" s="191">
        <f t="array" ref="AE361">SUM(IF((E7:E30=200301)*(D7:D30="Excavation")*(G7:G30="Recycled On Site"),H7:H30,0))</f>
        <v>0</v>
      </c>
      <c r="AF361" s="191">
        <f t="array" ref="AF361">SUM(IF((E7:E30=200301)*(D7:D30="Excavation")*(G7:G30="Recycled Off Site - Transfer Station, MRF, EfW"),J7:J30,0))</f>
        <v>0</v>
      </c>
      <c r="AG361" s="191">
        <f t="array" ref="AG361">SUM(IF((E7:E30=200301)*(D7:D30="Excavation"),R7:R30,0))</f>
        <v>0</v>
      </c>
      <c r="AH361" s="191">
        <f t="array" ref="AH361">SUM(IF((E7:E30=200301)*(D7:D30="Excavation"),S7:S30,0))</f>
        <v>0</v>
      </c>
      <c r="AI361" s="192">
        <f t="shared" si="129"/>
        <v>0</v>
      </c>
      <c r="AJ361" s="192">
        <f t="shared" si="130"/>
        <v>0</v>
      </c>
    </row>
    <row r="362" spans="25:36" ht="13.8" thickBot="1" x14ac:dyDescent="0.3">
      <c r="Y362" s="874"/>
      <c r="Z362" s="869"/>
      <c r="AA362" s="235" t="s">
        <v>123</v>
      </c>
      <c r="AB362" s="234" t="s">
        <v>237</v>
      </c>
      <c r="AC362" s="191">
        <f t="array" ref="AC362">SUM(IF((E7:E30=200301)*(D7:D30="Construction")*(G7:G30="Re Use On Site"),H7:H30,0))</f>
        <v>0</v>
      </c>
      <c r="AD362" s="191">
        <f t="array" ref="AD362">SUM(IF((E7:E30=200301)*(D7:D30="Construction"),V7:V30,0))</f>
        <v>0</v>
      </c>
      <c r="AE362" s="191">
        <f t="array" ref="AE362">SUM(IF((E7:E30=200301)*(D7:D30="Construction")*(G7:G30="Recycled On Site"),H7:H30,0))</f>
        <v>0</v>
      </c>
      <c r="AF362" s="191" t="e">
        <f t="array" ref="AF362">SUM(IF((E7:E30=200301)*(D7:D30="Construction")*(G7:G30="Recycled Off Site - Transfer Station, MRF, EfW"),J7:J30,0))</f>
        <v>#VALUE!</v>
      </c>
      <c r="AG362" s="191">
        <f t="array" ref="AG362">SUM(IF((E7:E30=200301)*(D7:D30="Construction"),R7:R30,0))</f>
        <v>0</v>
      </c>
      <c r="AH362" s="191" t="e">
        <f t="array" ref="AH362">SUM(IF((E7:E30=200301)*(D7:D30="Construction"),S7:S30,0))</f>
        <v>#VALUE!</v>
      </c>
      <c r="AI362" s="192" t="e">
        <f t="shared" si="129"/>
        <v>#VALUE!</v>
      </c>
      <c r="AJ362" s="192" t="e">
        <f t="shared" si="130"/>
        <v>#VALUE!</v>
      </c>
    </row>
    <row r="363" spans="25:36" x14ac:dyDescent="0.25">
      <c r="Y363" s="865" t="s">
        <v>208</v>
      </c>
      <c r="Z363" s="867">
        <v>170503</v>
      </c>
      <c r="AA363" s="235" t="s">
        <v>126</v>
      </c>
      <c r="AB363" s="231" t="s">
        <v>235</v>
      </c>
      <c r="AC363" s="232">
        <f t="array" ref="AC363">SUM(IF((E7:E30=170503)*(D7:D30="Demolition")*(G7:G30="Re Use On Site"),H7:H30,0))</f>
        <v>0</v>
      </c>
      <c r="AD363" s="232">
        <f t="array" ref="AD363">SUM(IF((E7:E30=170503)*(D7:D30="Demolition"),V7:V30,0))</f>
        <v>0</v>
      </c>
      <c r="AE363" s="232">
        <f t="array" ref="AE363">SUM(IF((E7:E30=170503)*(D7:D30="Demolition")*(G7:G30="Recycled On Site"),H7:H30,0))</f>
        <v>0</v>
      </c>
      <c r="AF363" s="232">
        <f t="array" ref="AF363">SUM(IF((E7:E30=170503)*(D7:D30="Demolition")*(G7:G30="Recycled Off Site - Transfer Station, MRF, EfW"),J7:J30,0))</f>
        <v>0</v>
      </c>
      <c r="AG363" s="232">
        <f t="array" ref="AG363">SUM(IF((E7:E30=170503)*(D7:D30="Demolition"),R7:R30,0))</f>
        <v>0</v>
      </c>
      <c r="AH363" s="232">
        <f t="array" ref="AH363">SUM(IF((E7:E30=170503)*(D7:D30="Demolition"),S7:S30,0))</f>
        <v>0</v>
      </c>
      <c r="AI363" s="192">
        <f t="shared" si="129"/>
        <v>0</v>
      </c>
      <c r="AJ363" s="192">
        <f t="shared" si="130"/>
        <v>0</v>
      </c>
    </row>
    <row r="364" spans="25:36" x14ac:dyDescent="0.25">
      <c r="Y364" s="871"/>
      <c r="Z364" s="868"/>
      <c r="AA364" s="235" t="s">
        <v>126</v>
      </c>
      <c r="AB364" s="234" t="s">
        <v>236</v>
      </c>
      <c r="AC364" s="191">
        <f t="array" ref="AC364">SUM(IF((E7:E30=170503)*(D7:D30="Excavation")*(G7:G30="Re Use On Site"),H7:H30,0))</f>
        <v>0</v>
      </c>
      <c r="AD364" s="191">
        <f t="array" ref="AD364">SUM(IF((E7:E30=170503)*(D7:D30="Excavation"),V7:V30,0))</f>
        <v>0</v>
      </c>
      <c r="AE364" s="191">
        <f t="array" ref="AE364">SUM(IF((E7:E30=170503)*(D7:D30="Excavation")*(G7:G30="Recycled On Site"),H7:H30,0))</f>
        <v>0</v>
      </c>
      <c r="AF364" s="191">
        <f t="array" ref="AF364">SUM(IF((E7:E30=170503)*(D7:D30="Excavation")*(G7:G30="Recycled Off Site - Transfer Station, MRF, EfW"),J7:J30,0))</f>
        <v>0</v>
      </c>
      <c r="AG364" s="191">
        <f t="array" ref="AG364">SUM(IF((E7:E30=170503)*(D7:D30="Excavation"),R7:R30,0))</f>
        <v>0</v>
      </c>
      <c r="AH364" s="191">
        <f t="array" ref="AH364">SUM(IF((E7:E30=170503)*(D7:D30="Excavation"),S7:S30,0))</f>
        <v>0</v>
      </c>
      <c r="AI364" s="192">
        <f t="shared" si="129"/>
        <v>0</v>
      </c>
      <c r="AJ364" s="192">
        <f t="shared" si="130"/>
        <v>0</v>
      </c>
    </row>
    <row r="365" spans="25:36" ht="13.8" thickBot="1" x14ac:dyDescent="0.3">
      <c r="Y365" s="874"/>
      <c r="Z365" s="869"/>
      <c r="AA365" s="235" t="s">
        <v>126</v>
      </c>
      <c r="AB365" s="234" t="s">
        <v>237</v>
      </c>
      <c r="AC365" s="191">
        <f t="array" ref="AC365">SUM(IF((E7:E30=170503)*(D7:D30="Construction")*(G7:G30="Re Use On Site"),H7:H30,0))</f>
        <v>0</v>
      </c>
      <c r="AD365" s="191">
        <f t="array" ref="AD365">SUM(IF((E7:E30=170503)*(D7:D30="Construction"),V7:V30,0))</f>
        <v>0</v>
      </c>
      <c r="AE365" s="191">
        <f t="array" ref="AE365">SUM(IF((E7:E30=170503)*(D7:D30="Construction")*(G7:G30="Recycled On Site"),H7:H30,0))</f>
        <v>0</v>
      </c>
      <c r="AF365" s="191">
        <f t="array" ref="AF365">SUM(IF((E7:E30=170503)*(D7:D30="Construction")*(G7:G30="Recycled Off Site - Transfer Station, MRF, EfW"),J7:J30,0))</f>
        <v>0</v>
      </c>
      <c r="AG365" s="191">
        <f t="array" ref="AG365">SUM(IF((E7:E30=170503)*(D7:D30="Construction"),R7:R30,0))</f>
        <v>0</v>
      </c>
      <c r="AH365" s="191">
        <f t="array" ref="AH365">SUM(IF((E7:E30=170503)*(D7:D30="Construction"),S7:S30,0))</f>
        <v>0</v>
      </c>
      <c r="AI365" s="192">
        <f t="shared" si="129"/>
        <v>0</v>
      </c>
      <c r="AJ365" s="192">
        <f t="shared" si="130"/>
        <v>0</v>
      </c>
    </row>
    <row r="366" spans="25:36" x14ac:dyDescent="0.25">
      <c r="Y366" s="865" t="s">
        <v>239</v>
      </c>
      <c r="Z366" s="867">
        <v>170504</v>
      </c>
      <c r="AA366" s="235" t="s">
        <v>141</v>
      </c>
      <c r="AB366" s="231" t="s">
        <v>235</v>
      </c>
      <c r="AC366" s="232">
        <f t="array" ref="AC366">SUM(IF((E7:E30=170504)*(F7:F30="I")*(D7:D30="Demolition")*(G7:G30="Re Use On Site"),H7:H30,0))</f>
        <v>0</v>
      </c>
      <c r="AD366" s="232">
        <f t="array" ref="AD366">SUM(IF((E7:E30=170504)*(F7:F30="I")*(D7:D30="Demolition"),V7:V30,0))</f>
        <v>0</v>
      </c>
      <c r="AE366" s="232">
        <f t="array" ref="AE366">SUM(IF((E7:E30=170504)*(F7:F30="I")*(D7:D30="Demolition")*(G7:G30="Recycled On Site"),H7:H30,0))</f>
        <v>0</v>
      </c>
      <c r="AF366" s="232">
        <f t="array" ref="AF366">SUM(IF((E7:E30=170504)*(F7:F30="I")*(D7:D30="Demolition")*(G7:G30="Recycled Off Site - Transfer Station, MRF, EfW"),J7:J30,0))</f>
        <v>0</v>
      </c>
      <c r="AG366" s="232">
        <f t="array" ref="AG366">SUM(IF((E7:E30=170504)*(F7:F30="I")*(D7:D30="Demolition"),R7:R30,0))</f>
        <v>0</v>
      </c>
      <c r="AH366" s="232">
        <f t="array" ref="AH366">SUM(IF((E7:E30=170504)*(F7:F30="I")*(D7:D30="Demolition"),S7:S30,0))</f>
        <v>0</v>
      </c>
      <c r="AI366" s="192">
        <f t="shared" si="129"/>
        <v>0</v>
      </c>
      <c r="AJ366" s="192">
        <f t="shared" si="130"/>
        <v>0</v>
      </c>
    </row>
    <row r="367" spans="25:36" x14ac:dyDescent="0.25">
      <c r="Y367" s="871"/>
      <c r="Z367" s="868"/>
      <c r="AA367" s="235" t="s">
        <v>141</v>
      </c>
      <c r="AB367" s="234" t="s">
        <v>236</v>
      </c>
      <c r="AC367" s="191">
        <f t="array" ref="AC367">SUM(IF((E7:E30=170504)*(F7:F30="I")*(D7:D30="Excavation")*(G7:G30="Re Use On Site"),H7:H30,0))</f>
        <v>0</v>
      </c>
      <c r="AD367" s="191">
        <f t="array" ref="AD367">SUM(IF((E7:E30=170504)*(F7:F30="I")*(D7:D30="Excavation"),V7:V30,0))</f>
        <v>0</v>
      </c>
      <c r="AE367" s="191">
        <f t="array" ref="AE367">SUM(IF((E7:E30=170504)*(F7:F30="I")*(D7:D30="Excavation")*(G7:G30="Recycled On Site"),H7:H30,0))</f>
        <v>0</v>
      </c>
      <c r="AF367" s="191">
        <f t="array" ref="AF367">SUM(IF((E7:E30=170504)*(F7:F30="I")*(D7:D30="Excavation")*(G7:G30="Recycled Off Site - Transfer Station, MRF, EfW"),J7:J30,0))</f>
        <v>0</v>
      </c>
      <c r="AG367" s="191">
        <f t="array" ref="AG367">SUM(IF((E7:E30=170504)*(F7:F30="I")*(D7:D30="Excavation"),R7:R30,0))</f>
        <v>0</v>
      </c>
      <c r="AH367" s="191">
        <f t="array" ref="AH367">SUM(IF((E7:E30=170504)*(F7:F30="I")*(D7:D30="Excavation"),S7:S30,0))</f>
        <v>0</v>
      </c>
      <c r="AI367" s="192">
        <f t="shared" si="129"/>
        <v>0</v>
      </c>
      <c r="AJ367" s="192">
        <f t="shared" si="130"/>
        <v>0</v>
      </c>
    </row>
    <row r="368" spans="25:36" ht="13.8" thickBot="1" x14ac:dyDescent="0.3">
      <c r="Y368" s="874"/>
      <c r="Z368" s="869"/>
      <c r="AA368" s="235" t="s">
        <v>141</v>
      </c>
      <c r="AB368" s="234" t="s">
        <v>237</v>
      </c>
      <c r="AC368" s="191">
        <f t="array" ref="AC368">SUM(IF((E7:E30=170504)*(F7:F30="I")*(D7:D30="Construction")*(G7:G30="Re Use On Site"),H7:H30,0))</f>
        <v>0</v>
      </c>
      <c r="AD368" s="191">
        <f t="array" ref="AD368">SUM(IF((E7:E30=170504)*(F7:F30="I")*(D7:D30="Construction"),V7:V30,0))</f>
        <v>0</v>
      </c>
      <c r="AE368" s="191">
        <f t="array" ref="AE368">SUM(IF((E7:E30=170504)*(F7:F30="I")*(D7:D30="Construction")*(G7:G30="Recycled On Site"),H7:H30,0))</f>
        <v>0</v>
      </c>
      <c r="AF368" s="191" t="e">
        <f t="array" ref="AF368">SUM(IF((E7:E30=170504)*(F7:F30="I")*(D7:D30="Construction")*(G7:G30="Recycled Off Site - Transfer Station, MRF, EfW"),J7:J30,0))</f>
        <v>#VALUE!</v>
      </c>
      <c r="AG368" s="191">
        <f t="array" ref="AG368">SUM(IF((E7:E30=170504)*(F7:F30="I")*(D7:D30="Construction"),R7:R30,0))</f>
        <v>0</v>
      </c>
      <c r="AH368" s="191" t="e">
        <f t="array" ref="AH368">SUM(IF((E7:E30=170504)*(F7:F30="I")*(D7:D30="Construction"),S7:S30,0))</f>
        <v>#VALUE!</v>
      </c>
      <c r="AI368" s="192" t="e">
        <f t="shared" si="129"/>
        <v>#VALUE!</v>
      </c>
      <c r="AJ368" s="192" t="e">
        <f t="shared" si="130"/>
        <v>#VALUE!</v>
      </c>
    </row>
    <row r="369" spans="25:36" x14ac:dyDescent="0.25">
      <c r="Y369" s="865" t="s">
        <v>210</v>
      </c>
      <c r="Z369" s="867">
        <v>150202</v>
      </c>
      <c r="AA369" s="235" t="s">
        <v>126</v>
      </c>
      <c r="AB369" s="231" t="s">
        <v>235</v>
      </c>
      <c r="AC369" s="232">
        <f t="array" ref="AC369">SUM(IF((E7:E30=150202)*(D7:D30="Demolition")*(G7:G30="Re Use On Site"),H7:H30,0))</f>
        <v>0</v>
      </c>
      <c r="AD369" s="232">
        <f t="array" ref="AD369">SUM(IF((E7:E30=150202)*(D7:D30="Demolition"),V7:V30,0))</f>
        <v>0</v>
      </c>
      <c r="AE369" s="232">
        <f t="array" ref="AE369">SUM(IF((E7:E30=150202)*(D7:D30="Demolition")*(G7:G30="Recycled On Site"),H7:H30,0))</f>
        <v>0</v>
      </c>
      <c r="AF369" s="232">
        <f t="array" ref="AF369">SUM(IF((E7:E30=150202)*(D7:D30="Demolition")*(G7:G30="Recycled Off Site - Transfer Station, MRF, EfW"),J7:J30,0))</f>
        <v>0</v>
      </c>
      <c r="AG369" s="232">
        <f t="array" ref="AG369">SUM(IF((E7:E30=150202)*(D7:D30="Demolition"),R7:R30,0))</f>
        <v>0</v>
      </c>
      <c r="AH369" s="232">
        <f t="array" ref="AH369">SUM(IF((E7:E30=150202)*(D7:D30="Demolition"),S7:S30,0))</f>
        <v>0</v>
      </c>
      <c r="AI369" s="192">
        <f t="shared" si="129"/>
        <v>0</v>
      </c>
      <c r="AJ369" s="192">
        <f t="shared" si="130"/>
        <v>0</v>
      </c>
    </row>
    <row r="370" spans="25:36" x14ac:dyDescent="0.25">
      <c r="Y370" s="871"/>
      <c r="Z370" s="868"/>
      <c r="AA370" s="235" t="s">
        <v>126</v>
      </c>
      <c r="AB370" s="234" t="s">
        <v>236</v>
      </c>
      <c r="AC370" s="191">
        <f t="array" ref="AC370">SUM(IF((E7:E30=150202)*(D7:D30="Excavation")*(G7:G30="Re Use On Site"),H7:H30,0))</f>
        <v>0</v>
      </c>
      <c r="AD370" s="191">
        <f t="array" ref="AD370">SUM(IF((E7:E30=150202)*(D7:D30="Excavation"),V7:V30,0))</f>
        <v>0</v>
      </c>
      <c r="AE370" s="191">
        <f t="array" ref="AE370">SUM(IF((E7:E30=150202)*(D7:D30="Excavation")*(G7:G30="Recycled On Site"),H7:H30,0))</f>
        <v>0</v>
      </c>
      <c r="AF370" s="191">
        <f t="array" ref="AF370">SUM(IF((E7:E30=150202)*(D7:D30="Excavation")*(G7:G30="Recycled Off Site - Transfer Station, MRF, EfW"),J7:J30,0))</f>
        <v>0</v>
      </c>
      <c r="AG370" s="191">
        <f t="array" ref="AG370">SUM(IF((E7:E30=150202)*(D7:D30="Excavation"),R7:R30,0))</f>
        <v>0</v>
      </c>
      <c r="AH370" s="191">
        <f t="array" ref="AH370">SUM(IF((E7:E30=150202)*(D7:D30="Excavation"),S7:S30,0))</f>
        <v>0</v>
      </c>
      <c r="AI370" s="192">
        <f t="shared" si="129"/>
        <v>0</v>
      </c>
      <c r="AJ370" s="192">
        <f t="shared" si="130"/>
        <v>0</v>
      </c>
    </row>
    <row r="371" spans="25:36" ht="13.8" thickBot="1" x14ac:dyDescent="0.3">
      <c r="Y371" s="874"/>
      <c r="Z371" s="869"/>
      <c r="AA371" s="235" t="s">
        <v>126</v>
      </c>
      <c r="AB371" s="234" t="s">
        <v>237</v>
      </c>
      <c r="AC371" s="191">
        <f t="array" ref="AC371">SUM(IF((E7:E30=150202)*(D7:D30="Construction")*(G7:G30="Re Use On Site"),H7:H30,0))</f>
        <v>0</v>
      </c>
      <c r="AD371" s="191">
        <f t="array" ref="AD371">SUM(IF((E7:E30=150202)*(D7:D30="Construction"),V7:V30,0))</f>
        <v>0</v>
      </c>
      <c r="AE371" s="191">
        <f t="array" ref="AE371">SUM(IF((E7:E30=150202)*(D7:D30="Construction")*(G7:G30="Recycled On Site"),H7:H30,0))</f>
        <v>0</v>
      </c>
      <c r="AF371" s="191">
        <f t="array" ref="AF371">SUM(IF((E7:E30=150202)*(D7:D30="Construction")*(G7:G30="Recycled Off Site - Transfer Station, MRF, EfW"),J7:J30,0))</f>
        <v>0</v>
      </c>
      <c r="AG371" s="191">
        <f t="array" ref="AG371">SUM(IF((E7:E30=150202)*(D7:D30="Construction"),R7:R30,0))</f>
        <v>0</v>
      </c>
      <c r="AH371" s="191">
        <f t="array" ref="AH371">SUM(IF((E7:E30=150202)*(D7:D30="Construction"),S7:S30,0))</f>
        <v>0</v>
      </c>
      <c r="AI371" s="192">
        <f t="shared" si="129"/>
        <v>0</v>
      </c>
      <c r="AJ371" s="192">
        <f t="shared" si="130"/>
        <v>0</v>
      </c>
    </row>
    <row r="372" spans="25:36" x14ac:dyDescent="0.25">
      <c r="Y372" s="865" t="s">
        <v>211</v>
      </c>
      <c r="Z372" s="867">
        <v>170103</v>
      </c>
      <c r="AA372" s="235" t="s">
        <v>141</v>
      </c>
      <c r="AB372" s="231" t="s">
        <v>235</v>
      </c>
      <c r="AC372" s="232">
        <f t="array" ref="AC372">SUM(IF((E7:E30=170103)*(D7:D30="Demolition")*(G7:G30="Re Use On Site"),H7:H30,0))</f>
        <v>0</v>
      </c>
      <c r="AD372" s="232">
        <f t="array" ref="AD372">SUM(IF((E7:E30=170103)*(D7:D30="Demolition"),V7:V30,0))</f>
        <v>0</v>
      </c>
      <c r="AE372" s="232">
        <f t="array" ref="AE372">SUM(IF((E7:E30=170103)*(D7:D30="Demolition")*(G7:G30="Recycled On Site"),H7:H30,0))</f>
        <v>0</v>
      </c>
      <c r="AF372" s="232">
        <f t="array" ref="AF372">SUM(IF((E7:E30=170103)*(D7:D30="Demolition")*(G7:G30="Recycled Off Site - Transfer Station, MRF, EfW"),J7:J30,0))</f>
        <v>0</v>
      </c>
      <c r="AG372" s="232">
        <f t="array" ref="AG372">SUM(IF((E7:E30=170103)*(D7:D30="Demolition"),R7:R30,0))</f>
        <v>0</v>
      </c>
      <c r="AH372" s="232">
        <f t="array" ref="AH372">SUM(IF((E7:E30=170103)*(D7:D30="Demolition"),S7:S30,0))</f>
        <v>0</v>
      </c>
      <c r="AI372" s="192">
        <f t="shared" si="129"/>
        <v>0</v>
      </c>
      <c r="AJ372" s="192">
        <f t="shared" si="130"/>
        <v>0</v>
      </c>
    </row>
    <row r="373" spans="25:36" x14ac:dyDescent="0.25">
      <c r="Y373" s="871"/>
      <c r="Z373" s="868"/>
      <c r="AA373" s="235" t="s">
        <v>141</v>
      </c>
      <c r="AB373" s="234" t="s">
        <v>236</v>
      </c>
      <c r="AC373" s="191">
        <f t="array" ref="AC373">SUM(IF((E7:E30=170103)*(D7:D30="Excavation")*(G7:G30="Re Use On Site"),H7:H30,0))</f>
        <v>0</v>
      </c>
      <c r="AD373" s="191">
        <f t="array" ref="AD373">SUM(IF((E7:E30=170103)*(D7:D30="Excavation"),V7:V30,0))</f>
        <v>0</v>
      </c>
      <c r="AE373" s="191">
        <f t="array" ref="AE373">SUM(IF((E7:E30=170103)*(D7:D30="Excavation")*(G7:G30="Recycled On Site"),H7:H30,0))</f>
        <v>0</v>
      </c>
      <c r="AF373" s="191">
        <f t="array" ref="AF373">SUM(IF((E7:E30=170103)*(D7:D30="Excavation")*(G7:G30="Recycled Off Site - Transfer Station, MRF, EfW"),J7:J30,0))</f>
        <v>0</v>
      </c>
      <c r="AG373" s="191">
        <f t="array" ref="AG373">SUM(IF((E7:E30=170103)*(D7:D30="Excavation"),R7:R30,0))</f>
        <v>0</v>
      </c>
      <c r="AH373" s="191">
        <f t="array" ref="AH373">SUM(IF((E7:E30=170103)*(D7:D30="Excavation"),S7:S30,0))</f>
        <v>0</v>
      </c>
      <c r="AI373" s="192">
        <f t="shared" si="129"/>
        <v>0</v>
      </c>
      <c r="AJ373" s="192">
        <f t="shared" si="130"/>
        <v>0</v>
      </c>
    </row>
    <row r="374" spans="25:36" ht="13.8" thickBot="1" x14ac:dyDescent="0.3">
      <c r="Y374" s="874"/>
      <c r="Z374" s="869"/>
      <c r="AA374" s="235" t="s">
        <v>141</v>
      </c>
      <c r="AB374" s="234" t="s">
        <v>237</v>
      </c>
      <c r="AC374" s="191">
        <f t="array" ref="AC374">SUM(IF((E7:E30=170103)*(D7:D30="Construction")*(G7:G30="Re Use On Site"),H7:H30,0))</f>
        <v>0</v>
      </c>
      <c r="AD374" s="191">
        <f t="array" ref="AD374">SUM(IF((E7:E30=170103)*(D7:D30="Construction"),V7:V30,0))</f>
        <v>0</v>
      </c>
      <c r="AE374" s="191">
        <f t="array" ref="AE374">SUM(IF((E7:E30=170103)*(D7:D30="Construction")*(G7:G30="Recycled On Site"),H7:H30,0))</f>
        <v>0</v>
      </c>
      <c r="AF374" s="191">
        <f t="array" ref="AF374">SUM(IF((E7:E30=170103)*(D7:D30="Construction")*(G7:G30="Recycled Off Site - Transfer Station, MRF, EfW"),J7:J30,0))</f>
        <v>0</v>
      </c>
      <c r="AG374" s="191">
        <f t="array" ref="AG374">SUM(IF((E7:E30=170103)*(D7:D30="Construction"),R7:R30,0))</f>
        <v>0</v>
      </c>
      <c r="AH374" s="191">
        <f t="array" ref="AH374">SUM(IF((E7:E30=170103)*(D7:D30="Construction"),S7:S30,0))</f>
        <v>0</v>
      </c>
      <c r="AI374" s="192">
        <f t="shared" si="129"/>
        <v>0</v>
      </c>
      <c r="AJ374" s="192">
        <f t="shared" si="130"/>
        <v>0</v>
      </c>
    </row>
    <row r="375" spans="25:36" x14ac:dyDescent="0.25">
      <c r="Y375" s="865" t="s">
        <v>212</v>
      </c>
      <c r="Z375" s="867">
        <v>170508</v>
      </c>
      <c r="AA375" s="235" t="s">
        <v>141</v>
      </c>
      <c r="AB375" s="231" t="s">
        <v>235</v>
      </c>
      <c r="AC375" s="232">
        <f t="array" ref="AC375">SUM(IF((E7:E30=170508)*(D7:D30="Demolition")*(G7:G30="Re Use On Site"),H7:H30,0))</f>
        <v>0</v>
      </c>
      <c r="AD375" s="232">
        <f t="array" ref="AD375">SUM(IF((E7:E30=170508)*(D7:D30="Demolition"),V7:V30,0))</f>
        <v>0</v>
      </c>
      <c r="AE375" s="232">
        <f t="array" ref="AE375">SUM(IF((E7:E30=170508)*(D7:D30="Demolition")*(G7:G30="Recycled On Site"),H7:H30,0))</f>
        <v>0</v>
      </c>
      <c r="AF375" s="232">
        <f t="array" ref="AF375">SUM(IF((E7:E30=170508)*(D7:D30="Demolition")*(G7:G30="Recycled Off Site - Transfer Station, MRF, EfW"),J7:J30,0))</f>
        <v>0</v>
      </c>
      <c r="AG375" s="232">
        <f t="array" ref="AG375">SUM(IF((E7:E30=170508)*(D7:D30="Demolition"),R7:R30,0))</f>
        <v>0</v>
      </c>
      <c r="AH375" s="232">
        <f t="array" ref="AH375">SUM(IF((E7:E30=170508)*(D7:D30="Demolition"),S7:S30,0))</f>
        <v>0</v>
      </c>
      <c r="AI375" s="192">
        <f t="shared" si="129"/>
        <v>0</v>
      </c>
      <c r="AJ375" s="192">
        <f t="shared" si="130"/>
        <v>0</v>
      </c>
    </row>
    <row r="376" spans="25:36" x14ac:dyDescent="0.25">
      <c r="Y376" s="871"/>
      <c r="Z376" s="868"/>
      <c r="AA376" s="235" t="s">
        <v>141</v>
      </c>
      <c r="AB376" s="234" t="s">
        <v>236</v>
      </c>
      <c r="AC376" s="191">
        <f t="array" ref="AC376">SUM(IF((E7:E30=170508)*(D7:D30="Excavation")*(G7:G30="Re Use On Site"),H7:H30,0))</f>
        <v>0</v>
      </c>
      <c r="AD376" s="191">
        <f t="array" ref="AD376">SUM(IF((E7:E30=170508)*(D7:D30="Excavation"),V7:V30,0))</f>
        <v>0</v>
      </c>
      <c r="AE376" s="191">
        <f t="array" ref="AE376">SUM(IF((E7:E30=170508)*(D7:D30="Excavation")*(G7:G30="Recycled On Site"),H7:H30,0))</f>
        <v>0</v>
      </c>
      <c r="AF376" s="191">
        <f t="array" ref="AF376">SUM(IF((E7:E30=170508)*(D7:D30="Excavation")*(G7:G30="Recycled Off Site - Transfer Station, MRF, EfW"),J7:J30,0))</f>
        <v>0</v>
      </c>
      <c r="AG376" s="191">
        <f t="array" ref="AG376">SUM(IF((E7:E30=170508)*(D7:D30="Excavation"),R7:R30,0))</f>
        <v>0</v>
      </c>
      <c r="AH376" s="191">
        <f t="array" ref="AH376">SUM(IF((E7:E30=170508)*(D7:D30="Excavation"),S7:S30,0))</f>
        <v>0</v>
      </c>
      <c r="AI376" s="192">
        <f t="shared" ref="AI376:AI431" si="131">AC376+AD376+AE376+AF376+AK376+AM376+AH376</f>
        <v>0</v>
      </c>
      <c r="AJ376" s="192">
        <f t="shared" ref="AJ376:AJ431" si="132">AD376+AF376+AK376+AM376+AH376</f>
        <v>0</v>
      </c>
    </row>
    <row r="377" spans="25:36" ht="13.8" thickBot="1" x14ac:dyDescent="0.3">
      <c r="Y377" s="874"/>
      <c r="Z377" s="869"/>
      <c r="AA377" s="235" t="s">
        <v>141</v>
      </c>
      <c r="AB377" s="234" t="s">
        <v>237</v>
      </c>
      <c r="AC377" s="191">
        <f t="array" ref="AC377">SUM(IF((E7:E30=170508)*(D7:D30="Construction")*(G7:G30="Re Use On Site"),H7:H30,0))</f>
        <v>0</v>
      </c>
      <c r="AD377" s="191">
        <f t="array" ref="AD377">SUM(IF((E7:E30=170508)*(D7:D30="Construction"),V7:V30,0))</f>
        <v>0</v>
      </c>
      <c r="AE377" s="191">
        <f t="array" ref="AE377">SUM(IF((E7:E30=170508)*(D7:D30="Construction")*(G7:G30="Recycled On Site"),H7:H30,0))</f>
        <v>0</v>
      </c>
      <c r="AF377" s="191">
        <f t="array" ref="AF377">SUM(IF((E7:E30=170508)*(D7:D30="Construction")*(G7:G30="Recycled Off Site - Transfer Station, MRF, EfW"),J7:J30,0))</f>
        <v>0</v>
      </c>
      <c r="AG377" s="191">
        <f t="array" ref="AG377">SUM(IF((E7:E30=170508)*(D7:D30="Construction"),R7:R30,0))</f>
        <v>0</v>
      </c>
      <c r="AH377" s="191">
        <f t="array" ref="AH377">SUM(IF((E7:E30=170508)*(D7:D30="Construction"),S7:S30,0))</f>
        <v>0</v>
      </c>
      <c r="AI377" s="192">
        <f t="shared" si="131"/>
        <v>0</v>
      </c>
      <c r="AJ377" s="192">
        <f t="shared" si="132"/>
        <v>0</v>
      </c>
    </row>
    <row r="378" spans="25:36" x14ac:dyDescent="0.25">
      <c r="Y378" s="865" t="s">
        <v>213</v>
      </c>
      <c r="Z378" s="867">
        <v>170507</v>
      </c>
      <c r="AA378" s="235" t="s">
        <v>126</v>
      </c>
      <c r="AB378" s="231" t="s">
        <v>235</v>
      </c>
      <c r="AC378" s="232">
        <f t="array" ref="AC378">SUM(IF((E7:E30=170507)*(D7:D30="Demolition")*(G7:G30="Re Use On Site"),H7:H30,0))</f>
        <v>0</v>
      </c>
      <c r="AD378" s="232">
        <f t="array" ref="AD378">SUM(IF((E7:E30=170507)*(D7:D30="Demolition"),V7:V30,0))</f>
        <v>0</v>
      </c>
      <c r="AE378" s="232">
        <f t="array" ref="AE378">SUM(IF((E7:E30=170507)*(D7:D30="Demolition")*(G7:G30="Recycled On Site"),H7:H30,0))</f>
        <v>0</v>
      </c>
      <c r="AF378" s="232">
        <f t="array" ref="AF378">SUM(IF((E7:E30=170507)*(D7:D30="Demolition")*(G7:G30="Recycled Off Site - Transfer Station, MRF, EfW"),J7:J30,0))</f>
        <v>0</v>
      </c>
      <c r="AG378" s="232">
        <f t="array" ref="AG378">SUM(IF((E7:E30=170507)*(D7:D30="Demolition"),R7:R30,0))</f>
        <v>0</v>
      </c>
      <c r="AH378" s="232">
        <f t="array" ref="AH378">SUM(IF((E7:E30=170507)*(D7:D30="Demolition"),S7:S30,0))</f>
        <v>0</v>
      </c>
      <c r="AI378" s="192">
        <f t="shared" si="131"/>
        <v>0</v>
      </c>
      <c r="AJ378" s="192">
        <f t="shared" si="132"/>
        <v>0</v>
      </c>
    </row>
    <row r="379" spans="25:36" x14ac:dyDescent="0.25">
      <c r="Y379" s="871"/>
      <c r="Z379" s="868"/>
      <c r="AA379" s="235" t="s">
        <v>126</v>
      </c>
      <c r="AB379" s="234" t="s">
        <v>236</v>
      </c>
      <c r="AC379" s="191">
        <f t="array" ref="AC379">SUM(IF((E7:E30=170507)*(D7:D30="Excavation")*(G7:G30="Re Use On Site"),H7:H30,0))</f>
        <v>0</v>
      </c>
      <c r="AD379" s="191">
        <f t="array" ref="AD379">SUM(IF((E7:E30=170507)*(D7:D30="Excavation"),V7:V30,0))</f>
        <v>0</v>
      </c>
      <c r="AE379" s="191">
        <f t="array" ref="AE379">SUM(IF((E7:E30=170507)*(D7:D30="Excavation")*(G7:G30="Recycled On Site"),H7:H30,0))</f>
        <v>0</v>
      </c>
      <c r="AF379" s="191">
        <f t="array" ref="AF379">SUM(IF((E7:E30=170507)*(D7:D30="Excavation")*(G7:G30="Recycled Off Site - Transfer Station, MRF, EfW"),J7:J30,0))</f>
        <v>0</v>
      </c>
      <c r="AG379" s="191">
        <f t="array" ref="AG379">SUM(IF((E7:E30=170507)*(D7:D30="Excavation"),R7:R30,0))</f>
        <v>0</v>
      </c>
      <c r="AH379" s="191">
        <f t="array" ref="AH379">SUM(IF((E7:E30=170507)*(D7:D30="Excavation"),S7:S30,0))</f>
        <v>0</v>
      </c>
      <c r="AI379" s="192">
        <f t="shared" si="131"/>
        <v>0</v>
      </c>
      <c r="AJ379" s="192">
        <f t="shared" si="132"/>
        <v>0</v>
      </c>
    </row>
    <row r="380" spans="25:36" ht="13.8" thickBot="1" x14ac:dyDescent="0.3">
      <c r="Y380" s="874"/>
      <c r="Z380" s="869"/>
      <c r="AA380" s="235" t="s">
        <v>126</v>
      </c>
      <c r="AB380" s="234" t="s">
        <v>237</v>
      </c>
      <c r="AC380" s="191">
        <f t="array" ref="AC380">SUM(IF((E7:E30=170507)*(D7:D30="Construction")*(G7:G30="Re Use On Site"),H7:H30,0))</f>
        <v>0</v>
      </c>
      <c r="AD380" s="191">
        <f t="array" ref="AD380">SUM(IF((E7:E30=170507)*(D7:D30="Construction"),V7:V30,0))</f>
        <v>0</v>
      </c>
      <c r="AE380" s="191">
        <f t="array" ref="AE380">SUM(IF((E7:E30=170507)*(D7:D30="Construction")*(G7:G30="Recycled On Site"),H7:H30,0))</f>
        <v>0</v>
      </c>
      <c r="AF380" s="191">
        <f t="array" ref="AF380">SUM(IF((E7:E30=170507)*(D7:D30="Construction")*(G7:G30="Recycled Off Site - Transfer Station, MRF, EfW"),J7:J30,0))</f>
        <v>0</v>
      </c>
      <c r="AG380" s="191">
        <f t="array" ref="AG380">SUM(IF((E7:E30=170507)*(D7:D30="Construction"),R7:R30,0))</f>
        <v>0</v>
      </c>
      <c r="AH380" s="191">
        <f t="array" ref="AH380">SUM(IF((E7:E30=170507)*(D7:D30="Construction"),S7:S30,0))</f>
        <v>0</v>
      </c>
      <c r="AI380" s="192">
        <f t="shared" si="131"/>
        <v>0</v>
      </c>
      <c r="AJ380" s="192">
        <f t="shared" si="132"/>
        <v>0</v>
      </c>
    </row>
    <row r="381" spans="25:36" x14ac:dyDescent="0.25">
      <c r="Y381" s="865" t="s">
        <v>214</v>
      </c>
      <c r="Z381" s="875">
        <v>160103</v>
      </c>
      <c r="AA381" s="235" t="s">
        <v>123</v>
      </c>
      <c r="AB381" s="231" t="s">
        <v>235</v>
      </c>
      <c r="AC381" s="232">
        <f t="array" ref="AC381">SUM(IF((E7:E30=160103)*(D7:D30="Demolition")*(G7:G30="Re Use On Site"),H7:H30,0))</f>
        <v>0</v>
      </c>
      <c r="AD381" s="232">
        <f t="array" ref="AD381">SUM(IF((E7:E30=160103)*(D7:D30="Demolition"),V7:V30,0))</f>
        <v>0</v>
      </c>
      <c r="AE381" s="232">
        <f t="array" ref="AE381">SUM(IF((E7:E30=160103)*(D7:D30="Demolition")*(G7:G30="Recycled On Site"),H7:H30,0))</f>
        <v>0</v>
      </c>
      <c r="AF381" s="232">
        <f t="array" ref="AF381">SUM(IF((E7:E30=160103)*(D7:D30="Demolition")*(G7:G30="Recycled Off Site - Transfer Station, MRF, EfW"),J7:J30,0))</f>
        <v>0</v>
      </c>
      <c r="AG381" s="232">
        <f t="array" ref="AG381">SUM(IF((E7:E30=160103)*(D7:D30="Demolition"),R7:R30,0))</f>
        <v>0</v>
      </c>
      <c r="AH381" s="232">
        <f t="array" ref="AH381">SUM(IF((E7:E30=160103)*(D7:D30="Demolition"),S7:S30,0))</f>
        <v>0</v>
      </c>
      <c r="AI381" s="192">
        <f t="shared" si="131"/>
        <v>0</v>
      </c>
      <c r="AJ381" s="192">
        <f t="shared" si="132"/>
        <v>0</v>
      </c>
    </row>
    <row r="382" spans="25:36" x14ac:dyDescent="0.25">
      <c r="Y382" s="871"/>
      <c r="Z382" s="876"/>
      <c r="AA382" s="235" t="s">
        <v>123</v>
      </c>
      <c r="AB382" s="234" t="s">
        <v>236</v>
      </c>
      <c r="AC382" s="191">
        <f t="array" ref="AC382">SUM(IF((E7:E30=160103)*(D7:D30="Excavation")*(G7:G30="Re Use On Site"),H7:H30,0))</f>
        <v>0</v>
      </c>
      <c r="AD382" s="191">
        <f t="array" ref="AD382">SUM(IF((E7:E30=160103)*(D7:D30="Excavation"),V7:V30,0))</f>
        <v>0</v>
      </c>
      <c r="AE382" s="191">
        <f t="array" ref="AE382">SUM(IF((E7:E30=160103)*(D7:D30="Excavation")*(G7:G30="Recycled On Site"),H7:H30,0))</f>
        <v>0</v>
      </c>
      <c r="AF382" s="191">
        <f t="array" ref="AF382">SUM(IF((E7:E30=160103)*(D7:D30="Excavation")*(G7:G30="Recycled Off Site - Transfer Station, MRF, EfW"),J7:J30,0))</f>
        <v>0</v>
      </c>
      <c r="AG382" s="191">
        <f t="array" ref="AG382">SUM(IF((E7:E30=160103)*(D7:D30="Excavation"),R7:R30,0))</f>
        <v>0</v>
      </c>
      <c r="AH382" s="191">
        <f t="array" ref="AH382">SUM(IF((E7:E30=160103)*(D7:D30="Excavation"),S7:S30,0))</f>
        <v>0</v>
      </c>
      <c r="AI382" s="192">
        <f t="shared" si="131"/>
        <v>0</v>
      </c>
      <c r="AJ382" s="192">
        <f t="shared" si="132"/>
        <v>0</v>
      </c>
    </row>
    <row r="383" spans="25:36" ht="13.8" thickBot="1" x14ac:dyDescent="0.3">
      <c r="Y383" s="874"/>
      <c r="Z383" s="877"/>
      <c r="AA383" s="235" t="s">
        <v>123</v>
      </c>
      <c r="AB383" s="234" t="s">
        <v>237</v>
      </c>
      <c r="AC383" s="191">
        <f t="array" ref="AC383">SUM(IF((E7:E30=160103)*(D7:D30="Construction")*(G7:G30="Re Use On Site"),H7:H30,0))</f>
        <v>0</v>
      </c>
      <c r="AD383" s="191">
        <f t="array" ref="AD383">SUM(IF((E7:E30=160103)*(D7:D30="Construction"),V7:V30,0))</f>
        <v>0</v>
      </c>
      <c r="AE383" s="191">
        <f t="array" ref="AE383">SUM(IF((E7:E30=160103)*(D7:D30="Construction")*(G7:G30="Recycled On Site"),H7:H30,0))</f>
        <v>0</v>
      </c>
      <c r="AF383" s="191">
        <f t="array" ref="AF383">SUM(IF((E7:E30=160103)*(D7:D30="Construction")*(G7:G30="Recycled Off Site - Transfer Station, MRF, EfW"),J7:J30,0))</f>
        <v>0</v>
      </c>
      <c r="AG383" s="191">
        <f t="array" ref="AG383">SUM(IF((E7:E30=160103)*(D7:D30="Construction"),R7:R30,0))</f>
        <v>0</v>
      </c>
      <c r="AH383" s="191">
        <f t="array" ref="AH383">SUM(IF((E7:E30=160103)*(D7:D30="Construction"),S7:S30,0))</f>
        <v>0</v>
      </c>
      <c r="AI383" s="192">
        <f t="shared" si="131"/>
        <v>0</v>
      </c>
      <c r="AJ383" s="192">
        <f t="shared" si="132"/>
        <v>0</v>
      </c>
    </row>
    <row r="384" spans="25:36" x14ac:dyDescent="0.25">
      <c r="Y384" s="865" t="s">
        <v>215</v>
      </c>
      <c r="Z384" s="867">
        <v>200201</v>
      </c>
      <c r="AA384" s="235" t="s">
        <v>123</v>
      </c>
      <c r="AB384" s="231" t="s">
        <v>235</v>
      </c>
      <c r="AC384" s="232">
        <f t="array" ref="AC384">SUM(IF((E7:E30=200201)*(D7:D30="Demolition")*(G7:G30="Re Use On Site"),H7:H30,0))</f>
        <v>0</v>
      </c>
      <c r="AD384" s="232">
        <f t="array" ref="AD384">SUM(IF((E7:E30=200201)*(D7:D30="Demolition"),V7:V30,0))</f>
        <v>0</v>
      </c>
      <c r="AE384" s="232">
        <f t="array" ref="AE384">SUM(IF((E7:E30=200201)*(D7:D30="Demolition")*(G7:G30="Recycled On Site"),H7:H30,0))</f>
        <v>0</v>
      </c>
      <c r="AF384" s="232">
        <f t="array" ref="AF384">SUM(IF((E7:E30=200201)*(D7:D30="Demolition")*(G7:G30="Recycled Off Site - Transfer Station, MRF, EfW"),J7:J30,0))</f>
        <v>0</v>
      </c>
      <c r="AG384" s="232">
        <f t="array" ref="AG384">SUM(IF((E7:E30=200201)*(D7:D30="Demolition"),R7:R30,0))</f>
        <v>0</v>
      </c>
      <c r="AH384" s="232">
        <f t="array" ref="AH384">SUM(IF((E7:E30=200201)*(D7:D30="Demolition"),S7:S30,0))</f>
        <v>0</v>
      </c>
      <c r="AI384" s="192">
        <f t="shared" si="131"/>
        <v>0</v>
      </c>
      <c r="AJ384" s="192">
        <f t="shared" si="132"/>
        <v>0</v>
      </c>
    </row>
    <row r="385" spans="25:36" x14ac:dyDescent="0.25">
      <c r="Y385" s="871"/>
      <c r="Z385" s="868"/>
      <c r="AA385" s="235" t="s">
        <v>123</v>
      </c>
      <c r="AB385" s="234" t="s">
        <v>236</v>
      </c>
      <c r="AC385" s="191">
        <f t="array" ref="AC385">SUM(IF((E7:E30=200201)*(D7:D30="Excavation")*(G7:G30="Re Use On Site"),H7:H30,0))</f>
        <v>0</v>
      </c>
      <c r="AD385" s="191">
        <f t="array" ref="AD385">SUM(IF((E7:E30=200201)*(D7:D30="Excavation"),V7:V30,0))</f>
        <v>0</v>
      </c>
      <c r="AE385" s="191">
        <f t="array" ref="AE385">SUM(IF((E7:E30=200201)*(D7:D30="Excavation")*(G7:G30="Recycled On Site"),H7:H30,0))</f>
        <v>0</v>
      </c>
      <c r="AF385" s="191">
        <f t="array" ref="AF385">SUM(IF((E7:E30=200201)*(D7:D30="Excavation")*(G7:G30="Recycled Off Site - Transfer Station, MRF, EfW"),J7:J30,0))</f>
        <v>0</v>
      </c>
      <c r="AG385" s="191">
        <f t="array" ref="AG385">SUM(IF((E7:E30=200201)*(D7:D30="Excavation"),R7:R30,0))</f>
        <v>0</v>
      </c>
      <c r="AH385" s="191">
        <f t="array" ref="AH385">SUM(IF((E7:E30=200201)*(D7:D30="Excavation"),S7:S30,0))</f>
        <v>0</v>
      </c>
      <c r="AI385" s="192">
        <f t="shared" si="131"/>
        <v>0</v>
      </c>
      <c r="AJ385" s="192">
        <f t="shared" si="132"/>
        <v>0</v>
      </c>
    </row>
    <row r="386" spans="25:36" ht="13.8" thickBot="1" x14ac:dyDescent="0.3">
      <c r="Y386" s="874"/>
      <c r="Z386" s="869"/>
      <c r="AA386" s="235" t="s">
        <v>123</v>
      </c>
      <c r="AB386" s="234" t="s">
        <v>237</v>
      </c>
      <c r="AC386" s="191">
        <f t="array" ref="AC386">SUM(IF((E7:E30=200201)*(D7:D30="Construction")*(G7:G30="Re Use On Site"),H7:H30,0))</f>
        <v>0</v>
      </c>
      <c r="AD386" s="191">
        <f t="array" ref="AD386">SUM(IF((E7:E30=200201)*(D7:D30="Construction"),V7:V30,0))</f>
        <v>0</v>
      </c>
      <c r="AE386" s="191">
        <f t="array" ref="AE386">SUM(IF((E7:E30=200201)*(D7:D30="Construction")*(G7:G30="Recycled On Site"),H7:H30,0))</f>
        <v>0</v>
      </c>
      <c r="AF386" s="191">
        <f t="array" ref="AF386">SUM(IF((E7:E30=200201)*(D7:D30="Construction")*(G7:G30="Recycled Off Site - Transfer Station, MRF, EfW"),J7:J30,0))</f>
        <v>0</v>
      </c>
      <c r="AG386" s="191">
        <f t="array" ref="AG386">SUM(IF((E7:E30=200201)*(D7:D30="Construction"),R7:R30,0))</f>
        <v>0</v>
      </c>
      <c r="AH386" s="191">
        <f t="array" ref="AH386">SUM(IF((E7:E30=200201)*(D7:D30="Construction"),S7:S30,0))</f>
        <v>0</v>
      </c>
      <c r="AI386" s="192">
        <f t="shared" si="131"/>
        <v>0</v>
      </c>
      <c r="AJ386" s="192">
        <f t="shared" si="132"/>
        <v>0</v>
      </c>
    </row>
    <row r="387" spans="25:36" x14ac:dyDescent="0.25">
      <c r="Y387" s="865" t="s">
        <v>73</v>
      </c>
      <c r="Z387" s="867">
        <v>170201</v>
      </c>
      <c r="AA387" s="235" t="s">
        <v>123</v>
      </c>
      <c r="AB387" s="231" t="s">
        <v>235</v>
      </c>
      <c r="AC387" s="232">
        <f t="array" ref="AC387">SUM(IF((E7:E30=170201)*(D7:D30="Demolition")*(G7:G30="Re Use On Site"),H7:H30,0))</f>
        <v>0</v>
      </c>
      <c r="AD387" s="232">
        <f t="array" ref="AD387">SUM(IF((E7:E30=170201)*(D7:D30="Demolition"),V7:V30,0))</f>
        <v>0</v>
      </c>
      <c r="AE387" s="232">
        <f t="array" ref="AE387">SUM(IF((E7:E30=170201)*(D7:D30="Demolition")*(G7:G30="Recycled On Site"),H7:H30,0))</f>
        <v>0</v>
      </c>
      <c r="AF387" s="232">
        <f t="array" ref="AF387">SUM(IF((E7:E30=170201)*(D7:D30="Demolition")*(G7:G30="Recycled Off Site - Transfer Station, MRF, EfW"),J7:J30,0))</f>
        <v>0</v>
      </c>
      <c r="AG387" s="232">
        <f t="array" ref="AG387">SUM(IF((E7:E30=170201)*(D7:D30="Demolition"),R7:R30,0))</f>
        <v>0</v>
      </c>
      <c r="AH387" s="232">
        <f t="array" ref="AH387">SUM(IF((E7:E30=170201)*(D7:D30="Demolition"),S7:S30,0))</f>
        <v>0</v>
      </c>
      <c r="AI387" s="192">
        <f t="shared" si="131"/>
        <v>0</v>
      </c>
      <c r="AJ387" s="192">
        <f t="shared" si="132"/>
        <v>0</v>
      </c>
    </row>
    <row r="388" spans="25:36" x14ac:dyDescent="0.25">
      <c r="Y388" s="871"/>
      <c r="Z388" s="868"/>
      <c r="AA388" s="235" t="s">
        <v>123</v>
      </c>
      <c r="AB388" s="234" t="s">
        <v>236</v>
      </c>
      <c r="AC388" s="191">
        <f t="array" ref="AC388">SUM(IF((E7:E30=170201)*(D7:D30="Excavation")*(G7:G30="Re Use On Site"),H7:H30,0))</f>
        <v>0</v>
      </c>
      <c r="AD388" s="191">
        <f t="array" ref="AD388">SUM(IF((E7:E30=170201)*(D7:D30="Excavation"),V7:V30,0))</f>
        <v>0</v>
      </c>
      <c r="AE388" s="191">
        <f t="array" ref="AE388">SUM(IF((E7:E30=170201)*(D7:D30="Excavation")*(G7:G30="Recycled On Site"),H7:H30,0))</f>
        <v>0</v>
      </c>
      <c r="AF388" s="191">
        <f t="array" ref="AF388">SUM(IF((E7:E30=170201)*(D7:D30="Excavation")*(G7:G30="Recycled Off Site - Transfer Station, MRF, EfW"),J7:J30,0))</f>
        <v>0</v>
      </c>
      <c r="AG388" s="191">
        <f t="array" ref="AG388">SUM(IF((E7:E30=170201)*(D7:D30="Excavation"),R7:R30,0))</f>
        <v>0</v>
      </c>
      <c r="AH388" s="191">
        <f t="array" ref="AH388">SUM(IF((E7:E30=170201)*(D7:D30="Excavation"),S7:S30,0))</f>
        <v>0</v>
      </c>
      <c r="AI388" s="192">
        <f t="shared" si="131"/>
        <v>0</v>
      </c>
      <c r="AJ388" s="192">
        <f t="shared" si="132"/>
        <v>0</v>
      </c>
    </row>
    <row r="389" spans="25:36" ht="13.8" thickBot="1" x14ac:dyDescent="0.3">
      <c r="Y389" s="872"/>
      <c r="Z389" s="873"/>
      <c r="AA389" s="221" t="s">
        <v>123</v>
      </c>
      <c r="AB389" s="236" t="s">
        <v>237</v>
      </c>
      <c r="AC389" s="191">
        <f t="array" ref="AC389">SUM(IF((E7:E30=170201)*(D7:D30="Construction")*(G7:G30="Re Use On Site"),H7:H30,0))</f>
        <v>0</v>
      </c>
      <c r="AD389" s="191">
        <f t="array" ref="AD389">SUM(IF((E7:E30=170201)*(D7:D30="Construction"),V7:V30,0))</f>
        <v>0</v>
      </c>
      <c r="AE389" s="191">
        <f t="array" ref="AE389">SUM(IF((E7:E30=170201)*(D7:D30="Construction")*(G7:G30="Recycled On Site"),H7:H30,0))</f>
        <v>0</v>
      </c>
      <c r="AF389" s="191" t="e">
        <f t="array" ref="AF389">SUM(IF((E7:E30=170201)*(D7:D30="Construction")*(G7:G30="Recycled Off Site - Transfer Station, MRF, EfW"),J7:J30,0))</f>
        <v>#VALUE!</v>
      </c>
      <c r="AG389" s="191">
        <f t="array" ref="AG389">SUM(IF((E7:E30=170201)*(D7:D30="Construction"),R7:R30,0))</f>
        <v>0</v>
      </c>
      <c r="AH389" s="191" t="e">
        <f t="array" ref="AH389">SUM(IF((E7:E30=170201)*(D7:D30="Construction"),S7:S30,0))</f>
        <v>#VALUE!</v>
      </c>
      <c r="AI389" s="192" t="e">
        <f t="shared" si="131"/>
        <v>#VALUE!</v>
      </c>
      <c r="AJ389" s="192" t="e">
        <f t="shared" si="132"/>
        <v>#VALUE!</v>
      </c>
    </row>
    <row r="390" spans="25:36" x14ac:dyDescent="0.25">
      <c r="Y390" s="865" t="s">
        <v>216</v>
      </c>
      <c r="Z390" s="867">
        <v>190801</v>
      </c>
      <c r="AA390" s="235" t="s">
        <v>123</v>
      </c>
      <c r="AB390" s="231" t="s">
        <v>235</v>
      </c>
      <c r="AC390" s="232">
        <f t="array" ref="AC390">SUM(IF((E7:E30=190801)*(D7:D30="Demolition")*(G7:G30="Re Use On Site"),H7:H30,0))</f>
        <v>0</v>
      </c>
      <c r="AD390" s="232">
        <f t="array" ref="AD390">SUM(IF((E7:E30=190801)*(D7:D30="Demolition"),V7:V30,0))</f>
        <v>0</v>
      </c>
      <c r="AE390" s="232">
        <f t="array" ref="AE390">SUM(IF((E7:E30=190801)*(D7:D30="Demolition")*(G7:G30="Recycled On Site"),H7:H30,0))</f>
        <v>0</v>
      </c>
      <c r="AF390" s="232">
        <f t="array" ref="AF390">SUM(IF((E7:E30=190801)*(D7:D30="Demolition")*(G7:G30="Recycled Off Site - Transfer Station, MRF, EfW"),J7:J30,0))</f>
        <v>0</v>
      </c>
      <c r="AG390" s="232">
        <f t="array" ref="AG390">SUM(IF((E7:E30=190801)*(D7:D30="Demolition"),R7:R30,0))</f>
        <v>0</v>
      </c>
      <c r="AH390" s="232">
        <f t="array" ref="AH390">SUM(IF((E7:E30=190801)*(D7:D30="Demolition"),S7:S30,0))</f>
        <v>0</v>
      </c>
      <c r="AI390" s="192">
        <f t="shared" si="131"/>
        <v>0</v>
      </c>
      <c r="AJ390" s="192">
        <f t="shared" si="132"/>
        <v>0</v>
      </c>
    </row>
    <row r="391" spans="25:36" x14ac:dyDescent="0.25">
      <c r="Y391" s="851"/>
      <c r="Z391" s="854"/>
      <c r="AA391" s="235" t="s">
        <v>123</v>
      </c>
      <c r="AB391" s="234" t="s">
        <v>236</v>
      </c>
      <c r="AC391" s="191">
        <f t="array" ref="AC391">SUM(IF((E7:E30=190801)*(D7:D30="Excavation")*(G7:G30="Re Use On Site"),H7:H30,0))</f>
        <v>0</v>
      </c>
      <c r="AD391" s="191">
        <f t="array" ref="AD391">SUM(IF((E7:E30=190801)*(D7:D30="Excavation"),V7:V30,0))</f>
        <v>0</v>
      </c>
      <c r="AE391" s="191">
        <f t="array" ref="AE391">SUM(IF((E7:E30=190801)*(D7:D30="Excavation")*(G7:G30="Recycled On Site"),H7:H30,0))</f>
        <v>0</v>
      </c>
      <c r="AF391" s="191">
        <f t="array" ref="AF391">SUM(IF((E7:E30=190801)*(D7:D30="Excavation")*(G7:G30="Recycled Off Site - Transfer Station, MRF, EfW"),J7:J30,0))</f>
        <v>0</v>
      </c>
      <c r="AG391" s="191">
        <f t="array" ref="AG391">SUM(IF((E7:E30=190801)*(D7:D30="Excavation"),R7:R30,0))</f>
        <v>0</v>
      </c>
      <c r="AH391" s="191">
        <f t="array" ref="AH391">SUM(IF((E7:E30=190801)*(D7:D30="Excavation"),S7:S30,0))</f>
        <v>0</v>
      </c>
      <c r="AI391" s="192">
        <f t="shared" si="131"/>
        <v>0</v>
      </c>
      <c r="AJ391" s="192">
        <f t="shared" si="132"/>
        <v>0</v>
      </c>
    </row>
    <row r="392" spans="25:36" ht="13.8" thickBot="1" x14ac:dyDescent="0.3">
      <c r="Y392" s="866"/>
      <c r="Z392" s="870"/>
      <c r="AA392" s="235" t="s">
        <v>123</v>
      </c>
      <c r="AB392" s="236" t="s">
        <v>237</v>
      </c>
      <c r="AC392" s="191">
        <f t="array" ref="AC392">SUM(IF((E7:E30=190801)*(D7:D30="Construction")*(G7:G30="Re Use On Site"),H7:H30,0))</f>
        <v>0</v>
      </c>
      <c r="AD392" s="191">
        <f t="array" ref="AD392">SUM(IF((E7:E30=190801)*(D7:D30="Construction"),V7:V30,0))</f>
        <v>0</v>
      </c>
      <c r="AE392" s="191">
        <f t="array" ref="AE392">SUM(IF((E7:E30=190801)*(D7:D30="Construction")*(G7:G30="Recycled On Site"),H7:H30,0))</f>
        <v>0</v>
      </c>
      <c r="AF392" s="191">
        <f t="array" ref="AF392">SUM(IF((E7:E30=190801)*(D7:D30="Construction")*(G7:G30="Recycled Off Site - Transfer Station, MRF, EfW"),J7:J30,0))</f>
        <v>0</v>
      </c>
      <c r="AG392" s="191">
        <f t="array" ref="AG392">SUM(IF((E7:E30=190801)*(D7:D30="Construction"),R7:R30,0))</f>
        <v>0</v>
      </c>
      <c r="AH392" s="191">
        <f t="array" ref="AH392">SUM(IF((E7:E30=190801)*(D7:D30="Construction"),S7:S30,0))</f>
        <v>0</v>
      </c>
      <c r="AI392" s="192">
        <f t="shared" si="131"/>
        <v>0</v>
      </c>
      <c r="AJ392" s="192">
        <f t="shared" si="132"/>
        <v>0</v>
      </c>
    </row>
    <row r="393" spans="25:36" x14ac:dyDescent="0.25">
      <c r="Y393" s="865" t="s">
        <v>217</v>
      </c>
      <c r="Z393" s="867">
        <v>190802</v>
      </c>
      <c r="AA393" s="235" t="s">
        <v>123</v>
      </c>
      <c r="AB393" s="231" t="s">
        <v>235</v>
      </c>
      <c r="AC393" s="232">
        <f t="array" ref="AC393">SUM(IF((E7:E30=190802)*(D7:D30="Demolition")*(G7:G30="Re Use On Site"),H7:H30,0))</f>
        <v>0</v>
      </c>
      <c r="AD393" s="232">
        <f t="array" ref="AD393">SUM(IF((E7:E30=190802)*(D7:D30="Demolition"),V7:V30,0))</f>
        <v>0</v>
      </c>
      <c r="AE393" s="232">
        <f t="array" ref="AE393">SUM(IF((E7:E30=190802)*(D7:D30="Demolition")*(G7:G30="Recycled On Site"),H7:H30,0))</f>
        <v>0</v>
      </c>
      <c r="AF393" s="232">
        <f t="array" ref="AF393">SUM(IF((E7:E30=190802)*(D7:D30="Demolition")*(G7:G30="Recycled Off Site - Transfer Station, MRF, EfW"),J7:J30,0))</f>
        <v>0</v>
      </c>
      <c r="AG393" s="232">
        <f t="array" ref="AG393">SUM(IF((E7:E30=190802)*(D7:D30="Demolition"),R7:R30,0))</f>
        <v>0</v>
      </c>
      <c r="AH393" s="232">
        <f t="array" ref="AH393">SUM(IF((E7:E30=190802)*(D7:D30="Demolition"),S7:S30,0))</f>
        <v>0</v>
      </c>
      <c r="AI393" s="192">
        <f t="shared" si="131"/>
        <v>0</v>
      </c>
      <c r="AJ393" s="192">
        <f t="shared" si="132"/>
        <v>0</v>
      </c>
    </row>
    <row r="394" spans="25:36" x14ac:dyDescent="0.25">
      <c r="Y394" s="851"/>
      <c r="Z394" s="868"/>
      <c r="AA394" s="235" t="s">
        <v>123</v>
      </c>
      <c r="AB394" s="234" t="s">
        <v>236</v>
      </c>
      <c r="AC394" s="191">
        <f t="array" ref="AC394">SUM(IF((E7:E30=190802)*(D7:D30="Excavation")*(G7:G30="Re Use On Site"),H7:H30,0))</f>
        <v>0</v>
      </c>
      <c r="AD394" s="191">
        <f t="array" ref="AD394">SUM(IF((E7:E30=190802)*(D7:D30="Excavation"),V7:V30,0))</f>
        <v>0</v>
      </c>
      <c r="AE394" s="191">
        <f t="array" ref="AE394">SUM(IF((E7:E30=190802)*(D7:D30="Excavation")*(G7:G30="Recycled On Site"),H7:H30,0))</f>
        <v>0</v>
      </c>
      <c r="AF394" s="191">
        <f t="array" ref="AF394">SUM(IF((E7:E30=190802)*(D7:D30="Excavation")*(G7:G30="Recycled Off Site - Transfer Station, MRF, EfW"),J7:J30,0))</f>
        <v>0</v>
      </c>
      <c r="AG394" s="191">
        <f t="array" ref="AG394">SUM(IF((E7:E30=190802)*(D7:D30="Excavation"),R7:R30,0))</f>
        <v>0</v>
      </c>
      <c r="AH394" s="191">
        <f t="array" ref="AH394">SUM(IF((E7:E30=190802)*(D7:D30="Excavation"),S7:S30,0))</f>
        <v>0</v>
      </c>
      <c r="AI394" s="192">
        <f t="shared" si="131"/>
        <v>0</v>
      </c>
      <c r="AJ394" s="192">
        <f t="shared" si="132"/>
        <v>0</v>
      </c>
    </row>
    <row r="395" spans="25:36" ht="13.8" thickBot="1" x14ac:dyDescent="0.3">
      <c r="Y395" s="866"/>
      <c r="Z395" s="869"/>
      <c r="AA395" s="235" t="s">
        <v>123</v>
      </c>
      <c r="AB395" s="236" t="s">
        <v>237</v>
      </c>
      <c r="AC395" s="191">
        <f t="array" ref="AC395">SUM(IF((E7:E30=190802)*(D7:D30="Construction")*(G7:G30="Re Use On Site"),H7:H30,0))</f>
        <v>0</v>
      </c>
      <c r="AD395" s="191">
        <f t="array" ref="AD395">SUM(IF((E7:E30=190802)*(D7:D30="Construction"),V7:V30,0))</f>
        <v>0</v>
      </c>
      <c r="AE395" s="191">
        <f t="array" ref="AE395">SUM(IF((E7:E30=190802)*(D7:D30="Construction")*(G7:G30="Recycled On Site"),H7:H30,0))</f>
        <v>0</v>
      </c>
      <c r="AF395" s="191">
        <f t="array" ref="AF395">SUM(IF((E7:E30=190802)*(D7:D30="Construction")*(G7:G30="Recycled Off Site - Transfer Station, MRF, EfW"),J7:J30,0))</f>
        <v>0</v>
      </c>
      <c r="AG395" s="191">
        <f t="array" ref="AG395">SUM(IF((E7:E30=190802)*(D7:D30="Construction"),R7:R30,0))</f>
        <v>0</v>
      </c>
      <c r="AH395" s="191">
        <f t="array" ref="AH395">SUM(IF((E7:E30=190802)*(D7:D30="Construction"),S7:S30,0))</f>
        <v>0</v>
      </c>
      <c r="AI395" s="192">
        <f t="shared" si="131"/>
        <v>0</v>
      </c>
      <c r="AJ395" s="192">
        <f t="shared" si="132"/>
        <v>0</v>
      </c>
    </row>
    <row r="396" spans="25:36" x14ac:dyDescent="0.25">
      <c r="Y396" s="865" t="s">
        <v>218</v>
      </c>
      <c r="Z396" s="867">
        <v>190805</v>
      </c>
      <c r="AA396" s="235" t="s">
        <v>123</v>
      </c>
      <c r="AB396" s="231" t="s">
        <v>235</v>
      </c>
      <c r="AC396" s="232">
        <f t="array" ref="AC396">SUM(IF((E7:E30=190805)*(D7:D30="Demolition")*(G7:G30="Re Use On Site"),H7:H30,0))</f>
        <v>0</v>
      </c>
      <c r="AD396" s="232">
        <f t="array" ref="AD396">SUM(IF((E7:E30=190805)*(D7:D30="Demolition"),V7:V30,0))</f>
        <v>0</v>
      </c>
      <c r="AE396" s="232">
        <f t="array" ref="AE396">SUM(IF((E7:E30=190805)*(D7:D30="Demolition")*(G7:G30="Recycled On Site"),H7:H30,0))</f>
        <v>0</v>
      </c>
      <c r="AF396" s="232">
        <f t="array" ref="AF396">SUM(IF((E7:E30=190805)*(D7:D30="Demolition")*(G7:G30="Recycled Off Site - Transfer Station, MRF, EfW"),J7:J30,0))</f>
        <v>0</v>
      </c>
      <c r="AG396" s="232">
        <f t="array" ref="AG396">SUM(IF((E7:E30=190805)*(D7:D30="Demolition"),R7:R30,0))</f>
        <v>0</v>
      </c>
      <c r="AH396" s="232">
        <f t="array" ref="AH396">SUM(IF((E7:E30=190805)*(D7:D30="Demolition"),S7:S30,0))</f>
        <v>0</v>
      </c>
      <c r="AI396" s="192">
        <f t="shared" si="131"/>
        <v>0</v>
      </c>
      <c r="AJ396" s="192">
        <f t="shared" si="132"/>
        <v>0</v>
      </c>
    </row>
    <row r="397" spans="25:36" x14ac:dyDescent="0.25">
      <c r="Y397" s="851"/>
      <c r="Z397" s="854"/>
      <c r="AA397" s="235" t="s">
        <v>123</v>
      </c>
      <c r="AB397" s="234" t="s">
        <v>236</v>
      </c>
      <c r="AC397" s="191">
        <f t="array" ref="AC397">SUM(IF((E7:E30=190805)*(D7:D30="Excavation")*(G7:G30="Re Use On Site"),H7:H30,0))</f>
        <v>0</v>
      </c>
      <c r="AD397" s="191">
        <f t="array" ref="AD397">SUM(IF((E7:E30=190805)*(D7:D30="Excavation"),V7:V30,0))</f>
        <v>0</v>
      </c>
      <c r="AE397" s="191">
        <f t="array" ref="AE397">SUM(IF((E7:E30=190805)*(D7:D30="Excavation")*(G7:G30="Recycled On Site"),H7:H30,0))</f>
        <v>0</v>
      </c>
      <c r="AF397" s="191">
        <f t="array" ref="AF397">SUM(IF((E7:E30=190805)*(D7:D30="Excavation")*(G7:G30="Recycled Off Site - Transfer Station, MRF, EfW"),J7:J30,0))</f>
        <v>0</v>
      </c>
      <c r="AG397" s="191">
        <f t="array" ref="AG397">SUM(IF((E7:E30=190805)*(D7:D30="Excavation"),R7:R30,0))</f>
        <v>0</v>
      </c>
      <c r="AH397" s="191">
        <f t="array" ref="AH397">SUM(IF((E7:E30=190805)*(D7:D30="Excavation"),S7:S30,0))</f>
        <v>0</v>
      </c>
      <c r="AI397" s="192">
        <f t="shared" si="131"/>
        <v>0</v>
      </c>
      <c r="AJ397" s="192">
        <f t="shared" si="132"/>
        <v>0</v>
      </c>
    </row>
    <row r="398" spans="25:36" ht="13.8" thickBot="1" x14ac:dyDescent="0.3">
      <c r="Y398" s="866"/>
      <c r="Z398" s="870"/>
      <c r="AA398" s="235" t="s">
        <v>123</v>
      </c>
      <c r="AB398" s="236" t="s">
        <v>237</v>
      </c>
      <c r="AC398" s="191">
        <f t="array" ref="AC398">SUM(IF((E7:E30=190805)*(D7:D30="Construction")*(G7:G30="Re Use On Site"),H7:H30,0))</f>
        <v>0</v>
      </c>
      <c r="AD398" s="191">
        <f t="array" ref="AD398">SUM(IF((E7:E30=190805)*(D7:D30="Construction"),V7:V30,0))</f>
        <v>0</v>
      </c>
      <c r="AE398" s="191">
        <f t="array" ref="AE398">SUM(IF((E7:E30=190805)*(D7:D30="Construction")*(G7:G30="Recycled On Site"),H7:H30,0))</f>
        <v>0</v>
      </c>
      <c r="AF398" s="191">
        <f t="array" ref="AF398">SUM(IF((E7:E30=190805)*(D7:D30="Construction")*(G7:G30="Recycled Off Site - Transfer Station, MRF, EfW"),J7:J30,0))</f>
        <v>0</v>
      </c>
      <c r="AG398" s="191">
        <f t="array" ref="AG398">SUM(IF((E7:E30=190805)*(D7:D30="Construction"),R7:R30,0))</f>
        <v>0</v>
      </c>
      <c r="AH398" s="191">
        <f t="array" ref="AH398">SUM(IF((E7:E30=190805)*(D7:D30="Construction"),S7:S30,0))</f>
        <v>0</v>
      </c>
      <c r="AI398" s="192">
        <f t="shared" si="131"/>
        <v>0</v>
      </c>
      <c r="AJ398" s="192">
        <f t="shared" si="132"/>
        <v>0</v>
      </c>
    </row>
    <row r="399" spans="25:36" x14ac:dyDescent="0.25">
      <c r="Y399" s="865" t="s">
        <v>219</v>
      </c>
      <c r="Z399" s="867">
        <v>190904</v>
      </c>
      <c r="AA399" s="235" t="s">
        <v>123</v>
      </c>
      <c r="AB399" s="231" t="s">
        <v>235</v>
      </c>
      <c r="AC399" s="232">
        <f t="array" ref="AC399">SUM(IF((E7:E30=190904)*(D7:D30="Demolition")*(G7:G30="Re Use On Site"),H7:H30,0))</f>
        <v>0</v>
      </c>
      <c r="AD399" s="232">
        <f t="array" ref="AD399">SUM(IF((E7:E30=190904)*(D7:D30="Demolition"),V7:V30,0))</f>
        <v>0</v>
      </c>
      <c r="AE399" s="232">
        <f t="array" ref="AE399">SUM(IF((E7:E30=190904)*(D7:D30="Demolition")*(G7:G30="Recycled On Site"),H7:H30,0))</f>
        <v>0</v>
      </c>
      <c r="AF399" s="232">
        <f t="array" ref="AF399">SUM(IF((E7:E30=190904)*(D7:D30="Demolition")*(G7:G30="Recycled Off Site - Transfer Station, MRF, EfW"),J7:J30,0))</f>
        <v>0</v>
      </c>
      <c r="AG399" s="232">
        <f t="array" ref="AG399">SUM(IF((E7:E30=190904)*(D7:D30="Demolition"),R7:R30,0))</f>
        <v>0</v>
      </c>
      <c r="AH399" s="232">
        <f t="array" ref="AH399">SUM(IF((E7:E30=190904)*(D7:D30="Demolition"),S7:S30,0))</f>
        <v>0</v>
      </c>
      <c r="AI399" s="192">
        <f t="shared" si="131"/>
        <v>0</v>
      </c>
      <c r="AJ399" s="192">
        <f t="shared" si="132"/>
        <v>0</v>
      </c>
    </row>
    <row r="400" spans="25:36" x14ac:dyDescent="0.25">
      <c r="Y400" s="851"/>
      <c r="Z400" s="868"/>
      <c r="AA400" s="235" t="s">
        <v>123</v>
      </c>
      <c r="AB400" s="234" t="s">
        <v>236</v>
      </c>
      <c r="AC400" s="191">
        <f t="array" ref="AC400">SUM(IF((E7:E30=190904)*(D7:D30="Excavation")*(G7:G30="Re Use On Site"),H7:H30,0))</f>
        <v>0</v>
      </c>
      <c r="AD400" s="191">
        <f t="array" ref="AD400">SUM(IF((E7:E30=190904)*(D7:D30="Excavation"),V7:V30,0))</f>
        <v>0</v>
      </c>
      <c r="AE400" s="191">
        <f t="array" ref="AE400">SUM(IF((E7:E30=190904)*(D7:D30="Excavation")*(G7:G30="Recycled On Site"),H7:H30,0))</f>
        <v>0</v>
      </c>
      <c r="AF400" s="191">
        <f t="array" ref="AF400">SUM(IF((E7:E30=190904)*(D7:D30="Excavation")*(G7:G30="Recycled Off Site - Transfer Station, MRF, EfW"),J7:J30,0))</f>
        <v>0</v>
      </c>
      <c r="AG400" s="191">
        <f t="array" ref="AG400">SUM(IF((E7:E30=190904)*(D7:D30="Excavation"),R7:R30,0))</f>
        <v>0</v>
      </c>
      <c r="AH400" s="191">
        <f t="array" ref="AH400">SUM(IF((E7:E30=190904)*(D7:D30="Excavation"),S7:S30,0))</f>
        <v>0</v>
      </c>
      <c r="AI400" s="192">
        <f t="shared" si="131"/>
        <v>0</v>
      </c>
      <c r="AJ400" s="192">
        <f t="shared" si="132"/>
        <v>0</v>
      </c>
    </row>
    <row r="401" spans="25:36" ht="13.8" thickBot="1" x14ac:dyDescent="0.3">
      <c r="Y401" s="866"/>
      <c r="Z401" s="869"/>
      <c r="AA401" s="235" t="s">
        <v>123</v>
      </c>
      <c r="AB401" s="236" t="s">
        <v>237</v>
      </c>
      <c r="AC401" s="191">
        <f t="array" ref="AC401">SUM(IF((E7:E30=190904)*(D7:D30="Construction")*(G7:G30="Re Use On Site"),H7:H30,0))</f>
        <v>0</v>
      </c>
      <c r="AD401" s="191">
        <f t="array" ref="AD401">SUM(IF((E7:E30=190904)*(D7:D30="Construction"),V7:V30,0))</f>
        <v>0</v>
      </c>
      <c r="AE401" s="191">
        <f t="array" ref="AE401">SUM(IF((E7:E30=190904)*(D7:D30="Construction")*(G7:G30="Recycled On Site"),H7:H30,0))</f>
        <v>0</v>
      </c>
      <c r="AF401" s="191">
        <f t="array" ref="AF401">SUM(IF((E7:E30=190904)*(D7:D30="Construction")*(G7:G30="Recycled Off Site - Transfer Station, MRF, EfW"),J7:J30,0))</f>
        <v>0</v>
      </c>
      <c r="AG401" s="191">
        <f t="array" ref="AG401">SUM(IF((E7:E30=190904)*(D7:D30="Construction"),R7:R30,0))</f>
        <v>0</v>
      </c>
      <c r="AH401" s="191">
        <f t="array" ref="AH401">SUM(IF((E7:E30=190904)*(D7:D30="Construction"),S7:S30,0))</f>
        <v>0</v>
      </c>
      <c r="AI401" s="192">
        <f t="shared" si="131"/>
        <v>0</v>
      </c>
      <c r="AJ401" s="192">
        <f t="shared" si="132"/>
        <v>0</v>
      </c>
    </row>
    <row r="402" spans="25:36" x14ac:dyDescent="0.25">
      <c r="Y402" s="865" t="s">
        <v>220</v>
      </c>
      <c r="Z402" s="867">
        <v>190901</v>
      </c>
      <c r="AA402" s="235" t="s">
        <v>123</v>
      </c>
      <c r="AB402" s="231" t="s">
        <v>235</v>
      </c>
      <c r="AC402" s="232">
        <f t="array" ref="AC402">SUM(IF((E7:E30=190901)*(D7:D30="Demolition")*(G7:G30="Re Use On Site"),H7:H30,0))</f>
        <v>0</v>
      </c>
      <c r="AD402" s="232">
        <f t="array" ref="AD402">SUM(IF((E7:E30=190901)*(D7:D30="Demolition"),V7:V30,0))</f>
        <v>0</v>
      </c>
      <c r="AE402" s="232">
        <f t="array" ref="AE402">SUM(IF((E7:E30=190901)*(D7:D30="Demolition")*(G7:G30="Recycled On Site"),H7:H30,0))</f>
        <v>0</v>
      </c>
      <c r="AF402" s="232">
        <f t="array" ref="AF402">SUM(IF((E7:E30=190901)*(D7:D30="Demolition")*(G7:G30="Recycled Off Site - Transfer Station, MRF, EfW"),J7:J30,0))</f>
        <v>0</v>
      </c>
      <c r="AG402" s="232">
        <f t="array" ref="AG402">SUM(IF((E7:E30=190901)*(D7:D30="Demolition"),R7:R30,0))</f>
        <v>0</v>
      </c>
      <c r="AH402" s="232">
        <f t="array" ref="AH402">SUM(IF((E7:E30=190901)*(D7:D30="Demolition"),S7:S30,0))</f>
        <v>0</v>
      </c>
      <c r="AI402" s="192">
        <f t="shared" si="131"/>
        <v>0</v>
      </c>
      <c r="AJ402" s="192">
        <f t="shared" si="132"/>
        <v>0</v>
      </c>
    </row>
    <row r="403" spans="25:36" x14ac:dyDescent="0.25">
      <c r="Y403" s="851"/>
      <c r="Z403" s="854"/>
      <c r="AA403" s="235" t="s">
        <v>123</v>
      </c>
      <c r="AB403" s="234" t="s">
        <v>236</v>
      </c>
      <c r="AC403" s="191">
        <f t="array" ref="AC403">SUM(IF((E7:E30=190901)*(D7:D30="Excavation")*(G7:G30="Re Use On Site"),H7:H30,0))</f>
        <v>0</v>
      </c>
      <c r="AD403" s="191">
        <f t="array" ref="AD403">SUM(IF((E7:E30=190901)*(D7:D30="Excavation"),V7:V30,0))</f>
        <v>0</v>
      </c>
      <c r="AE403" s="191">
        <f t="array" ref="AE403">SUM(IF((E7:E30=190901)*(D7:D30="Excavation")*(G7:G30="Recycled On Site"),H7:H30,0))</f>
        <v>0</v>
      </c>
      <c r="AF403" s="191">
        <f t="array" ref="AF403">SUM(IF((E7:E30=190901)*(D7:D30="Excavation")*(G7:G30="Recycled Off Site - Transfer Station, MRF, EfW"),J7:J30,0))</f>
        <v>0</v>
      </c>
      <c r="AG403" s="191">
        <f t="array" ref="AG403">SUM(IF((E7:E30=190901)*(D7:D30="Excavation"),R7:R30,0))</f>
        <v>0</v>
      </c>
      <c r="AH403" s="191">
        <f t="array" ref="AH403">SUM(IF((E7:E30=190901)*(D7:D30="Excavation"),S7:S30,0))</f>
        <v>0</v>
      </c>
      <c r="AI403" s="192">
        <f t="shared" si="131"/>
        <v>0</v>
      </c>
      <c r="AJ403" s="192">
        <f t="shared" si="132"/>
        <v>0</v>
      </c>
    </row>
    <row r="404" spans="25:36" ht="13.8" thickBot="1" x14ac:dyDescent="0.3">
      <c r="Y404" s="866"/>
      <c r="Z404" s="870"/>
      <c r="AA404" s="218" t="s">
        <v>123</v>
      </c>
      <c r="AB404" s="236" t="s">
        <v>237</v>
      </c>
      <c r="AC404" s="191">
        <f t="array" ref="AC404">SUM(IF((E7:E30=190901)*(D7:D30="Construction")*(G7:G30="Re Use On Site"),H7:H30,0))</f>
        <v>0</v>
      </c>
      <c r="AD404" s="191">
        <f t="array" ref="AD404">SUM(IF((E7:E30=190901)*(D7:D30="Construction"),V7:V30,0))</f>
        <v>0</v>
      </c>
      <c r="AE404" s="191">
        <f t="array" ref="AE404">SUM(IF((E7:E30=190901)*(D7:D30="Construction")*(G7:G30="Recycled On Site"),H7:H30,0))</f>
        <v>0</v>
      </c>
      <c r="AF404" s="191">
        <f t="array" ref="AF404">SUM(IF((E7:E30=190901)*(D7:D30="Construction")*(G7:G30="Recycled Off Site - Transfer Station, MRF, EfW"),J7:J30,0))</f>
        <v>0</v>
      </c>
      <c r="AG404" s="191">
        <f t="array" ref="AG404">SUM(IF((E7:E30=190901)*(D7:D30="Construction"),R7:R30,0))</f>
        <v>0</v>
      </c>
      <c r="AH404" s="191">
        <f t="array" ref="AH404">SUM(IF((E7:E30=190901)*(D7:D30="Construction"),S7:S30,0))</f>
        <v>0</v>
      </c>
      <c r="AI404" s="192">
        <f t="shared" si="131"/>
        <v>0</v>
      </c>
      <c r="AJ404" s="192">
        <f t="shared" si="132"/>
        <v>0</v>
      </c>
    </row>
    <row r="405" spans="25:36" x14ac:dyDescent="0.25">
      <c r="Y405" s="865" t="s">
        <v>221</v>
      </c>
      <c r="Z405" s="867">
        <v>200203</v>
      </c>
      <c r="AA405" s="235" t="s">
        <v>123</v>
      </c>
      <c r="AB405" s="231" t="s">
        <v>235</v>
      </c>
      <c r="AC405" s="232">
        <f t="array" ref="AC405">SUM(IF((E7:E30=200203)*(D7:D30="Demolition")*(G7:G30="Re Use On Site"),H7:H30,0))</f>
        <v>0</v>
      </c>
      <c r="AD405" s="232">
        <f t="array" ref="AD405">SUM(IF((E7:E30=200203)*(D7:D30="Demolition"),V7:V30,0))</f>
        <v>0</v>
      </c>
      <c r="AE405" s="232">
        <f t="array" ref="AE405">SUM(IF((E7:E30=200203)*(D7:D30="Demolition")*(G7:G30="Recycled On Site"),H7:H30,0))</f>
        <v>0</v>
      </c>
      <c r="AF405" s="232">
        <f t="array" ref="AF405">SUM(IF((E7:E30=200203)*(D7:D30="Demolition")*(G7:G30="Recycled Off Site - Transfer Station, MRF, EfW"),J7:J30,0))</f>
        <v>0</v>
      </c>
      <c r="AG405" s="232">
        <f t="array" ref="AG405">SUM(IF((E7:E30=200203)*(D7:D30="Demolition"),R7:R30,0))</f>
        <v>0</v>
      </c>
      <c r="AH405" s="232">
        <f t="array" ref="AH405">SUM(IF((E7:E30=200203)*(D7:D30="Demolition"),S7:S30,0))</f>
        <v>0</v>
      </c>
      <c r="AI405" s="192">
        <f t="shared" si="131"/>
        <v>0</v>
      </c>
      <c r="AJ405" s="192">
        <f t="shared" si="132"/>
        <v>0</v>
      </c>
    </row>
    <row r="406" spans="25:36" x14ac:dyDescent="0.25">
      <c r="Y406" s="851"/>
      <c r="Z406" s="868"/>
      <c r="AA406" s="235" t="s">
        <v>123</v>
      </c>
      <c r="AB406" s="234" t="s">
        <v>236</v>
      </c>
      <c r="AC406" s="191">
        <f t="array" ref="AC406">SUM(IF((E7:E30=200203)*(D7:D30="Excavation")*(G7:G30="Re Use On Site"),H7:H30,0))</f>
        <v>0</v>
      </c>
      <c r="AD406" s="191">
        <f t="array" ref="AD406">SUM(IF((E7:E30=200203)*(D7:D30="Excavation"),V7:V30,0))</f>
        <v>0</v>
      </c>
      <c r="AE406" s="191">
        <f t="array" ref="AE406">SUM(IF((E7:E30=200203)*(D7:D30="Excavation")*(G7:G30="Recycled On Site"),H7:H30,0))</f>
        <v>0</v>
      </c>
      <c r="AF406" s="191">
        <f t="array" ref="AF406">SUM(IF((E7:E30=200203)*(D7:D30="Excavation")*(G7:G30="Recycled Off Site - Transfer Station, MRF, EfW"),J7:J30,0))</f>
        <v>0</v>
      </c>
      <c r="AG406" s="191">
        <f t="array" ref="AG406">SUM(IF((E7:E30=200203)*(D7:D30="Excavation"),R7:R30,0))</f>
        <v>0</v>
      </c>
      <c r="AH406" s="191">
        <f t="array" ref="AH406">SUM(IF((E7:E30=200203)*(D7:D30="Excavation"),S7:S30,0))</f>
        <v>0</v>
      </c>
      <c r="AI406" s="192">
        <f t="shared" si="131"/>
        <v>0</v>
      </c>
      <c r="AJ406" s="192">
        <f t="shared" si="132"/>
        <v>0</v>
      </c>
    </row>
    <row r="407" spans="25:36" ht="13.8" thickBot="1" x14ac:dyDescent="0.3">
      <c r="Y407" s="866"/>
      <c r="Z407" s="869"/>
      <c r="AA407" s="218" t="s">
        <v>123</v>
      </c>
      <c r="AB407" s="236" t="s">
        <v>237</v>
      </c>
      <c r="AC407" s="191">
        <f t="array" ref="AC407">SUM(IF((E7:E30=200203)*(D7:D30="Construction")*(G7:G30="Re Use On Site"),H7:H30,0))</f>
        <v>0</v>
      </c>
      <c r="AD407" s="191">
        <f t="array" ref="AD407">SUM(IF((E7:E30=200203)*(D7:D30="Construction"),V7:V30,0))</f>
        <v>0</v>
      </c>
      <c r="AE407" s="191">
        <f t="array" ref="AE407">SUM(IF((E7:E30=200203)*(D7:D30="Construction")*(G7:G30="Recycled On Site"),H7:H30,0))</f>
        <v>0</v>
      </c>
      <c r="AF407" s="191">
        <f t="array" ref="AF407">SUM(IF((E7:E30=200203)*(D7:D30="Construction")*(G7:G30="Recycled Off Site - Transfer Station, MRF, EfW"),J7:J30,0))</f>
        <v>0</v>
      </c>
      <c r="AG407" s="191">
        <f t="array" ref="AG407">SUM(IF((E7:E30=200203)*(D7:D30="Construction"),R7:R30,0))</f>
        <v>0</v>
      </c>
      <c r="AH407" s="191">
        <f t="array" ref="AH407">SUM(IF((E7:E30=200203)*(D7:D30="Construction"),S7:S30,0))</f>
        <v>0</v>
      </c>
      <c r="AI407" s="192">
        <f t="shared" si="131"/>
        <v>0</v>
      </c>
      <c r="AJ407" s="192">
        <f t="shared" si="132"/>
        <v>0</v>
      </c>
    </row>
    <row r="408" spans="25:36" x14ac:dyDescent="0.25">
      <c r="Y408" s="865" t="s">
        <v>222</v>
      </c>
      <c r="Z408" s="867">
        <v>170504</v>
      </c>
      <c r="AA408" s="218" t="s">
        <v>123</v>
      </c>
      <c r="AB408" s="231" t="s">
        <v>235</v>
      </c>
      <c r="AC408" s="232">
        <f t="array" ref="AC408">SUM(IF((E7:E30=170504)*(F7:F30="NH")*(D7:D30="Demolition")*(G7:G30="Re Use On Site"),H7:H30,0))</f>
        <v>0</v>
      </c>
      <c r="AD408" s="232">
        <f t="array" ref="AD408">SUM(IF((E7:E30=170504)*(F7:F30="NH")*(D7:D30="Demolition"),V7:V30,0))</f>
        <v>0</v>
      </c>
      <c r="AE408" s="232">
        <f t="array" ref="AE408">SUM(IF((E7:E30=170504)*(F7:F30="NH")*(D7:D30="Demolition")*(G7:G30="Recycled On Site"),H7:H30,0))</f>
        <v>0</v>
      </c>
      <c r="AF408" s="232">
        <f t="array" ref="AF408">SUM(IF((E7:E30=170504)*(F7:F30="NH")*(D7:D30="Demolition")*(G7:G30="Recycled Off Site - Transfer Station, MRF, EfW"),J7:J30,0))</f>
        <v>0</v>
      </c>
      <c r="AG408" s="232">
        <f t="array" ref="AG408">SUM(IF((E7:E30=170504)*(F7:F30="NH")*(D7:D30="Demolition"),R7:R30,0))</f>
        <v>0</v>
      </c>
      <c r="AH408" s="232">
        <f t="array" ref="AH408">SUM(IF((E7:E30=170504)*(F7:F30="NH")*(D7:D30="Demolition"),S7:S30,0))</f>
        <v>0</v>
      </c>
      <c r="AI408" s="192">
        <f t="shared" si="131"/>
        <v>0</v>
      </c>
      <c r="AJ408" s="192">
        <f t="shared" si="132"/>
        <v>0</v>
      </c>
    </row>
    <row r="409" spans="25:36" x14ac:dyDescent="0.25">
      <c r="Y409" s="851"/>
      <c r="Z409" s="868"/>
      <c r="AA409" s="218" t="s">
        <v>123</v>
      </c>
      <c r="AB409" s="234" t="s">
        <v>236</v>
      </c>
      <c r="AC409" s="191">
        <f t="array" ref="AC409">SUM(IF((E7:E30=170504)*(F7:F30="NH")*(D7:D30="Excavation")*(G7:G30="Re Use On Site"),H7:H30,0))</f>
        <v>0</v>
      </c>
      <c r="AD409" s="191">
        <f t="array" ref="AD409">SUM(IF((E7:E30=170504)*(F7:F30="NH")*(D7:D30="Excavation"),V7:V30,0))</f>
        <v>0</v>
      </c>
      <c r="AE409" s="191">
        <f t="array" ref="AE409">SUM(IF((E7:E30=170504)*(F7:F30="NH")*(D7:D30="Excavation")*(G7:G30="Recycled On Site"),H7:H30,0))</f>
        <v>0</v>
      </c>
      <c r="AF409" s="191">
        <f t="array" ref="AF409">SUM(IF((E7:E30=170504)*(F7:F30="NH")*(D7:D30="Excavation")*(G7:G30="Recycled Off Site - Transfer Station, MRF, EfW"),J7:J30,0))</f>
        <v>0</v>
      </c>
      <c r="AG409" s="191">
        <f t="array" ref="AG409">SUM(IF((E7:E30=170504)*(F7:F30="NH")*(D7:D30="Excavation"),R7:R30,0))</f>
        <v>0</v>
      </c>
      <c r="AH409" s="191">
        <f t="array" ref="AH409">SUM(IF((E7:E30=170504)*(F7:F30="NH")*(D7:D30="Excavation"),S7:S30,0))</f>
        <v>0</v>
      </c>
      <c r="AI409" s="192">
        <f t="shared" si="131"/>
        <v>0</v>
      </c>
      <c r="AJ409" s="192">
        <f t="shared" si="132"/>
        <v>0</v>
      </c>
    </row>
    <row r="410" spans="25:36" ht="13.8" thickBot="1" x14ac:dyDescent="0.3">
      <c r="Y410" s="866"/>
      <c r="Z410" s="869"/>
      <c r="AA410" s="218" t="s">
        <v>123</v>
      </c>
      <c r="AB410" s="236" t="s">
        <v>237</v>
      </c>
      <c r="AC410" s="191">
        <f t="array" ref="AC410">SUM(IF((E7:E30=170504)*(F7:F30="NH")*(D7:D30="Construction")*(G7:G30="Re Use On Site"),H7:H30,0))</f>
        <v>0</v>
      </c>
      <c r="AD410" s="191">
        <f t="array" ref="AD410">SUM(IF((E7:E30=170504)*(F7:F30="NH")*(D7:D30="Construction"),V7:V30,0))</f>
        <v>0</v>
      </c>
      <c r="AE410" s="191">
        <f t="array" ref="AE410">SUM(IF((E7:E30=170504)*(F7:F30="NH")*(D7:D30="Construction")*(G7:G30="Recycled On Site"),H7:H30,0))</f>
        <v>0</v>
      </c>
      <c r="AF410" s="191">
        <f t="array" ref="AF410">SUM(IF((E7:E30=170504)*(F7:F30="NH")*(D7:D30="Construction")*(G7:G30="Recycled Off Site - Transfer Station, MRF, EfW"),J7:J30,0))</f>
        <v>0</v>
      </c>
      <c r="AG410" s="191">
        <f t="array" ref="AG410">SUM(IF((E7:E30=170504)*(F7:F30="NH")*(D7:D30="Construction"),R7:R30,0))</f>
        <v>0</v>
      </c>
      <c r="AH410" s="191">
        <f t="array" ref="AH410">SUM(IF((E7:E30=170504)*(F7:F30="NH")*(D7:D30="Construction"),S7:S30,0))</f>
        <v>0</v>
      </c>
      <c r="AI410" s="192">
        <f t="shared" si="131"/>
        <v>0</v>
      </c>
      <c r="AJ410" s="192">
        <f t="shared" si="132"/>
        <v>0</v>
      </c>
    </row>
    <row r="411" spans="25:36" x14ac:dyDescent="0.25">
      <c r="Y411" s="856" t="s">
        <v>240</v>
      </c>
      <c r="Z411" s="857">
        <v>200306</v>
      </c>
      <c r="AA411" s="218" t="s">
        <v>123</v>
      </c>
      <c r="AB411" s="231" t="s">
        <v>235</v>
      </c>
      <c r="AC411" s="232">
        <f t="array" ref="AC411">SUM(IF((E7:E30=200306)*(D7:D30="Demolition")*(G7:G30="Re Use On Site"),H7:H30,0))</f>
        <v>0</v>
      </c>
      <c r="AD411" s="232">
        <f t="array" ref="AD411">SUM(IF((E7:E30=200306)*(D7:D30="Demolition"),V7:V30,0))</f>
        <v>0</v>
      </c>
      <c r="AE411" s="232">
        <f t="array" ref="AE411">SUM(IF((E7:E30=200306)*(D7:D30="Demolition")*(G7:G30="Recycled On Site"),H7:H30,0))</f>
        <v>0</v>
      </c>
      <c r="AF411" s="232">
        <f t="array" ref="AF411">SUM(IF((E7:E30=200306)*(D7:D30="Demolition")*(G7:G30="Recycled Off Site - Transfer Station, MRF, EfW"),J7:J30,0))</f>
        <v>0</v>
      </c>
      <c r="AG411" s="232">
        <f t="array" ref="AG411">SUM(IF((E7:E30=200306)*(D7:D30="Demolition"),R7:R30,0))</f>
        <v>0</v>
      </c>
      <c r="AH411" s="232">
        <f t="array" ref="AH411">SUM(IF((E7:E30=200306)*(D7:D30="Demolition"),S7:S30,0))</f>
        <v>0</v>
      </c>
      <c r="AI411" s="192">
        <f t="shared" si="131"/>
        <v>0</v>
      </c>
      <c r="AJ411" s="192">
        <f t="shared" si="132"/>
        <v>0</v>
      </c>
    </row>
    <row r="412" spans="25:36" x14ac:dyDescent="0.25">
      <c r="Y412" s="856"/>
      <c r="Z412" s="857"/>
      <c r="AA412" s="218" t="s">
        <v>123</v>
      </c>
      <c r="AB412" s="237" t="s">
        <v>236</v>
      </c>
      <c r="AC412" s="191">
        <f t="array" ref="AC412">SUM(IF((E7:E30=200306)*(D7:D30="Excavation")*(G7:G30="Re Use On Site"),H7:H30,0))</f>
        <v>0</v>
      </c>
      <c r="AD412" s="191">
        <f t="array" ref="AD412">SUM(IF((E7:E30=200306)*(D7:D30="Excavation"),V7:V30,0))</f>
        <v>0</v>
      </c>
      <c r="AE412" s="191">
        <f t="array" ref="AE412">SUM(IF((E7:E30=200306)*(D7:D30="Excavation")*(G7:G30="Recycled On Site"),H7:H30,0))</f>
        <v>0</v>
      </c>
      <c r="AF412" s="191">
        <f t="array" ref="AF412">SUM(IF((E7:E30=200306)*(D7:D30="Excavation")*(G7:G30="Recycled Off Site - Transfer Station, MRF, EfW"),J7:J30,0))</f>
        <v>0</v>
      </c>
      <c r="AG412" s="191">
        <f t="array" ref="AG412">SUM(IF((E7:E30=200306)*(D7:D30="Excavation"),R7:R30,0))</f>
        <v>0</v>
      </c>
      <c r="AH412" s="191">
        <f t="array" ref="AH412">SUM(IF((E7:E30=200306)*(D7:D30="Excavation"),S7:S30,0))</f>
        <v>0</v>
      </c>
      <c r="AI412" s="192">
        <f t="shared" si="131"/>
        <v>0</v>
      </c>
      <c r="AJ412" s="192">
        <f t="shared" si="132"/>
        <v>0</v>
      </c>
    </row>
    <row r="413" spans="25:36" ht="13.8" thickBot="1" x14ac:dyDescent="0.3">
      <c r="Y413" s="858"/>
      <c r="Z413" s="859"/>
      <c r="AA413" s="235" t="s">
        <v>123</v>
      </c>
      <c r="AB413" s="238" t="s">
        <v>237</v>
      </c>
      <c r="AC413" s="191">
        <f t="array" ref="AC413">SUM(IF((E7:E30=200306)*(D7:D30="Construction")*(G7:G30="Re Use On Site"),H7:H30,0))</f>
        <v>0</v>
      </c>
      <c r="AD413" s="191">
        <f t="array" ref="AD413">SUM(IF((E7:E30=200306)*(D7:D30="Construction"),V7:V30,0))</f>
        <v>0</v>
      </c>
      <c r="AE413" s="191">
        <f t="array" ref="AE413">SUM(IF((E7:E30=200306)*(D7:D30="Construction")*(G7:G30="Recycled On Site"),H7:H30,0))</f>
        <v>0</v>
      </c>
      <c r="AF413" s="191">
        <f t="array" ref="AF413">SUM(IF((E7:E30=200306)*(D7:D30="Construction")*(G7:G30="Recycled Off Site - Transfer Station, MRF, EfW"),J7:J30,0))</f>
        <v>0</v>
      </c>
      <c r="AG413" s="191">
        <f t="array" ref="AG413">SUM(IF((E7:E30=200306)*(D7:D30="Construction"),R7:R30,0))</f>
        <v>0</v>
      </c>
      <c r="AH413" s="191">
        <f t="array" ref="AH413">SUM(IF((E7:E30=200306)*(D7:D30="Construction"),S7:S30,0))</f>
        <v>0</v>
      </c>
      <c r="AI413" s="192">
        <f t="shared" si="131"/>
        <v>0</v>
      </c>
      <c r="AJ413" s="192">
        <f t="shared" si="132"/>
        <v>0</v>
      </c>
    </row>
    <row r="414" spans="25:36" x14ac:dyDescent="0.25">
      <c r="Y414" s="856" t="s">
        <v>224</v>
      </c>
      <c r="Z414" s="857">
        <v>60102</v>
      </c>
      <c r="AA414" s="218" t="s">
        <v>126</v>
      </c>
      <c r="AB414" s="237" t="s">
        <v>235</v>
      </c>
      <c r="AC414" s="232">
        <f t="array" ref="AC414">SUM(IF((E7:E30=60102)*(D7:D30="Demolition")*(G7:G30="Re Use On Site"),H7:H30,0))</f>
        <v>0</v>
      </c>
      <c r="AD414" s="232">
        <f t="array" ref="AD414">SUM(IF((E7:E30=60102)*(D7:D30="Demolition"),V7:V30,0))</f>
        <v>0</v>
      </c>
      <c r="AE414" s="232">
        <f t="array" ref="AE414">SUM(IF((E7:E30=60102)*(D7:D30="Demolition")*(G7:G30="Recycled On Site"),H7:H30,0))</f>
        <v>0</v>
      </c>
      <c r="AF414" s="232">
        <f t="array" ref="AF414">SUM(IF((E7:E30=60102)*(D7:D30="Demolition")*(G7:G30="Recycled Off Site - Transfer Station, MRF, EfW"),J7:J30,0))</f>
        <v>0</v>
      </c>
      <c r="AG414" s="232">
        <f t="array" ref="AG414">SUM(IF((E7:E30=60102)*(D7:D30="Demolition"),R7:R30,0))</f>
        <v>0</v>
      </c>
      <c r="AH414" s="232">
        <f t="array" ref="AH414">SUM(IF((E7:E30=60102)*(D7:D30="Demolition"),S7:S30,0))</f>
        <v>0</v>
      </c>
      <c r="AI414" s="192">
        <f t="shared" si="131"/>
        <v>0</v>
      </c>
      <c r="AJ414" s="192">
        <f t="shared" si="132"/>
        <v>0</v>
      </c>
    </row>
    <row r="415" spans="25:36" x14ac:dyDescent="0.25">
      <c r="Y415" s="856"/>
      <c r="Z415" s="857"/>
      <c r="AA415" s="218" t="s">
        <v>126</v>
      </c>
      <c r="AB415" s="237" t="s">
        <v>236</v>
      </c>
      <c r="AC415" s="191">
        <f t="array" ref="AC415">SUM(IF((E7:E30=60102)*(D7:D30="Excavation")*(G7:G30="Re Use On Site"),H7:H30,0))</f>
        <v>0</v>
      </c>
      <c r="AD415" s="191">
        <f t="array" ref="AD415">SUM(IF((E7:E30=60102)*(D7:D30="Excavation"),V7:V30,0))</f>
        <v>0</v>
      </c>
      <c r="AE415" s="191">
        <f t="array" ref="AE415">SUM(IF((E7:E30=60102)*(D7:D30="Excavation")*(G7:G30="Recycled On Site"),H7:H30,0))</f>
        <v>0</v>
      </c>
      <c r="AF415" s="191">
        <f t="array" ref="AF415">SUM(IF((E7:E30=60102)*(D7:D30="Excavation")*(G7:G30="Recycled Off Site - Transfer Station, MRF, EfW"),J7:J30,0))</f>
        <v>0</v>
      </c>
      <c r="AG415" s="191">
        <f t="array" ref="AG415">SUM(IF((E7:E30=60102)*(D7:D30="Excavation"),R7:R30,0))</f>
        <v>0</v>
      </c>
      <c r="AH415" s="191">
        <f t="array" ref="AH415">SUM(IF((E7:E30=60102)*(D7:D30="Excavation"),S7:S30,0))</f>
        <v>0</v>
      </c>
      <c r="AI415" s="192">
        <f t="shared" si="131"/>
        <v>0</v>
      </c>
      <c r="AJ415" s="192">
        <f t="shared" si="132"/>
        <v>0</v>
      </c>
    </row>
    <row r="416" spans="25:36" ht="13.8" thickBot="1" x14ac:dyDescent="0.3">
      <c r="Y416" s="856"/>
      <c r="Z416" s="857"/>
      <c r="AA416" s="218" t="s">
        <v>126</v>
      </c>
      <c r="AB416" s="237" t="s">
        <v>237</v>
      </c>
      <c r="AC416" s="191">
        <f t="array" ref="AC416">SUM(IF((E7:E30=60102)*(D7:D30="Construction")*(G7:G30="Re Use On Site"),H7:H30,0))</f>
        <v>0</v>
      </c>
      <c r="AD416" s="191">
        <f t="array" ref="AD416">SUM(IF((E7:E30=60102)*(D7:D30="Construction"),V7:V30,0))</f>
        <v>0</v>
      </c>
      <c r="AE416" s="191">
        <f t="array" ref="AE416">SUM(IF((E7:E30=60102)*(D7:D30="Construction")*(G7:G30="Recycled On Site"),H7:H30,0))</f>
        <v>0</v>
      </c>
      <c r="AF416" s="191">
        <f t="array" ref="AF416">SUM(IF((E7:E30=60102)*(D7:D30="Construction")*(G7:G30="Recycled Off Site - Transfer Station, MRF, EfW"),J7:J30,0))</f>
        <v>0</v>
      </c>
      <c r="AG416" s="191">
        <f t="array" ref="AG416">SUM(IF((E7:E30=60102)*(D7:D30="Construction"),R7:R30,0))</f>
        <v>0</v>
      </c>
      <c r="AH416" s="191">
        <f t="array" ref="AH416">SUM(IF((E7:E30=60102)*(D7:D30="Construction"),S7:S30,0))</f>
        <v>0</v>
      </c>
      <c r="AI416" s="192">
        <f t="shared" si="131"/>
        <v>0</v>
      </c>
      <c r="AJ416" s="192">
        <f t="shared" si="132"/>
        <v>0</v>
      </c>
    </row>
    <row r="417" spans="25:36" x14ac:dyDescent="0.25">
      <c r="Y417" s="856" t="s">
        <v>225</v>
      </c>
      <c r="Z417" s="857">
        <v>60106</v>
      </c>
      <c r="AA417" s="218" t="s">
        <v>126</v>
      </c>
      <c r="AB417" s="237" t="s">
        <v>235</v>
      </c>
      <c r="AC417" s="232">
        <f t="array" ref="AC417">SUM(IF((E7:E30=60106)*(D7:D30="Demolition")*(G7:G30="Re Use On Site"),H7:H30,0))</f>
        <v>0</v>
      </c>
      <c r="AD417" s="232">
        <f t="array" ref="AD417">SUM(IF((E7:E30=60106)*(D7:D30="Demolition"),V7:V30,0))</f>
        <v>0</v>
      </c>
      <c r="AE417" s="232">
        <f t="array" ref="AE417">SUM(IF((E7:E30=60106)*(D7:D30="Demolition")*(G7:G30="Recycled On Site"),H7:H30,0))</f>
        <v>0</v>
      </c>
      <c r="AF417" s="232">
        <f t="array" ref="AF417">SUM(IF((E7:E30=60106)*(D7:D30="Demolition")*(G7:G30="Recycled Off Site - Transfer Station, MRF, EfW"),J7:J30,0))</f>
        <v>0</v>
      </c>
      <c r="AG417" s="232">
        <f t="array" ref="AG417">SUM(IF((E7:E30=60106)*(D7:D30="Demolition"),R7:R30,0))</f>
        <v>0</v>
      </c>
      <c r="AH417" s="232">
        <f t="array" ref="AH417">SUM(IF((E7:E30=60106)*(D7:D30="Demolition"),S7:S30,0))</f>
        <v>0</v>
      </c>
      <c r="AI417" s="192">
        <f t="shared" si="131"/>
        <v>0</v>
      </c>
      <c r="AJ417" s="192">
        <f t="shared" si="132"/>
        <v>0</v>
      </c>
    </row>
    <row r="418" spans="25:36" x14ac:dyDescent="0.25">
      <c r="Y418" s="856"/>
      <c r="Z418" s="857"/>
      <c r="AA418" s="218" t="s">
        <v>126</v>
      </c>
      <c r="AB418" s="237" t="s">
        <v>236</v>
      </c>
      <c r="AC418" s="191">
        <f t="array" ref="AC418">SUM(IF((E7:E30=60106)*(D7:D30="Excavation")*(G7:G30="Re Use On Site"),H7:H30,0))</f>
        <v>0</v>
      </c>
      <c r="AD418" s="191">
        <f t="array" ref="AD418">SUM(IF((E7:E30=60106)*(D7:D30="Excavation"),V7:V30,0))</f>
        <v>0</v>
      </c>
      <c r="AE418" s="191">
        <f t="array" ref="AE418">SUM(IF((E7:E30=60106)*(D7:D30="Excavation")*(G7:G30="Recycled On Site"),H7:H30,0))</f>
        <v>0</v>
      </c>
      <c r="AF418" s="191">
        <f t="array" ref="AF418">SUM(IF((E7:E30=60106)*(D7:D30="Excavation")*(G7:G30="Recycled Off Site - Transfer Station, MRF, EfW"),J7:J30,0))</f>
        <v>0</v>
      </c>
      <c r="AG418" s="191">
        <f t="array" ref="AG418">SUM(IF((E7:E30=60106)*(D7:D30="Excavation"),R7:R30,0))</f>
        <v>0</v>
      </c>
      <c r="AH418" s="191">
        <f t="array" ref="AH418">SUM(IF((E7:E30=60106)*(D7:D30="Excavation"),S7:S30,0))</f>
        <v>0</v>
      </c>
      <c r="AI418" s="192">
        <f t="shared" si="131"/>
        <v>0</v>
      </c>
      <c r="AJ418" s="192">
        <f t="shared" si="132"/>
        <v>0</v>
      </c>
    </row>
    <row r="419" spans="25:36" ht="13.8" thickBot="1" x14ac:dyDescent="0.3">
      <c r="Y419" s="856"/>
      <c r="Z419" s="857"/>
      <c r="AA419" s="218" t="s">
        <v>126</v>
      </c>
      <c r="AB419" s="237" t="s">
        <v>237</v>
      </c>
      <c r="AC419" s="191">
        <f t="array" ref="AC419">SUM(IF((E7:E30=60106)*(D7:D30="Construction")*(G7:G30="Re Use On Site"),H7:H30,0))</f>
        <v>0</v>
      </c>
      <c r="AD419" s="191">
        <f t="array" ref="AD419">SUM(IF((E7:E30=60106)*(D7:D30="Construction"),V7:V30,0))</f>
        <v>0</v>
      </c>
      <c r="AE419" s="191">
        <f t="array" ref="AE419">SUM(IF((E7:E30=60106)*(D7:D30="Construction")*(G7:G30="Recycled On Site"),H7:H30,0))</f>
        <v>0</v>
      </c>
      <c r="AF419" s="191">
        <f t="array" ref="AF419">SUM(IF((E7:E30=60106)*(D7:D30="Construction")*(G7:G30="Recycled Off Site - Transfer Station, MRF, EfW"),J7:J30,0))</f>
        <v>0</v>
      </c>
      <c r="AG419" s="191">
        <f t="array" ref="AG419">SUM(IF((E7:E30=60106)*(D7:D30="Construction"),R7:R30,0))</f>
        <v>0</v>
      </c>
      <c r="AH419" s="191">
        <f t="array" ref="AH419">SUM(IF((E7:E30=60106)*(D7:D30="Construction"),S7:S30,0))</f>
        <v>0</v>
      </c>
      <c r="AI419" s="192">
        <f t="shared" si="131"/>
        <v>0</v>
      </c>
      <c r="AJ419" s="192">
        <f t="shared" si="132"/>
        <v>0</v>
      </c>
    </row>
    <row r="420" spans="25:36" x14ac:dyDescent="0.25">
      <c r="Y420" s="856" t="s">
        <v>226</v>
      </c>
      <c r="Z420" s="857">
        <v>60101</v>
      </c>
      <c r="AA420" s="218" t="s">
        <v>126</v>
      </c>
      <c r="AB420" s="237" t="s">
        <v>235</v>
      </c>
      <c r="AC420" s="232">
        <f t="array" ref="AC420">SUM(IF((E7:E10=60101)*(D7:D10="Demolition")*(G7:G10="Re Use On Site"),H7:H10,0))</f>
        <v>0</v>
      </c>
      <c r="AD420" s="232">
        <f t="array" ref="AD420">SUM(IF((E7:E10=60101)*(D7:D10="Demolition"),V7:V10,0))</f>
        <v>0</v>
      </c>
      <c r="AE420" s="232">
        <f t="array" ref="AE420">SUM(IF((E7:E10=60101)*(D7:D10="Demolition")*(G7:G10="Recycled On Site"),H7:H10,0))</f>
        <v>0</v>
      </c>
      <c r="AF420" s="232">
        <f t="array" ref="AF420">SUM(IF((E7:E10=60101)*(D7:D10="Demolition")*(G7:G10="Recycled Off Site - Transfer Station, MRF, EfW"),J7:J10,0))</f>
        <v>0</v>
      </c>
      <c r="AG420" s="232">
        <f t="array" ref="AG420">SUM(IF((E7:E10=60101)*(D7:D10="Demolition"),R7:R10,0))</f>
        <v>0</v>
      </c>
      <c r="AH420" s="232">
        <f t="array" ref="AH420">SUM(IF((E7:E10=60101)*(D7:D10="Demolition"),S7:S10,0))</f>
        <v>0</v>
      </c>
      <c r="AI420" s="192">
        <f t="shared" si="131"/>
        <v>0</v>
      </c>
      <c r="AJ420" s="192">
        <f t="shared" si="132"/>
        <v>0</v>
      </c>
    </row>
    <row r="421" spans="25:36" x14ac:dyDescent="0.25">
      <c r="Y421" s="856"/>
      <c r="Z421" s="857"/>
      <c r="AA421" s="218" t="s">
        <v>126</v>
      </c>
      <c r="AB421" s="237" t="s">
        <v>236</v>
      </c>
      <c r="AC421" s="191">
        <f t="array" ref="AC421">SUM(IF((E7:E10=60101)*(D7:D10="Excavation")*(G7:G10="Re Use On Site"),H7:H10,0))</f>
        <v>0</v>
      </c>
      <c r="AD421" s="191">
        <f t="array" ref="AD421">SUM(IF((E7:E10=60101)*(D7:D10="Excavation"),V7:V10,0))</f>
        <v>0</v>
      </c>
      <c r="AE421" s="191">
        <f t="array" ref="AE421">SUM(IF((E7:E10=60101)*(D7:D10="Excavation")*(G7:G10="Recycled On Site"),H7:H10,0))</f>
        <v>0</v>
      </c>
      <c r="AF421" s="191">
        <f t="array" ref="AF421">SUM(IF((E7:E10=60101)*(D7:D10="Excavation")*(G7:G10="Recycled Off Site - Transfer Station, MRF, EfW"),J7:J10,0))</f>
        <v>0</v>
      </c>
      <c r="AG421" s="191">
        <f t="array" ref="AG421">SUM(IF((E7:E10=60101)*(D7:D10="Excavation"),R7:R10,0))</f>
        <v>0</v>
      </c>
      <c r="AH421" s="191">
        <f t="array" ref="AH421">SUM(IF((E7:E10=60101)*(D7:D10="Excavation"),S7:S10,0))</f>
        <v>0</v>
      </c>
      <c r="AI421" s="192">
        <f t="shared" si="131"/>
        <v>0</v>
      </c>
      <c r="AJ421" s="192">
        <f t="shared" si="132"/>
        <v>0</v>
      </c>
    </row>
    <row r="422" spans="25:36" ht="13.8" thickBot="1" x14ac:dyDescent="0.3">
      <c r="Y422" s="856"/>
      <c r="Z422" s="857"/>
      <c r="AA422" s="218" t="s">
        <v>126</v>
      </c>
      <c r="AB422" s="237" t="s">
        <v>237</v>
      </c>
      <c r="AC422" s="191">
        <f t="array" ref="AC422">SUM(IF((E7:E10=60101)*(D7:D10="Construction")*(G7:G10="Re Use On Site"),H7:H10,0))</f>
        <v>0</v>
      </c>
      <c r="AD422" s="191">
        <f t="array" ref="AD422">SUM(IF((E7:E10=60101)*(D7:D10="Construction"),V7:V10,0))</f>
        <v>0</v>
      </c>
      <c r="AE422" s="191">
        <f t="array" ref="AE422">SUM(IF((E7:E10=60101)*(D7:D10="Construction")*(G7:G10="Recycled On Site"),H7:H10,0))</f>
        <v>0</v>
      </c>
      <c r="AF422" s="191">
        <f t="array" ref="AF422">SUM(IF((E7:E10=60101)*(D7:D10="Construction")*(G7:G10="Recycled Off Site - Transfer Station, MRF, EfW"),J7:J10,0))</f>
        <v>0</v>
      </c>
      <c r="AG422" s="191">
        <f t="array" ref="AG422">SUM(IF((E7:E10=60101)*(D7:D10="Construction"),R7:R10,0))</f>
        <v>0</v>
      </c>
      <c r="AH422" s="191">
        <f t="array" ref="AH422">SUM(IF((E7:E10=60101)*(D7:D10="Construction"),S7:S10,0))</f>
        <v>0</v>
      </c>
      <c r="AI422" s="192">
        <f t="shared" si="131"/>
        <v>0</v>
      </c>
      <c r="AJ422" s="192">
        <f t="shared" si="132"/>
        <v>0</v>
      </c>
    </row>
    <row r="423" spans="25:36" x14ac:dyDescent="0.25">
      <c r="Y423" s="856" t="s">
        <v>227</v>
      </c>
      <c r="Z423" s="857">
        <v>60201</v>
      </c>
      <c r="AA423" s="218" t="s">
        <v>126</v>
      </c>
      <c r="AB423" s="237" t="s">
        <v>235</v>
      </c>
      <c r="AC423" s="232">
        <f t="array" ref="AC423">SUM(IF((E7:E30=60201)*(D7:D30="Demolition")*(G7:G30="Re Use On Site"),H7:H30,0))</f>
        <v>0</v>
      </c>
      <c r="AD423" s="232">
        <f t="array" ref="AD423">SUM(IF((E7:E30=60201)*(D7:D30="Demolition"),V7:V30,0))</f>
        <v>0</v>
      </c>
      <c r="AE423" s="232">
        <f t="array" ref="AE423">SUM(IF((E7:E30=60201)*(D7:D30="Demolition")*(G7:G30="Recycled On Site"),H7:H30,0))</f>
        <v>0</v>
      </c>
      <c r="AF423" s="232">
        <f t="array" ref="AF423">SUM(IF((E7:E30=60201)*(D7:D30="Demolition")*(G7:G30="Recycled Off Site - Transfer Station, MRF, EfW"),J7:J30,0))</f>
        <v>0</v>
      </c>
      <c r="AG423" s="232">
        <f t="array" ref="AG423">SUM(IF((E7:E30=60201)*(D7:D30="Demolition"),R7:R30,0))</f>
        <v>0</v>
      </c>
      <c r="AH423" s="232">
        <f t="array" ref="AH423">SUM(IF((E7:E30=60201)*(D7:D30="Demolition"),S7:S30,0))</f>
        <v>0</v>
      </c>
      <c r="AI423" s="192">
        <f t="shared" si="131"/>
        <v>0</v>
      </c>
      <c r="AJ423" s="192">
        <f t="shared" si="132"/>
        <v>0</v>
      </c>
    </row>
    <row r="424" spans="25:36" x14ac:dyDescent="0.25">
      <c r="Y424" s="856"/>
      <c r="Z424" s="857"/>
      <c r="AA424" s="218" t="s">
        <v>126</v>
      </c>
      <c r="AB424" s="237" t="s">
        <v>236</v>
      </c>
      <c r="AC424" s="191">
        <f t="array" ref="AC424">SUM(IF((E7:E30=60201)*(D7:D30="Excavation")*(G7:G30="Re Use On Site"),H7:H30,0))</f>
        <v>0</v>
      </c>
      <c r="AD424" s="191">
        <f t="array" ref="AD424">SUM(IF((E7:E30=60201)*(D7:D30="Excavation"),V7:V30,0))</f>
        <v>0</v>
      </c>
      <c r="AE424" s="191">
        <f t="array" ref="AE424">SUM(IF((E7:E30=60201)*(D7:D30="Excavation")*(G7:G30="Recycled On Site"),H7:H30,0))</f>
        <v>0</v>
      </c>
      <c r="AF424" s="191">
        <f t="array" ref="AF424">SUM(IF((E7:E30=60201)*(D7:D30="Excavation")*(G7:G30="Recycled Off Site - Transfer Station, MRF, EfW"),J7:J30,0))</f>
        <v>0</v>
      </c>
      <c r="AG424" s="191">
        <f t="array" ref="AG424">SUM(IF((E7:E30=60201)*(D7:D30="Excavation"),R7:R30,0))</f>
        <v>0</v>
      </c>
      <c r="AH424" s="191">
        <f t="array" ref="AH424">SUM(IF((E7:E30=60201)*(D7:D30="Excavation"),S7:S30,0))</f>
        <v>0</v>
      </c>
      <c r="AI424" s="192">
        <f t="shared" si="131"/>
        <v>0</v>
      </c>
      <c r="AJ424" s="192">
        <f t="shared" si="132"/>
        <v>0</v>
      </c>
    </row>
    <row r="425" spans="25:36" ht="13.8" thickBot="1" x14ac:dyDescent="0.3">
      <c r="Y425" s="856"/>
      <c r="Z425" s="857"/>
      <c r="AA425" s="218" t="s">
        <v>126</v>
      </c>
      <c r="AB425" s="237" t="s">
        <v>237</v>
      </c>
      <c r="AC425" s="191">
        <f t="array" ref="AC425">SUM(IF((E7:E30=60201)*(D7:D30="Construction")*(G7:G30="Re Use On Site"),H7:H30,0))</f>
        <v>0</v>
      </c>
      <c r="AD425" s="191">
        <f t="array" ref="AD425">SUM(IF((E7:E30=60201)*(D7:D30="Construction"),V7:V30,0))</f>
        <v>0</v>
      </c>
      <c r="AE425" s="191">
        <f t="array" ref="AE425">SUM(IF((E7:E30=60201)*(D7:D30="Construction")*(G7:G30="Recycled On Site"),H7:H30,0))</f>
        <v>0</v>
      </c>
      <c r="AF425" s="191">
        <f t="array" ref="AF425">SUM(IF((E7:E30=60201)*(D7:D30="Construction")*(G7:G30="Recycled Off Site - Transfer Station, MRF, EfW"),J7:J30,0))</f>
        <v>0</v>
      </c>
      <c r="AG425" s="191">
        <f t="array" ref="AG425">SUM(IF((E7:E30=60201)*(D7:D30="Construction"),R7:R30,0))</f>
        <v>0</v>
      </c>
      <c r="AH425" s="191">
        <f t="array" ref="AH425">SUM(IF((E7:E30=60201)*(D7:D30="Construction"),S7:S30,0))</f>
        <v>0</v>
      </c>
      <c r="AI425" s="192">
        <f t="shared" si="131"/>
        <v>0</v>
      </c>
      <c r="AJ425" s="192">
        <f t="shared" si="132"/>
        <v>0</v>
      </c>
    </row>
    <row r="426" spans="25:36" x14ac:dyDescent="0.25">
      <c r="Y426" s="856" t="s">
        <v>228</v>
      </c>
      <c r="Z426" s="857">
        <v>60205</v>
      </c>
      <c r="AA426" s="218" t="s">
        <v>126</v>
      </c>
      <c r="AB426" s="237" t="s">
        <v>235</v>
      </c>
      <c r="AC426" s="232">
        <f t="array" ref="AC426">SUM(IF((E7:E30=60205)*(D7:D30="Demolition")*(G7:G30="Re Use On Site"),H7:H30,0))</f>
        <v>0</v>
      </c>
      <c r="AD426" s="232">
        <f t="array" ref="AD426">SUM(IF((E7:E30=60205)*(D7:D30="Demolition"),V7:V30,0))</f>
        <v>0</v>
      </c>
      <c r="AE426" s="232">
        <f t="array" ref="AE426">SUM(IF((E7:E30=60205)*(D7:D30="Demolition")*(G7:G30="Recycled On Site"),H7:H30,0))</f>
        <v>0</v>
      </c>
      <c r="AF426" s="232">
        <f t="array" ref="AF426">SUM(IF((E7:E30=60205)*(D7:D30="Demolition")*(G7:G30="Recycled Off Site - Transfer Station, MRF, EfW"),J7:J30,0))</f>
        <v>0</v>
      </c>
      <c r="AG426" s="232">
        <f t="array" ref="AG426">SUM(IF((E7:E30=60205)*(D7:D30="Demolition"),R7:R30,0))</f>
        <v>0</v>
      </c>
      <c r="AH426" s="232">
        <f t="array" ref="AH426">SUM(IF((E7:E30=60205)*(D7:D30="Demolition"),S7:S30,0))</f>
        <v>0</v>
      </c>
      <c r="AI426" s="192">
        <f t="shared" si="131"/>
        <v>0</v>
      </c>
      <c r="AJ426" s="192">
        <f t="shared" si="132"/>
        <v>0</v>
      </c>
    </row>
    <row r="427" spans="25:36" x14ac:dyDescent="0.25">
      <c r="Y427" s="856"/>
      <c r="Z427" s="857"/>
      <c r="AA427" s="218" t="s">
        <v>126</v>
      </c>
      <c r="AB427" s="237" t="s">
        <v>236</v>
      </c>
      <c r="AC427" s="191">
        <f t="array" ref="AC427">SUM(IF((E7:E30=60205)*(D7:D30="Excavation")*(G7:G30="Re Use On Site"),H7:H30,0))</f>
        <v>0</v>
      </c>
      <c r="AD427" s="191">
        <f t="array" ref="AD427">SUM(IF((E7:E30=60205)*(D7:D30="Excavation"),V7:V30,0))</f>
        <v>0</v>
      </c>
      <c r="AE427" s="191">
        <f t="array" ref="AE427">SUM(IF((E7:E30=60205)*(D7:D30="Excavation")*(G7:G30="Recycled On Site"),H7:H30,0))</f>
        <v>0</v>
      </c>
      <c r="AF427" s="191">
        <f t="array" ref="AF427">SUM(IF((E7:E30=60205)*(D7:D30="Excavation")*(G7:G30="Recycled Off Site - Transfer Station, MRF, EfW"),J7:J30,0))</f>
        <v>0</v>
      </c>
      <c r="AG427" s="191">
        <f t="array" ref="AG427">SUM(IF((E7:E30=60205)*(D7:D30="Excavation"),R7:R30,0))</f>
        <v>0</v>
      </c>
      <c r="AH427" s="191">
        <f t="array" ref="AH427">SUM(IF((E7:E30=60205)*(D7:D30="Excavation"),S7:S30,0))</f>
        <v>0</v>
      </c>
      <c r="AI427" s="192">
        <f t="shared" si="131"/>
        <v>0</v>
      </c>
      <c r="AJ427" s="192">
        <f t="shared" si="132"/>
        <v>0</v>
      </c>
    </row>
    <row r="428" spans="25:36" ht="13.8" thickBot="1" x14ac:dyDescent="0.3">
      <c r="Y428" s="858"/>
      <c r="Z428" s="859"/>
      <c r="AA428" s="235" t="s">
        <v>126</v>
      </c>
      <c r="AB428" s="239" t="s">
        <v>237</v>
      </c>
      <c r="AC428" s="191">
        <f t="array" ref="AC428">SUM(IF((E7:E30=60205)*(D7:D30="Construction")*(G7:G30="Re Use On Site"),H7:H30,0))</f>
        <v>0</v>
      </c>
      <c r="AD428" s="191">
        <f t="array" ref="AD428">SUM(IF((E7:E30=60205)*(D7:D30="Construction"),V7:V30,0))</f>
        <v>0</v>
      </c>
      <c r="AE428" s="191">
        <f t="array" ref="AE428">SUM(IF((E7:E30=60205)*(D7:D30="Construction")*(G7:G30="Recycled On Site"),H7:H30,0))</f>
        <v>0</v>
      </c>
      <c r="AF428" s="191">
        <f t="array" ref="AF428">SUM(IF((E7:E30=60205)*(D7:D30="Construction")*(G7:G30="Recycled Off Site - Transfer Station, MRF, EfW"),J7:J30,0))</f>
        <v>0</v>
      </c>
      <c r="AG428" s="191">
        <f t="array" ref="AG428">SUM(IF((E7:E30=60205)*(D7:D30="Construction"),R7:R30,0))</f>
        <v>0</v>
      </c>
      <c r="AH428" s="191">
        <f t="array" ref="AH428">SUM(IF((E7:E30=60205)*(D7:D30="Construction"),S7:S30,0))</f>
        <v>0</v>
      </c>
      <c r="AI428" s="192">
        <f t="shared" si="131"/>
        <v>0</v>
      </c>
      <c r="AJ428" s="192">
        <f t="shared" si="132"/>
        <v>0</v>
      </c>
    </row>
    <row r="429" spans="25:36" x14ac:dyDescent="0.25">
      <c r="Y429" s="858" t="s">
        <v>229</v>
      </c>
      <c r="Z429" s="862">
        <v>200111</v>
      </c>
      <c r="AA429" s="218" t="s">
        <v>123</v>
      </c>
      <c r="AB429" s="237" t="s">
        <v>235</v>
      </c>
      <c r="AC429" s="232">
        <f t="array" ref="AC429">SUM(IF((E7:E30=200111)*(D7:D30="Demolition")*(G7:G30="Re Use On Site"),H7:H30,0))</f>
        <v>0</v>
      </c>
      <c r="AD429" s="232">
        <f t="array" ref="AD429">SUM(IF((E7:E30=200111)*(D7:D30="Demolition"),V7:V30,0))</f>
        <v>0</v>
      </c>
      <c r="AE429" s="232">
        <f t="array" ref="AE429">SUM(IF((E7:E30=200111)*(D7:D30="Demolition")*(G7:G30="Recycled On Site"),H7:H30,0))</f>
        <v>0</v>
      </c>
      <c r="AF429" s="232">
        <f t="array" ref="AF429">SUM(IF((E7:E30=200111)*(D7:D30="Demolition")*(G7:G30="Recycled Off Site - Transfer Station, MRF, EfW"),J7:J30,0))</f>
        <v>0</v>
      </c>
      <c r="AG429" s="232">
        <f t="array" ref="AG429">SUM(IF((E7:E30=200111)*(D7:D30="Demolition"),R7:R30,0))</f>
        <v>0</v>
      </c>
      <c r="AH429" s="232">
        <f t="array" ref="AH429">SUM(IF((E7:E30=200111)*(D7:D30="Demolition"),S7:S30,0))</f>
        <v>0</v>
      </c>
      <c r="AI429" s="192">
        <f t="shared" si="131"/>
        <v>0</v>
      </c>
      <c r="AJ429" s="192">
        <f t="shared" si="132"/>
        <v>0</v>
      </c>
    </row>
    <row r="430" spans="25:36" x14ac:dyDescent="0.25">
      <c r="Y430" s="860"/>
      <c r="Z430" s="863"/>
      <c r="AA430" s="218" t="s">
        <v>123</v>
      </c>
      <c r="AB430" s="237" t="s">
        <v>236</v>
      </c>
      <c r="AC430" s="191">
        <f t="array" ref="AC430">SUM(IF((E7:E30=200111)*(D7:D30="Excavation")*(G7:G30="Re Use On Site"),H7:H30,0))</f>
        <v>0</v>
      </c>
      <c r="AD430" s="191">
        <f t="array" ref="AD430">SUM(IF((E7:E30=200111)*(D7:D30="Excavation"),V7:V30,0))</f>
        <v>0</v>
      </c>
      <c r="AE430" s="191">
        <f t="array" ref="AE430">SUM(IF((E7:E30=200111)*(D7:D30="Excavation")*(G7:G30="Recycled On Site"),H7:H30,0))</f>
        <v>0</v>
      </c>
      <c r="AF430" s="191">
        <f t="array" ref="AF430">SUM(IF((E7:E30=200111)*(D7:D30="Excavation")*(G7:G30="Recycled Off Site - Transfer Station, MRF, EfW"),J7:J30,0))</f>
        <v>0</v>
      </c>
      <c r="AG430" s="191">
        <f t="array" ref="AG430">SUM(IF((E7:E30=200111)*(D7:D30="Excavation"),R7:R30,0))</f>
        <v>0</v>
      </c>
      <c r="AH430" s="191">
        <f t="array" ref="AH430">SUM(IF((E7:E30=200111)*(D7:D30="Excavation"),S7:S30,0))</f>
        <v>0</v>
      </c>
      <c r="AI430" s="192">
        <f t="shared" si="131"/>
        <v>0</v>
      </c>
      <c r="AJ430" s="192">
        <f t="shared" si="132"/>
        <v>0</v>
      </c>
    </row>
    <row r="431" spans="25:36" ht="13.8" thickBot="1" x14ac:dyDescent="0.3">
      <c r="Y431" s="861"/>
      <c r="Z431" s="864"/>
      <c r="AA431" s="221" t="s">
        <v>123</v>
      </c>
      <c r="AB431" s="240" t="s">
        <v>237</v>
      </c>
      <c r="AC431" s="191">
        <f t="array" ref="AC431">SUM(IF((E7:E30=200111)*(D7:D30="Construction")*(G7:G30="Re Use On Site"),H7:H30,0))</f>
        <v>0</v>
      </c>
      <c r="AD431" s="191">
        <f t="array" ref="AD431">SUM(IF((E7:E30=200111)*(D7:D30="Construction"),V7:V30,0))</f>
        <v>0</v>
      </c>
      <c r="AE431" s="191">
        <f t="array" ref="AE431">SUM(IF((E7:E30=200111)*(D7:D30="Construction")*(G7:G30="Recycled On Site"),H7:H30,0))</f>
        <v>0</v>
      </c>
      <c r="AF431" s="191">
        <f t="array" ref="AF431">SUM(IF((E7:E30=200111)*(D7:D30="Construction")*(G7:G30="Recycled Off Site - Transfer Station, MRF, EfW"),J7:J30,0))</f>
        <v>0</v>
      </c>
      <c r="AG431" s="191">
        <f t="array" ref="AG431">SUM(IF((E7:E30=200111)*(D7:D30="Construction"),R7:R30,0))</f>
        <v>0</v>
      </c>
      <c r="AH431" s="191">
        <f t="array" ref="AH431">SUM(IF((E7:E30=200111)*(D7:D30="Construction"),S7:S30,0))</f>
        <v>0</v>
      </c>
      <c r="AI431" s="192">
        <f t="shared" si="131"/>
        <v>0</v>
      </c>
      <c r="AJ431" s="192">
        <f t="shared" si="132"/>
        <v>0</v>
      </c>
    </row>
    <row r="432" spans="25:36" x14ac:dyDescent="0.25">
      <c r="Y432" s="850" t="s">
        <v>120</v>
      </c>
      <c r="Z432" s="853">
        <v>150106</v>
      </c>
      <c r="AA432" s="241" t="s">
        <v>123</v>
      </c>
      <c r="AB432" s="242" t="s">
        <v>235</v>
      </c>
      <c r="AC432" s="232" t="e">
        <f t="array" ref="AC432">SUM(IF((C7:C30="Dry Mixed Recyclables (DMR - paper, cardboard, metal, plastic glass)")*(D7:L30="Demolition")*(G7:G30="Re Use On Site"),H7:H30,0))</f>
        <v>#VALUE!</v>
      </c>
      <c r="AD432" s="232" t="e">
        <f t="array" ref="AD432">SUM(IF((C7:C30="Dry Mixed Recyclables (DMR - paper, cardboard, metal, plastic glass)")*(D7:L30="Demolition"),V7:V30,0))</f>
        <v>#VALUE!</v>
      </c>
      <c r="AE432" s="232">
        <f t="array" ref="AE432">SUM(IF((C7:C30="Dry Mixed Recyclables (DMR - paper, cardboard, metal, plastic glass)")*(D7:D30="Demolition")*(G7:G30="Recycled On Site"),H7:H30,0))</f>
        <v>0</v>
      </c>
      <c r="AF432" s="232">
        <f t="array" ref="AF432">SUM(IF((C7:C30="Dry Mixed Recyclables (DMR - paper, cardboard, metal, plastic glass)")*(D7:D30="Demolition")*(G7:G30="Recycled Off Site - Transfer Station, MRF, EfW"),J7:J30,0))</f>
        <v>0</v>
      </c>
      <c r="AG432" s="232">
        <f t="array" ref="AG432">SUM(IF((C7:C30="Dry Mixed Recyclables (DMR - paper, cardboard, metal, plastic glass)")*(D7:D30="Demolition"),R7:R30,0))</f>
        <v>0</v>
      </c>
      <c r="AH432" s="232">
        <f t="array" ref="AH432">SUM(IF((C7:C30="Dry Mixed Recyclables (DMR - paper, cardboard, metal, plastic glass)")*(D7:D30="Demolition"),S7:S30,0))</f>
        <v>0</v>
      </c>
      <c r="AI432" s="232" t="e">
        <f t="shared" ref="AI432:AI434" si="133">AC432+AD432+AE432+AF432+AH432</f>
        <v>#VALUE!</v>
      </c>
      <c r="AJ432" s="243" t="e">
        <f t="shared" ref="AJ432:AJ434" si="134">AD432+AF432+AH432</f>
        <v>#VALUE!</v>
      </c>
    </row>
    <row r="433" spans="25:36" x14ac:dyDescent="0.25">
      <c r="Y433" s="851"/>
      <c r="Z433" s="854"/>
      <c r="AA433" s="218" t="s">
        <v>123</v>
      </c>
      <c r="AB433" s="244" t="s">
        <v>236</v>
      </c>
      <c r="AC433" s="245" t="e">
        <f t="array" ref="AC433">SUM(IF((C7:C30="Dry Mixed Recyclables (DMR - paper, cardboard, metal, plastic glass)")*(D7:L30="Excavation")*(G7:G30="Re Use On Site"),H7:H30,0))</f>
        <v>#VALUE!</v>
      </c>
      <c r="AD433" s="245" t="e">
        <f t="array" ref="AD433">SUM(IF((C7:C30="Dry Mixed Recyclables (DMR - paper, cardboard, metal, plastic glass)")*(D7:L30="Excavation"),V7:V30,0))</f>
        <v>#VALUE!</v>
      </c>
      <c r="AE433" s="245">
        <f t="array" ref="AE433">SUM(IF((C7:C30="Dry Mixed Recyclables (DMR - paper, cardboard, metal, plastic glass)")*(D7:D30="Excavation")*(G7:G30="Recycled On Site"),H7:H30,0))</f>
        <v>0</v>
      </c>
      <c r="AF433" s="245">
        <f t="array" ref="AF433">SUM(IF((C7:C30="Dry Mixed Recyclables (DMR - paper, cardboard, metal, plastic glass)")*(D7:D30="Excavation")*(G7:G30="Recycled Off Site - Transfer Station, MRF, EfW"),J7:J30,0))</f>
        <v>0</v>
      </c>
      <c r="AG433" s="245">
        <f t="array" ref="AG433">SUM(IF((C7:C30="Dry Mixed Recyclables (DMR - paper, cardboard, metal, plastic glass)")*(D7:D30="Excavation"),R7:R30,0))</f>
        <v>0</v>
      </c>
      <c r="AH433" s="245">
        <f t="array" ref="AH433">SUM(IF((C7:C30="Dry Mixed Recyclables (DMR - paper, cardboard, metal, plastic glass)")*(D7:D30="Excavation"),S7:S30,0))</f>
        <v>0</v>
      </c>
      <c r="AI433" s="245" t="e">
        <f t="shared" si="133"/>
        <v>#VALUE!</v>
      </c>
      <c r="AJ433" s="246" t="e">
        <f t="shared" si="134"/>
        <v>#VALUE!</v>
      </c>
    </row>
    <row r="434" spans="25:36" ht="13.8" thickBot="1" x14ac:dyDescent="0.3">
      <c r="Y434" s="852"/>
      <c r="Z434" s="855"/>
      <c r="AA434" s="221" t="s">
        <v>123</v>
      </c>
      <c r="AB434" s="247" t="s">
        <v>237</v>
      </c>
      <c r="AC434" s="248" t="e">
        <f t="array" ref="AC434">SUM(IF((C7:C30="Dry Mixed Recyclables (DMR - paper, cardboard, metal, plastic glass)")*(D7:L30="Construction")*(G7:G30="Re Use On Site"),H7:H30,0))</f>
        <v>#VALUE!</v>
      </c>
      <c r="AD434" s="248">
        <f t="array" ref="AD434">SUM(IF((C7:C30="Dry Mixed Recyclables (DMR - paper, cardboard, metal, plastic glass)")*(D7:D30="Construction"),V7:V30,0))</f>
        <v>0</v>
      </c>
      <c r="AE434" s="248">
        <f t="array" ref="AE434">SUM(IF((C7:C30="Dry Mixed Recyclables (DMR - paper, cardboard, metal, plastic glass)")*(D7:D30="Construction")*(G7:G30="Recycled On Site"),H7:H30,0))</f>
        <v>0</v>
      </c>
      <c r="AF434" s="248" t="e">
        <f t="array" ref="AF434">SUM(IF((C7:C30="Dry Mixed Recyclables (DMR - paper, cardboard, metal, plastic glass)")*(D7:D30="Construction")*(G7:G30="Recycled Off Site - Transfer Station, MRF, EfW"),J7:J30,0))</f>
        <v>#VALUE!</v>
      </c>
      <c r="AG434" s="248">
        <f t="array" ref="AG434">SUM(IF((C7:C30="Dry Mixed Recyclables (DMR - paper, cardboard, metal, plastic glass)")*(D7:D30="Construction"),R7:R30,0))</f>
        <v>0</v>
      </c>
      <c r="AH434" s="248" t="e">
        <f t="array" ref="AH434">SUM(IF((C7:C30="Dry Mixed Recyclables (DMR - paper, cardboard, metal, plastic glass)")*(D7:D30="Construction"),S7:S30,0))</f>
        <v>#VALUE!</v>
      </c>
      <c r="AI434" s="248" t="e">
        <f t="shared" si="133"/>
        <v>#VALUE!</v>
      </c>
      <c r="AJ434" s="249" t="e">
        <f t="shared" si="134"/>
        <v>#VALUE!</v>
      </c>
    </row>
    <row r="435" spans="25:36" x14ac:dyDescent="0.25">
      <c r="Z435" s="250"/>
      <c r="AA435" s="56"/>
      <c r="AB435" s="251"/>
      <c r="AC435" s="48" t="s">
        <v>120</v>
      </c>
    </row>
    <row r="436" spans="25:36" ht="13.8" thickBot="1" x14ac:dyDescent="0.3"/>
    <row r="437" spans="25:36" ht="13.8" thickBot="1" x14ac:dyDescent="0.3">
      <c r="Y437" s="190" t="s">
        <v>241</v>
      </c>
      <c r="Z437" s="243" t="e">
        <f>SUM(AC437:AH437)</f>
        <v>#VALUE!</v>
      </c>
      <c r="AC437" s="190">
        <f>SUM(AC120:AC431)</f>
        <v>0</v>
      </c>
      <c r="AD437" s="232">
        <f>SUM(AD120:AD431)</f>
        <v>0</v>
      </c>
      <c r="AE437" s="232">
        <f>SUM(AE120:AE431)</f>
        <v>0</v>
      </c>
      <c r="AF437" s="232" t="e">
        <f>SUM(AF120:AF431)</f>
        <v>#VALUE!</v>
      </c>
      <c r="AG437" s="252"/>
      <c r="AH437" s="232" t="e">
        <f>SUM(AH120:AH431)</f>
        <v>#VALUE!</v>
      </c>
      <c r="AI437" s="232" t="e">
        <f>SUM(AF120:AF431)</f>
        <v>#VALUE!</v>
      </c>
      <c r="AJ437" s="232"/>
    </row>
    <row r="438" spans="25:36" x14ac:dyDescent="0.25">
      <c r="Y438" s="198" t="s">
        <v>242</v>
      </c>
      <c r="Z438" s="246" t="e">
        <f>SUM(AC438:AH438)</f>
        <v>#VALUE!</v>
      </c>
      <c r="AC438" s="253"/>
      <c r="AD438" s="232">
        <f>SUM(AD120:AD431)</f>
        <v>0</v>
      </c>
      <c r="AE438" s="252"/>
      <c r="AF438" s="232" t="e">
        <f>SUM(AF120:AF431)</f>
        <v>#VALUE!</v>
      </c>
      <c r="AG438" s="252"/>
      <c r="AH438" s="232" t="e">
        <f>SUM(AH120:AH431)</f>
        <v>#VALUE!</v>
      </c>
      <c r="AI438" s="232" t="e">
        <f>SUM(AI120:AI431)</f>
        <v>#VALUE!</v>
      </c>
      <c r="AJ438" s="232" t="e">
        <f>SUM(AJ120:AJ431)</f>
        <v>#VALUE!</v>
      </c>
    </row>
    <row r="439" spans="25:36" ht="13.8" thickBot="1" x14ac:dyDescent="0.3">
      <c r="Y439" s="254" t="s">
        <v>243</v>
      </c>
      <c r="Z439" s="255"/>
      <c r="AC439" s="256"/>
      <c r="AD439" s="257"/>
      <c r="AE439" s="257"/>
      <c r="AF439" s="258"/>
      <c r="AG439" s="258"/>
      <c r="AH439" s="258"/>
      <c r="AI439" s="258"/>
      <c r="AJ439" s="258"/>
    </row>
    <row r="441" spans="25:36" ht="13.8" thickBot="1" x14ac:dyDescent="0.3"/>
    <row r="442" spans="25:36" ht="13.8" thickBot="1" x14ac:dyDescent="0.3">
      <c r="Y442" s="190" t="s">
        <v>244</v>
      </c>
      <c r="Z442" s="243" t="e">
        <f>SUM(AC442:AH442)</f>
        <v>#VALUE!</v>
      </c>
      <c r="AC442" s="190">
        <f t="array" ref="AC442">SUM(IF((AA120:AA431="H"),AC120:AC431,0))</f>
        <v>0</v>
      </c>
      <c r="AD442" s="190">
        <f t="array" ref="AD442">SUM(IF((AA120:AA431="H"),AD120:AD431,0))</f>
        <v>0</v>
      </c>
      <c r="AE442" s="190">
        <f t="array" ref="AE442">SUM(IF((AA120:AA431="H"),AE120:AE431,0))</f>
        <v>0</v>
      </c>
      <c r="AF442" s="190">
        <f t="array" ref="AF442">SUM(IF((AA120:AA431="H"),AF120:AF431,0))</f>
        <v>0</v>
      </c>
      <c r="AG442" s="260"/>
      <c r="AH442" s="190" t="e">
        <f t="array" ref="AH442">SUM(IF((AA120:AA431="H"),AH120:AH431,0))</f>
        <v>#VALUE!</v>
      </c>
    </row>
    <row r="443" spans="25:36" ht="13.8" thickBot="1" x14ac:dyDescent="0.3">
      <c r="Y443" s="261" t="s">
        <v>245</v>
      </c>
      <c r="Z443" s="243" t="e">
        <f>SUM(AC443:AH443)</f>
        <v>#VALUE!</v>
      </c>
      <c r="AC443" s="262">
        <f t="array" ref="AC443">SUM(IF((AA120:AA431="NH"),AC120:AC431,0))</f>
        <v>0</v>
      </c>
      <c r="AD443" s="262">
        <f t="array" ref="AD443">SUM(IF((AA120:AA431="NH"),AD120:AD431,0))</f>
        <v>0</v>
      </c>
      <c r="AE443" s="262">
        <f t="array" ref="AE443">SUM(IF((AA120:AA431="NH"),AE120:AE431,0))</f>
        <v>0</v>
      </c>
      <c r="AF443" s="262" t="e">
        <f t="array" ref="AF443">SUM(IF((AA120:AA431="NH"),AF120:AF431,0))</f>
        <v>#VALUE!</v>
      </c>
      <c r="AG443" s="263"/>
      <c r="AH443" s="262" t="e">
        <f t="array" ref="AH443">SUM(IF((AA120:AA431="NH"),AH120:AH431,0))</f>
        <v>#VALUE!</v>
      </c>
    </row>
    <row r="444" spans="25:36" ht="13.8" thickBot="1" x14ac:dyDescent="0.3">
      <c r="Y444" s="261" t="s">
        <v>246</v>
      </c>
      <c r="Z444" s="243" t="e">
        <f>SUM(AC444:AH444)</f>
        <v>#VALUE!</v>
      </c>
      <c r="AC444" s="190">
        <f t="array" ref="AC444">SUM(IF((AA120:AA431="I"),AC120:AC431,0))</f>
        <v>0</v>
      </c>
      <c r="AD444" s="190">
        <f t="array" ref="AD444">SUM(IF((AA120:AA431="I"),AD120:AD431,0))</f>
        <v>0</v>
      </c>
      <c r="AE444" s="190">
        <f t="array" ref="AE444">SUM(IF((AA120:AA431="I"),AE120:AE431,0))</f>
        <v>0</v>
      </c>
      <c r="AF444" s="190" t="e">
        <f t="array" ref="AF444">SUM(IF((AA120:AA431="I"),AF120:AF431,0))</f>
        <v>#VALUE!</v>
      </c>
      <c r="AG444" s="252"/>
      <c r="AH444" s="190" t="e">
        <f t="array" ref="AH444">SUM(IF((AA120:AA431="I"),AH120:AH431,0))</f>
        <v>#VALUE!</v>
      </c>
    </row>
    <row r="445" spans="25:36" ht="13.8" thickBot="1" x14ac:dyDescent="0.3">
      <c r="Y445" s="261" t="s">
        <v>247</v>
      </c>
      <c r="Z445" s="243" t="e">
        <f>SUM(AC445:AH445)</f>
        <v>#VALUE!</v>
      </c>
      <c r="AC445" s="261">
        <f>AC443+AC444</f>
        <v>0</v>
      </c>
      <c r="AD445" s="261">
        <f>AD443+AD444</f>
        <v>0</v>
      </c>
      <c r="AE445" s="261">
        <f>AE443+AE444</f>
        <v>0</v>
      </c>
      <c r="AF445" s="261" t="e">
        <f>AF443+AF444</f>
        <v>#VALUE!</v>
      </c>
      <c r="AG445" s="256"/>
      <c r="AH445" s="261" t="e">
        <f>AH443+AH444</f>
        <v>#VALUE!</v>
      </c>
    </row>
    <row r="446" spans="25:36" ht="13.8" thickBot="1" x14ac:dyDescent="0.3"/>
    <row r="447" spans="25:36" ht="13.8" thickBot="1" x14ac:dyDescent="0.3">
      <c r="Y447" s="264" t="s">
        <v>248</v>
      </c>
      <c r="Z447" s="264" t="e">
        <f>SUM(AC447:AQ447)</f>
        <v>#VALUE!</v>
      </c>
      <c r="AC447" s="190">
        <f t="array" ref="AC447">SUM(IF((AA120:AA431="I")*(AB120:AB431="Construction"),AC120:AC431,0))</f>
        <v>0</v>
      </c>
      <c r="AD447" s="190">
        <f t="array" ref="AD447">SUM(IF((AA120:AA431="I")*(AB120:AB431="Construction"),AD120:AD431,0))</f>
        <v>0</v>
      </c>
      <c r="AE447" s="190">
        <f t="array" ref="AE447">SUM(IF((AA120:AA431="I")*(AB120:AB431="Construction"),AE120:AE431,0))</f>
        <v>0</v>
      </c>
      <c r="AF447" s="190" t="e">
        <f t="array" ref="AF447">SUM(IF((AA120:AA431="I")*(AB120:AB431="Construction"),AF120:AF431,0))</f>
        <v>#VALUE!</v>
      </c>
      <c r="AG447" s="260"/>
      <c r="AH447" s="190" t="e">
        <f t="array" ref="AH447">SUM(IF((AA120:AA431="I")*(AB120:AB431="Construction"),AH120:AH431,0))</f>
        <v>#VALUE!</v>
      </c>
    </row>
    <row r="448" spans="25:36" ht="13.8" thickBot="1" x14ac:dyDescent="0.3">
      <c r="Y448" s="265" t="s">
        <v>249</v>
      </c>
      <c r="Z448" s="264" t="e">
        <f>SUM(AC448:AQ448)</f>
        <v>#VALUE!</v>
      </c>
      <c r="AC448" s="261">
        <f t="array" ref="AC448">SUM(IF((AA120:AA431="NH")*(AB120:AB431="Construction"),AC120:AC431,0))</f>
        <v>0</v>
      </c>
      <c r="AD448" s="248">
        <f t="array" ref="AD448">SUM(IF((AA120:AA431="NH")*(AB120:AB431="Construction"),AD120:AD431,0))</f>
        <v>0</v>
      </c>
      <c r="AE448" s="261">
        <f t="array" ref="AE448">SUM(IF((AA120:AA431="NH")*(AB120:AB431="Construction"),AE120:AE431,0))</f>
        <v>0</v>
      </c>
      <c r="AF448" s="248" t="e">
        <f t="array" ref="AF448">SUM(IF((AA120:AA431="NH")*(AB120:AB431="Construction"),AF120:AF431,0))</f>
        <v>#VALUE!</v>
      </c>
      <c r="AG448" s="256"/>
      <c r="AH448" s="248" t="e">
        <f t="array" ref="AH448">SUM(IF((AA120:AA431="NH")*(AB120:AB431="Construction"),AH120:AH431,0))</f>
        <v>#VALUE!</v>
      </c>
    </row>
    <row r="449" spans="25:34" ht="13.8" thickBot="1" x14ac:dyDescent="0.3">
      <c r="Y449" s="264" t="s">
        <v>250</v>
      </c>
      <c r="Z449" s="264">
        <f>SUM(AC449:AQ449)</f>
        <v>0</v>
      </c>
      <c r="AC449" s="190">
        <f t="array" ref="AC449">SUM(IF((AA120:AA431="I")*(AB120:AB431="Demolition"),AC120:AC431,0))</f>
        <v>0</v>
      </c>
      <c r="AD449" s="190">
        <f t="array" ref="AD449">SUM(IF((AA120:AA431="I")*(AB120:AB431="Demolition"),AD120:AD431,0))</f>
        <v>0</v>
      </c>
      <c r="AE449" s="190">
        <f t="array" ref="AE449">SUM(IF((AA120:AA431="I")*(AB120:AB431="Demolition"),AE120:AE431,0))</f>
        <v>0</v>
      </c>
      <c r="AF449" s="190">
        <f t="array" ref="AF449">SUM(IF((AA120:AA431="I")*(AB120:AB431="Demolition"),AF120:AF431,0))</f>
        <v>0</v>
      </c>
      <c r="AG449" s="260"/>
      <c r="AH449" s="190">
        <f t="array" ref="AH449">SUM(IF((AA120:AA431="I")*(AB120:AB431="Demolition"),AH120:AH431,0))</f>
        <v>0</v>
      </c>
    </row>
    <row r="450" spans="25:34" ht="13.8" thickBot="1" x14ac:dyDescent="0.3">
      <c r="Y450" s="265" t="s">
        <v>251</v>
      </c>
      <c r="Z450" s="264">
        <f>SUM(AC450:AQ450)</f>
        <v>0</v>
      </c>
      <c r="AC450" s="190">
        <f t="array" ref="AC450">SUM(IF((AA120:AA431="NH")*(AB120:AB431="Demolition"),AC120:AC431,0))</f>
        <v>0</v>
      </c>
      <c r="AD450" s="190">
        <f t="array" ref="AD450">SUM(IF((AA120:AA431="NH")*(AB120:AB431="Demolition"),AD120:AD431,0))</f>
        <v>0</v>
      </c>
      <c r="AE450" s="190">
        <f t="array" ref="AE450">SUM(IF((AA120:AA431="NH")*(AB120:AB431="Demolition"),AE120:AE431,0))</f>
        <v>0</v>
      </c>
      <c r="AF450" s="190">
        <f t="array" ref="AF450">SUM(IF((AA120:AA431="NH")*(AB120:AB431="Demolition"),AF120:AF431,0))</f>
        <v>0</v>
      </c>
      <c r="AG450" s="260"/>
      <c r="AH450" s="190">
        <f t="array" ref="AH450">SUM(IF((AA120:AA431="NH")*(AB120:AB431="Demolition"),AH120:AH431,0))</f>
        <v>0</v>
      </c>
    </row>
    <row r="453" spans="25:34" ht="17.399999999999999" x14ac:dyDescent="0.3">
      <c r="AA453" s="266" t="s">
        <v>252</v>
      </c>
    </row>
    <row r="454" spans="25:34" ht="13.8" thickBot="1" x14ac:dyDescent="0.3"/>
    <row r="455" spans="25:34" x14ac:dyDescent="0.25">
      <c r="AA455" s="267" t="s">
        <v>253</v>
      </c>
      <c r="AB455" s="268"/>
      <c r="AC455" s="268"/>
      <c r="AD455" s="268"/>
      <c r="AE455" s="268"/>
      <c r="AF455" s="268"/>
      <c r="AG455" s="269" t="e">
        <f>Z437</f>
        <v>#VALUE!</v>
      </c>
    </row>
    <row r="456" spans="25:34" x14ac:dyDescent="0.25">
      <c r="AA456" s="270" t="s">
        <v>254</v>
      </c>
      <c r="AB456" s="271"/>
      <c r="AC456" s="271"/>
      <c r="AD456" s="271"/>
      <c r="AE456" s="271"/>
      <c r="AF456" s="271"/>
      <c r="AG456" s="272" t="e">
        <f>Z438</f>
        <v>#VALUE!</v>
      </c>
    </row>
    <row r="457" spans="25:34" x14ac:dyDescent="0.25">
      <c r="AA457" s="270" t="s">
        <v>255</v>
      </c>
      <c r="AB457" s="271"/>
      <c r="AC457" s="271"/>
      <c r="AD457" s="271"/>
      <c r="AE457" s="271"/>
      <c r="AF457" s="271"/>
      <c r="AG457" s="272" t="e">
        <f>AG456-(SUM(AJ363:AJ368)+SUM(AJ408:AJ410))</f>
        <v>#VALUE!</v>
      </c>
    </row>
    <row r="458" spans="25:34" x14ac:dyDescent="0.25">
      <c r="AA458" s="270" t="s">
        <v>256</v>
      </c>
      <c r="AB458" s="271"/>
      <c r="AC458" s="271"/>
      <c r="AD458" s="271"/>
      <c r="AE458" s="271"/>
      <c r="AF458" s="271"/>
      <c r="AG458" s="272" t="e">
        <f>AH437</f>
        <v>#VALUE!</v>
      </c>
    </row>
    <row r="459" spans="25:34" x14ac:dyDescent="0.25">
      <c r="AA459" s="270" t="s">
        <v>257</v>
      </c>
      <c r="AB459" s="271"/>
      <c r="AC459" s="271"/>
      <c r="AD459" s="271"/>
      <c r="AE459" s="271"/>
      <c r="AF459" s="271"/>
      <c r="AG459" s="272" t="e">
        <f>AG458-(SUM(AH363:AH368)+SUM(AH408:AH410))</f>
        <v>#VALUE!</v>
      </c>
    </row>
    <row r="460" spans="25:34" x14ac:dyDescent="0.25">
      <c r="AA460" s="270" t="s">
        <v>258</v>
      </c>
      <c r="AB460" s="271"/>
      <c r="AC460" s="271"/>
      <c r="AD460" s="271"/>
      <c r="AE460" s="271"/>
      <c r="AF460" s="271"/>
      <c r="AG460" s="272" t="e">
        <f>SUM(AH363:AH368)+SUM(AH408:AH410)</f>
        <v>#VALUE!</v>
      </c>
    </row>
    <row r="461" spans="25:34" x14ac:dyDescent="0.25">
      <c r="AA461" s="270" t="s">
        <v>259</v>
      </c>
      <c r="AB461" s="271"/>
      <c r="AC461" s="271"/>
      <c r="AD461" s="271"/>
      <c r="AE461" s="271"/>
      <c r="AF461" s="271"/>
      <c r="AG461" s="272" t="e">
        <f>AG462-AG463</f>
        <v>#VALUE!</v>
      </c>
    </row>
    <row r="462" spans="25:34" x14ac:dyDescent="0.25">
      <c r="AA462" s="270" t="s">
        <v>260</v>
      </c>
      <c r="AB462" s="271"/>
      <c r="AC462" s="271"/>
      <c r="AD462" s="271"/>
      <c r="AE462" s="271"/>
      <c r="AF462" s="271"/>
      <c r="AG462" s="272" t="e">
        <f>AG456-AG458</f>
        <v>#VALUE!</v>
      </c>
    </row>
    <row r="463" spans="25:34" x14ac:dyDescent="0.25">
      <c r="AA463" s="270" t="s">
        <v>261</v>
      </c>
      <c r="AB463" s="271"/>
      <c r="AC463" s="271"/>
      <c r="AD463" s="271"/>
      <c r="AE463" s="271"/>
      <c r="AF463" s="271"/>
      <c r="AG463" s="272" t="e">
        <f>AG457-AG459</f>
        <v>#VALUE!</v>
      </c>
    </row>
    <row r="464" spans="25:34" x14ac:dyDescent="0.25">
      <c r="AA464" s="273" t="s">
        <v>262</v>
      </c>
      <c r="AB464" s="271"/>
      <c r="AC464" s="271"/>
      <c r="AD464" s="271"/>
      <c r="AE464" s="271"/>
      <c r="AF464" s="271"/>
      <c r="AG464" s="272" t="e">
        <f>AG462/AG456*100</f>
        <v>#VALUE!</v>
      </c>
    </row>
    <row r="465" spans="27:34" x14ac:dyDescent="0.25">
      <c r="AA465" s="273" t="s">
        <v>263</v>
      </c>
      <c r="AB465" s="271"/>
      <c r="AC465" s="271"/>
      <c r="AD465" s="271"/>
      <c r="AE465" s="271"/>
      <c r="AF465" s="271"/>
      <c r="AG465" s="272" t="e">
        <f>AG463/AG457*100</f>
        <v>#VALUE!</v>
      </c>
    </row>
    <row r="466" spans="27:34" x14ac:dyDescent="0.25">
      <c r="AA466" s="270" t="s">
        <v>264</v>
      </c>
      <c r="AB466" s="271"/>
      <c r="AC466" s="271"/>
      <c r="AD466" s="271"/>
      <c r="AE466" s="271"/>
      <c r="AF466" s="271"/>
      <c r="AG466" s="272" t="e">
        <f>(100000/'Project Details'!D13)*'Waste Forecast'!AG456</f>
        <v>#VALUE!</v>
      </c>
    </row>
    <row r="467" spans="27:34" x14ac:dyDescent="0.25">
      <c r="AA467" s="270" t="s">
        <v>265</v>
      </c>
      <c r="AB467" s="271"/>
      <c r="AC467" s="271"/>
      <c r="AD467" s="271"/>
      <c r="AE467" s="271"/>
      <c r="AF467" s="271"/>
      <c r="AG467" s="272">
        <f>SUM(Reporting!S6:S8)</f>
        <v>0</v>
      </c>
    </row>
    <row r="468" spans="27:34" x14ac:dyDescent="0.25">
      <c r="AA468" s="270" t="s">
        <v>266</v>
      </c>
      <c r="AB468" s="271"/>
      <c r="AC468" s="271"/>
      <c r="AD468" s="271"/>
      <c r="AE468" s="271"/>
      <c r="AF468" s="271"/>
      <c r="AG468" s="272">
        <f>SUM(Reporting!I6:I8)+SUM(Reporting!M6:M8)+SUM(Reporting!O6:O8)+SUM(Reporting!Q6:Q8)+SUM(Reporting!S6:S8)</f>
        <v>0</v>
      </c>
    </row>
    <row r="469" spans="27:34" x14ac:dyDescent="0.25">
      <c r="AA469" s="270" t="s">
        <v>267</v>
      </c>
      <c r="AB469" s="271"/>
      <c r="AC469" s="271"/>
      <c r="AD469" s="271"/>
      <c r="AE469" s="271"/>
      <c r="AF469" s="271"/>
      <c r="AG469" s="272">
        <f>AG468-AG467</f>
        <v>0</v>
      </c>
    </row>
    <row r="470" spans="27:34" x14ac:dyDescent="0.25">
      <c r="AA470" s="270" t="s">
        <v>268</v>
      </c>
      <c r="AB470" s="271"/>
      <c r="AC470" s="271"/>
      <c r="AD470" s="271"/>
      <c r="AE470" s="271"/>
      <c r="AF470" s="271"/>
      <c r="AG470" s="272" t="e">
        <f>AG469/AG468*100</f>
        <v>#DIV/0!</v>
      </c>
    </row>
    <row r="471" spans="27:34" x14ac:dyDescent="0.25">
      <c r="AA471" s="270" t="s">
        <v>269</v>
      </c>
      <c r="AB471" s="271"/>
      <c r="AC471" s="271"/>
      <c r="AD471" s="271"/>
      <c r="AE471" s="271"/>
      <c r="AF471" s="271"/>
      <c r="AG471" s="272">
        <f>SUM(Reporting!G9:G11)+SUM(Reporting!I9:I11)+SUM(Reporting!K9:K11)+SUM(Reporting!M9:M11)+SUM(Reporting!O9:O11)+SUM(Reporting!Q9:Q11)+SUM(Reporting!S9:S11)</f>
        <v>0</v>
      </c>
    </row>
    <row r="472" spans="27:34" x14ac:dyDescent="0.25">
      <c r="AA472" s="270" t="s">
        <v>270</v>
      </c>
      <c r="AB472" s="271"/>
      <c r="AC472" s="271"/>
      <c r="AD472" s="271"/>
      <c r="AE472" s="271"/>
      <c r="AF472" s="271"/>
      <c r="AG472" s="272">
        <f>SUM(Reporting!G9:G11)+SUM(Reporting!K9:K11)</f>
        <v>0</v>
      </c>
    </row>
    <row r="473" spans="27:34" x14ac:dyDescent="0.25">
      <c r="AA473" s="270" t="s">
        <v>271</v>
      </c>
      <c r="AB473" s="271"/>
      <c r="AC473" s="271"/>
      <c r="AD473" s="271"/>
      <c r="AE473" s="271"/>
      <c r="AF473" s="271"/>
      <c r="AG473" s="272" t="e">
        <f>AG472/AG471*100</f>
        <v>#DIV/0!</v>
      </c>
    </row>
    <row r="474" spans="27:34" x14ac:dyDescent="0.25">
      <c r="AA474" s="270" t="s">
        <v>272</v>
      </c>
      <c r="AB474" s="271"/>
      <c r="AC474" s="271"/>
      <c r="AD474" s="271"/>
      <c r="AE474" s="271"/>
      <c r="AF474" s="271"/>
      <c r="AG474" s="272" t="e">
        <f>Z445-AQ445</f>
        <v>#VALUE!</v>
      </c>
    </row>
    <row r="475" spans="27:34" x14ac:dyDescent="0.25">
      <c r="AA475" s="270" t="s">
        <v>273</v>
      </c>
      <c r="AB475" s="271"/>
      <c r="AC475" s="271"/>
      <c r="AD475" s="271"/>
      <c r="AE475" s="271"/>
      <c r="AF475" s="271"/>
      <c r="AG475" s="272" t="e">
        <f>Z445</f>
        <v>#VALUE!</v>
      </c>
    </row>
    <row r="476" spans="27:34" x14ac:dyDescent="0.25">
      <c r="AA476" s="270" t="s">
        <v>274</v>
      </c>
      <c r="AB476" s="271"/>
      <c r="AC476" s="271"/>
      <c r="AD476" s="271"/>
      <c r="AE476" s="271"/>
      <c r="AF476" s="271"/>
      <c r="AG476" s="272" t="e">
        <f>AG474/AG475*100</f>
        <v>#VALUE!</v>
      </c>
    </row>
    <row r="477" spans="27:34" x14ac:dyDescent="0.25">
      <c r="AA477" s="270" t="s">
        <v>275</v>
      </c>
      <c r="AB477" s="271"/>
      <c r="AC477" s="271"/>
      <c r="AD477" s="271"/>
      <c r="AE477" s="271"/>
      <c r="AF477" s="271"/>
      <c r="AG477" s="272" t="e">
        <f>100/'Project Details'!D14*AG456</f>
        <v>#VALUE!</v>
      </c>
    </row>
    <row r="478" spans="27:34" x14ac:dyDescent="0.25">
      <c r="AA478" s="270" t="s">
        <v>276</v>
      </c>
      <c r="AB478" s="271"/>
      <c r="AC478" s="271"/>
      <c r="AD478" s="271"/>
      <c r="AE478" s="271"/>
      <c r="AF478" s="271"/>
      <c r="AG478" s="272" t="e">
        <f>100/'Project Details'!D14*AG458</f>
        <v>#VALUE!</v>
      </c>
    </row>
    <row r="479" spans="27:34" x14ac:dyDescent="0.25">
      <c r="AA479" s="270" t="s">
        <v>277</v>
      </c>
      <c r="AB479" s="271"/>
      <c r="AC479" s="271"/>
      <c r="AD479" s="271"/>
      <c r="AE479" s="271"/>
      <c r="AF479" s="271"/>
      <c r="AG479" s="272" t="e">
        <f>AG456/'Project Details'!#REF!</f>
        <v>#VALUE!</v>
      </c>
      <c r="AH479" s="48" t="s">
        <v>278</v>
      </c>
    </row>
    <row r="480" spans="27:34" x14ac:dyDescent="0.25">
      <c r="AA480" s="270" t="s">
        <v>279</v>
      </c>
      <c r="AB480" s="271"/>
      <c r="AC480" s="271"/>
      <c r="AD480" s="271"/>
      <c r="AE480" s="271"/>
      <c r="AF480" s="271"/>
      <c r="AG480" s="272" t="e">
        <f>(100000/'Project Details'!#REF!)*'Waste Forecast'!AG456</f>
        <v>#REF!</v>
      </c>
      <c r="AH480" s="48" t="s">
        <v>278</v>
      </c>
    </row>
    <row r="481" spans="27:34" x14ac:dyDescent="0.25">
      <c r="AA481" s="270" t="s">
        <v>280</v>
      </c>
      <c r="AB481" s="271"/>
      <c r="AC481" s="271"/>
      <c r="AD481" s="271"/>
      <c r="AE481" s="271"/>
      <c r="AF481" s="271"/>
      <c r="AG481" s="272" t="e">
        <f>AG482-SUM(AQ447:AQ448)</f>
        <v>#VALUE!</v>
      </c>
    </row>
    <row r="482" spans="27:34" x14ac:dyDescent="0.25">
      <c r="AA482" s="270" t="s">
        <v>281</v>
      </c>
      <c r="AB482" s="271"/>
      <c r="AC482" s="271"/>
      <c r="AD482" s="271"/>
      <c r="AE482" s="271"/>
      <c r="AF482" s="271"/>
      <c r="AG482" s="272" t="e">
        <f>Z447+Z448</f>
        <v>#VALUE!</v>
      </c>
    </row>
    <row r="483" spans="27:34" x14ac:dyDescent="0.25">
      <c r="AA483" s="270" t="s">
        <v>282</v>
      </c>
      <c r="AB483" s="271"/>
      <c r="AC483" s="271"/>
      <c r="AD483" s="271"/>
      <c r="AE483" s="271"/>
      <c r="AF483" s="271"/>
      <c r="AG483" s="272" t="e">
        <f>100/'Project Details'!D14*AG482</f>
        <v>#VALUE!</v>
      </c>
    </row>
    <row r="484" spans="27:34" x14ac:dyDescent="0.25">
      <c r="AA484" s="270" t="s">
        <v>283</v>
      </c>
      <c r="AB484" s="271"/>
      <c r="AC484" s="271"/>
      <c r="AD484" s="271"/>
      <c r="AE484" s="271"/>
      <c r="AF484" s="271"/>
      <c r="AG484" s="272" t="e">
        <f>AG481/AG482*100</f>
        <v>#VALUE!</v>
      </c>
    </row>
    <row r="485" spans="27:34" x14ac:dyDescent="0.25">
      <c r="AA485" s="270" t="s">
        <v>284</v>
      </c>
      <c r="AB485" s="271"/>
      <c r="AC485" s="271"/>
      <c r="AD485" s="271"/>
      <c r="AE485" s="271"/>
      <c r="AF485" s="271"/>
      <c r="AG485" s="272">
        <f>AG486-SUM(AQ449:AQ450)</f>
        <v>0</v>
      </c>
    </row>
    <row r="486" spans="27:34" x14ac:dyDescent="0.25">
      <c r="AA486" s="270" t="s">
        <v>285</v>
      </c>
      <c r="AB486" s="271"/>
      <c r="AC486" s="271"/>
      <c r="AD486" s="271"/>
      <c r="AE486" s="271"/>
      <c r="AF486" s="271"/>
      <c r="AG486" s="272">
        <f>SUM(Z449:Z450)</f>
        <v>0</v>
      </c>
    </row>
    <row r="487" spans="27:34" x14ac:dyDescent="0.25">
      <c r="AA487" s="270" t="s">
        <v>286</v>
      </c>
      <c r="AB487" s="271"/>
      <c r="AC487" s="271"/>
      <c r="AD487" s="271"/>
      <c r="AE487" s="271"/>
      <c r="AF487" s="271"/>
      <c r="AG487" s="272" t="e">
        <f>AG485/AG486*100</f>
        <v>#DIV/0!</v>
      </c>
    </row>
    <row r="488" spans="27:34" x14ac:dyDescent="0.25">
      <c r="AA488" s="270" t="s">
        <v>287</v>
      </c>
      <c r="AB488" s="271"/>
      <c r="AC488" s="271"/>
      <c r="AD488" s="271"/>
      <c r="AE488" s="271"/>
      <c r="AF488" s="271"/>
      <c r="AG488" s="272">
        <f>Z439-AD439-AH439</f>
        <v>0</v>
      </c>
    </row>
    <row r="489" spans="27:34" x14ac:dyDescent="0.25">
      <c r="AA489" s="270" t="s">
        <v>288</v>
      </c>
      <c r="AB489" s="271"/>
      <c r="AC489" s="271"/>
      <c r="AD489" s="271"/>
      <c r="AE489" s="271"/>
      <c r="AF489" s="271"/>
      <c r="AG489" s="274" t="e">
        <f>AG488/'Project Details'!#REF!</f>
        <v>#REF!</v>
      </c>
      <c r="AH489" s="48" t="s">
        <v>278</v>
      </c>
    </row>
    <row r="490" spans="27:34" x14ac:dyDescent="0.25">
      <c r="AA490" s="270" t="s">
        <v>289</v>
      </c>
      <c r="AB490" s="271"/>
      <c r="AC490" s="271"/>
      <c r="AD490" s="271"/>
      <c r="AE490" s="271"/>
      <c r="AF490" s="271"/>
      <c r="AG490" s="272">
        <f>Z439</f>
        <v>0</v>
      </c>
    </row>
    <row r="491" spans="27:34" ht="13.8" thickBot="1" x14ac:dyDescent="0.3">
      <c r="AA491" s="275" t="s">
        <v>290</v>
      </c>
      <c r="AB491" s="276"/>
      <c r="AC491" s="276"/>
      <c r="AD491" s="276"/>
      <c r="AE491" s="276"/>
      <c r="AF491" s="276"/>
      <c r="AG491" s="277">
        <f>AG488</f>
        <v>0</v>
      </c>
    </row>
  </sheetData>
  <sheetProtection algorithmName="SHA-512" hashValue="ROezasUgsDV0vFab86WpnyJrMy8hwX5GPCrBgowhpnptzFNM9qJlAqX/HQhXW+M/BQmhoSMeOl9WOlizE3ELhg==" saltValue="cUGDRyEHJOsUClovqIx2AQ==" spinCount="100000" sheet="1" objects="1" scenarios="1"/>
  <mergeCells count="225">
    <mergeCell ref="AG5:AG6"/>
    <mergeCell ref="AH5:AH6"/>
    <mergeCell ref="AI5:AI6"/>
    <mergeCell ref="C2:K2"/>
    <mergeCell ref="Y5:Y6"/>
    <mergeCell ref="Z5:Z6"/>
    <mergeCell ref="AA5:AA6"/>
    <mergeCell ref="AB5:AB6"/>
    <mergeCell ref="AC5:AC6"/>
    <mergeCell ref="I6:K6"/>
    <mergeCell ref="G32:G33"/>
    <mergeCell ref="H32:H33"/>
    <mergeCell ref="Y120:Y122"/>
    <mergeCell ref="Z120:Z122"/>
    <mergeCell ref="Y123:Y125"/>
    <mergeCell ref="Z123:Z125"/>
    <mergeCell ref="AD5:AD6"/>
    <mergeCell ref="AE5:AE6"/>
    <mergeCell ref="AF5:AF6"/>
    <mergeCell ref="Y135:Y137"/>
    <mergeCell ref="Z135:Z137"/>
    <mergeCell ref="Y138:Y140"/>
    <mergeCell ref="Z138:Z140"/>
    <mergeCell ref="Y141:Y143"/>
    <mergeCell ref="Z141:Z143"/>
    <mergeCell ref="Y126:Y128"/>
    <mergeCell ref="Z126:Z128"/>
    <mergeCell ref="Y129:Y131"/>
    <mergeCell ref="Z129:Z131"/>
    <mergeCell ref="Y132:Y134"/>
    <mergeCell ref="Z132:Z134"/>
    <mergeCell ref="Y153:Y155"/>
    <mergeCell ref="Z153:Z155"/>
    <mergeCell ref="Y156:Y158"/>
    <mergeCell ref="Z156:Z158"/>
    <mergeCell ref="Y159:Y161"/>
    <mergeCell ref="Z159:Z161"/>
    <mergeCell ref="Y144:Y146"/>
    <mergeCell ref="Z144:Z146"/>
    <mergeCell ref="Y147:Y149"/>
    <mergeCell ref="Z147:Z149"/>
    <mergeCell ref="Y150:Y152"/>
    <mergeCell ref="Z150:Z152"/>
    <mergeCell ref="Y171:Y173"/>
    <mergeCell ref="Z171:Z173"/>
    <mergeCell ref="Y174:Y176"/>
    <mergeCell ref="Z174:Z176"/>
    <mergeCell ref="Y177:Y179"/>
    <mergeCell ref="Z177:Z179"/>
    <mergeCell ref="Y162:Y164"/>
    <mergeCell ref="Z162:Z164"/>
    <mergeCell ref="Y165:Y167"/>
    <mergeCell ref="Z165:Z167"/>
    <mergeCell ref="Y168:Y170"/>
    <mergeCell ref="Z168:Z170"/>
    <mergeCell ref="Y189:Y191"/>
    <mergeCell ref="Z189:Z191"/>
    <mergeCell ref="Y192:Y194"/>
    <mergeCell ref="Z192:Z194"/>
    <mergeCell ref="Y195:Y197"/>
    <mergeCell ref="Z195:Z197"/>
    <mergeCell ref="Y180:Y182"/>
    <mergeCell ref="Z180:Z182"/>
    <mergeCell ref="Y183:Y185"/>
    <mergeCell ref="Z183:Z185"/>
    <mergeCell ref="Y186:Y188"/>
    <mergeCell ref="Z186:Z188"/>
    <mergeCell ref="Y207:Y209"/>
    <mergeCell ref="Z207:Z209"/>
    <mergeCell ref="Y210:Y212"/>
    <mergeCell ref="Z210:Z212"/>
    <mergeCell ref="Y213:Y215"/>
    <mergeCell ref="Z213:Z215"/>
    <mergeCell ref="Y198:Y200"/>
    <mergeCell ref="Z198:Z200"/>
    <mergeCell ref="Y201:Y203"/>
    <mergeCell ref="Z201:Z203"/>
    <mergeCell ref="Y204:Y206"/>
    <mergeCell ref="Z204:Z206"/>
    <mergeCell ref="Y225:Y227"/>
    <mergeCell ref="Z225:Z227"/>
    <mergeCell ref="Y228:Y230"/>
    <mergeCell ref="Z228:Z230"/>
    <mergeCell ref="Y231:Y233"/>
    <mergeCell ref="Z231:Z233"/>
    <mergeCell ref="Y216:Y218"/>
    <mergeCell ref="Z216:Z218"/>
    <mergeCell ref="Y219:Y221"/>
    <mergeCell ref="Z219:Z221"/>
    <mergeCell ref="Y222:Y224"/>
    <mergeCell ref="Z222:Z224"/>
    <mergeCell ref="Y243:Y245"/>
    <mergeCell ref="Z243:Z245"/>
    <mergeCell ref="Y246:Y248"/>
    <mergeCell ref="Z246:Z248"/>
    <mergeCell ref="Y249:Y251"/>
    <mergeCell ref="Z249:Z251"/>
    <mergeCell ref="Y234:Y236"/>
    <mergeCell ref="Z234:Z236"/>
    <mergeCell ref="Y237:Y239"/>
    <mergeCell ref="Z237:Z239"/>
    <mergeCell ref="Y240:Y242"/>
    <mergeCell ref="Z240:Z242"/>
    <mergeCell ref="Y261:Y263"/>
    <mergeCell ref="Z261:Z263"/>
    <mergeCell ref="Y264:Y266"/>
    <mergeCell ref="Z264:Z266"/>
    <mergeCell ref="Y267:Y269"/>
    <mergeCell ref="Z267:Z269"/>
    <mergeCell ref="Y252:Y254"/>
    <mergeCell ref="Z252:Z254"/>
    <mergeCell ref="Y255:Y257"/>
    <mergeCell ref="Z255:Z257"/>
    <mergeCell ref="Y258:Y260"/>
    <mergeCell ref="Z258:Z260"/>
    <mergeCell ref="Y279:Y281"/>
    <mergeCell ref="Z279:Z281"/>
    <mergeCell ref="Y282:Y284"/>
    <mergeCell ref="Z282:Z284"/>
    <mergeCell ref="Y285:Y287"/>
    <mergeCell ref="Z285:Z287"/>
    <mergeCell ref="Y270:Y272"/>
    <mergeCell ref="Z270:Z272"/>
    <mergeCell ref="Y273:Y275"/>
    <mergeCell ref="Z273:Z275"/>
    <mergeCell ref="Y276:Y278"/>
    <mergeCell ref="Z276:Z278"/>
    <mergeCell ref="Y297:Y299"/>
    <mergeCell ref="Z297:Z299"/>
    <mergeCell ref="Y300:Y302"/>
    <mergeCell ref="Z300:Z302"/>
    <mergeCell ref="Y303:Y305"/>
    <mergeCell ref="Z303:Z305"/>
    <mergeCell ref="Y288:Y290"/>
    <mergeCell ref="Z288:Z290"/>
    <mergeCell ref="Y291:Y293"/>
    <mergeCell ref="Z291:Z293"/>
    <mergeCell ref="Y294:Y296"/>
    <mergeCell ref="Z294:Z296"/>
    <mergeCell ref="Y315:Y317"/>
    <mergeCell ref="Z315:Z317"/>
    <mergeCell ref="Y318:Y320"/>
    <mergeCell ref="Z318:Z320"/>
    <mergeCell ref="Y321:Y323"/>
    <mergeCell ref="Z321:Z323"/>
    <mergeCell ref="Y306:Y308"/>
    <mergeCell ref="Z306:Z308"/>
    <mergeCell ref="Y309:Y311"/>
    <mergeCell ref="Z309:Z311"/>
    <mergeCell ref="Y312:Y314"/>
    <mergeCell ref="Z312:Z314"/>
    <mergeCell ref="Y333:Y335"/>
    <mergeCell ref="Z333:Z335"/>
    <mergeCell ref="Y336:Y338"/>
    <mergeCell ref="Z336:Z338"/>
    <mergeCell ref="Y339:Y341"/>
    <mergeCell ref="Z339:Z341"/>
    <mergeCell ref="Y324:Y326"/>
    <mergeCell ref="Z324:Z326"/>
    <mergeCell ref="Y327:Y329"/>
    <mergeCell ref="Z327:Z329"/>
    <mergeCell ref="Y330:Y332"/>
    <mergeCell ref="Z330:Z332"/>
    <mergeCell ref="Y351:Y353"/>
    <mergeCell ref="Z351:Z353"/>
    <mergeCell ref="Y354:Y356"/>
    <mergeCell ref="Z354:Z356"/>
    <mergeCell ref="Y357:Y359"/>
    <mergeCell ref="Z357:Z359"/>
    <mergeCell ref="Y342:Y344"/>
    <mergeCell ref="Z342:Z344"/>
    <mergeCell ref="Y345:Y347"/>
    <mergeCell ref="Z345:Z347"/>
    <mergeCell ref="Y348:Y350"/>
    <mergeCell ref="Z348:Z350"/>
    <mergeCell ref="Y369:Y371"/>
    <mergeCell ref="Z369:Z371"/>
    <mergeCell ref="Y372:Y374"/>
    <mergeCell ref="Z372:Z374"/>
    <mergeCell ref="Y375:Y377"/>
    <mergeCell ref="Z375:Z377"/>
    <mergeCell ref="Y360:Y362"/>
    <mergeCell ref="Z360:Z362"/>
    <mergeCell ref="Y363:Y365"/>
    <mergeCell ref="Z363:Z365"/>
    <mergeCell ref="Y366:Y368"/>
    <mergeCell ref="Z366:Z368"/>
    <mergeCell ref="Y387:Y389"/>
    <mergeCell ref="Z387:Z389"/>
    <mergeCell ref="Y390:Y392"/>
    <mergeCell ref="Z390:Z392"/>
    <mergeCell ref="Y393:Y395"/>
    <mergeCell ref="Z393:Z395"/>
    <mergeCell ref="Y378:Y380"/>
    <mergeCell ref="Z378:Z380"/>
    <mergeCell ref="Y381:Y383"/>
    <mergeCell ref="Z381:Z383"/>
    <mergeCell ref="Y384:Y386"/>
    <mergeCell ref="Z384:Z386"/>
    <mergeCell ref="Y405:Y407"/>
    <mergeCell ref="Z405:Z407"/>
    <mergeCell ref="Y408:Y410"/>
    <mergeCell ref="Z408:Z410"/>
    <mergeCell ref="Y411:Y413"/>
    <mergeCell ref="Z411:Z413"/>
    <mergeCell ref="Y396:Y398"/>
    <mergeCell ref="Z396:Z398"/>
    <mergeCell ref="Y399:Y401"/>
    <mergeCell ref="Z399:Z401"/>
    <mergeCell ref="Y402:Y404"/>
    <mergeCell ref="Z402:Z404"/>
    <mergeCell ref="Y432:Y434"/>
    <mergeCell ref="Z432:Z434"/>
    <mergeCell ref="Y423:Y425"/>
    <mergeCell ref="Z423:Z425"/>
    <mergeCell ref="Y426:Y428"/>
    <mergeCell ref="Z426:Z428"/>
    <mergeCell ref="Y429:Y431"/>
    <mergeCell ref="Z429:Z431"/>
    <mergeCell ref="Y414:Y416"/>
    <mergeCell ref="Z414:Z416"/>
    <mergeCell ref="Y417:Y419"/>
    <mergeCell ref="Z417:Z419"/>
    <mergeCell ref="Y420:Y422"/>
    <mergeCell ref="Z420:Z422"/>
  </mergeCells>
  <conditionalFormatting sqref="I7:I30">
    <cfRule type="expression" dxfId="10" priority="2" stopIfTrue="1">
      <formula>OR(G7="Re Use On Site", G7="Re Use Off Site", G7="Recycled On Site", G7="Landfill")</formula>
    </cfRule>
  </conditionalFormatting>
  <conditionalFormatting sqref="J7:J30">
    <cfRule type="expression" dxfId="9" priority="3" stopIfTrue="1">
      <formula>OR(G7="Re Use On Site", G7="Re Use Off Site", G7="Recycled On Site", G7="Landfill")</formula>
    </cfRule>
  </conditionalFormatting>
  <conditionalFormatting sqref="K7:K30">
    <cfRule type="expression" dxfId="8" priority="1" stopIfTrue="1">
      <formula>OR(G7="Re Use On Site", G7="Re Use Off Site", G7="Recycled On Site", G7="Landfill")</formula>
    </cfRule>
  </conditionalFormatting>
  <dataValidations count="3">
    <dataValidation type="list" allowBlank="1" showInputMessage="1" showErrorMessage="1" error="Please choose from the drop down menu" sqref="C7:C30" xr:uid="{89AED181-8888-4F61-9DA7-860CC3DDE59E}">
      <formula1>Waste_Type</formula1>
    </dataValidation>
    <dataValidation type="list" allowBlank="1" showInputMessage="1" showErrorMessage="1" error="Please choose from the drop down menu" sqref="G7:G30" xr:uid="{B1E160D2-5328-494C-8974-773202413AB7}">
      <formula1>Waste_Options</formula1>
    </dataValidation>
    <dataValidation type="list" allowBlank="1" showInputMessage="1" showErrorMessage="1" error="Please choose from the drop down menu" sqref="D7:D30" xr:uid="{C8CF7981-1E93-4610-B1DF-B90D2B586552}">
      <formula1>Waste_Activity</formula1>
    </dataValidation>
  </dataValidations>
  <printOptions horizontalCentered="1"/>
  <pageMargins left="0.15748031496062992" right="0.15748031496062992" top="0.59055118110236227" bottom="0.39370078740157483" header="0.51181102362204722" footer="0.51181102362204722"/>
  <pageSetup paperSize="9" scale="65" orientation="landscape" r:id="rId1"/>
  <headerFooter alignWithMargins="0">
    <oddFooter>&amp;LFM-HSS-W01-01&amp;CJanuary 2020&amp;RRev 17.0</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8B76F-ADD5-4E65-8775-67DAE12D0910}">
  <sheetPr codeName="Sheet7">
    <tabColor indexed="14"/>
  </sheetPr>
  <dimension ref="B2:AD49"/>
  <sheetViews>
    <sheetView showGridLines="0" showZeros="0" view="pageLayout" zoomScale="80" zoomScaleNormal="60" zoomScalePageLayoutView="80" workbookViewId="0">
      <selection activeCell="H21" sqref="H21"/>
    </sheetView>
  </sheetViews>
  <sheetFormatPr defaultColWidth="9.109375" defaultRowHeight="13.2" x14ac:dyDescent="0.25"/>
  <cols>
    <col min="1" max="1" width="1.77734375" style="48" customWidth="1"/>
    <col min="2" max="2" width="2.6640625" style="48" customWidth="1"/>
    <col min="3" max="3" width="39.44140625" style="48" customWidth="1"/>
    <col min="4" max="4" width="14.44140625" style="48" customWidth="1"/>
    <col min="5" max="5" width="22.44140625" style="48" customWidth="1"/>
    <col min="6" max="6" width="20.6640625" style="48" customWidth="1"/>
    <col min="7" max="7" width="16.6640625" style="48" customWidth="1"/>
    <col min="8" max="8" width="19" style="48" customWidth="1"/>
    <col min="9" max="9" width="20.109375" style="48" customWidth="1"/>
    <col min="10" max="10" width="19" style="48" customWidth="1"/>
    <col min="11" max="11" width="16.77734375" style="48" customWidth="1"/>
    <col min="12" max="12" width="19.44140625" style="48" customWidth="1"/>
    <col min="13" max="13" width="19.77734375" style="48" customWidth="1"/>
    <col min="14" max="14" width="23.77734375" style="48" customWidth="1"/>
    <col min="15" max="15" width="20.77734375" style="48" customWidth="1"/>
    <col min="16" max="16" width="25.33203125" style="48" customWidth="1"/>
    <col min="17" max="17" width="24.44140625" style="48" customWidth="1"/>
    <col min="18" max="18" width="22.44140625" style="48" customWidth="1"/>
    <col min="19" max="19" width="3.44140625" style="48" customWidth="1"/>
    <col min="20" max="23" width="9.109375" style="48" hidden="1" customWidth="1"/>
    <col min="24" max="24" width="9.6640625" style="48" hidden="1" customWidth="1"/>
    <col min="25" max="26" width="9.109375" style="48" hidden="1" customWidth="1"/>
    <col min="27" max="27" width="11.77734375" style="48" hidden="1" customWidth="1"/>
    <col min="28" max="30" width="9.109375" style="48" hidden="1" customWidth="1"/>
    <col min="31" max="16384" width="9.109375" style="48"/>
  </cols>
  <sheetData>
    <row r="2" spans="2:30" ht="20.25" customHeight="1" thickTop="1" x14ac:dyDescent="0.25">
      <c r="B2" s="951" t="s">
        <v>291</v>
      </c>
      <c r="C2" s="952"/>
      <c r="D2" s="953"/>
      <c r="E2" s="954" t="str">
        <f>'Project Details'!D10</f>
        <v>Piccadilly Gardens Redevelopment</v>
      </c>
      <c r="F2" s="955"/>
      <c r="G2" s="955"/>
      <c r="H2" s="955"/>
      <c r="I2" s="955"/>
      <c r="J2" s="955"/>
      <c r="K2" s="955"/>
      <c r="L2" s="956"/>
      <c r="M2" s="956"/>
      <c r="N2" s="956"/>
      <c r="O2" s="956"/>
      <c r="P2" s="956"/>
      <c r="Q2" s="956"/>
      <c r="R2" s="956"/>
      <c r="S2" s="957"/>
    </row>
    <row r="3" spans="2:30" ht="21" customHeight="1" x14ac:dyDescent="0.25">
      <c r="B3" s="958" t="s">
        <v>292</v>
      </c>
      <c r="C3" s="959"/>
      <c r="D3" s="960"/>
      <c r="E3" s="961" t="str">
        <f>'Project Details'!D11</f>
        <v>HLA098</v>
      </c>
      <c r="F3" s="962"/>
      <c r="G3" s="962"/>
      <c r="H3" s="962"/>
      <c r="I3" s="962"/>
      <c r="J3" s="962"/>
      <c r="K3" s="962"/>
      <c r="L3" s="963" t="s">
        <v>38</v>
      </c>
      <c r="M3" s="964"/>
      <c r="N3" s="967" t="str">
        <f>'Project Details'!D38</f>
        <v>Adam Liu</v>
      </c>
      <c r="O3" s="968"/>
      <c r="P3" s="968"/>
      <c r="Q3" s="968"/>
      <c r="R3" s="968"/>
      <c r="S3" s="969"/>
    </row>
    <row r="4" spans="2:30" ht="21" customHeight="1" x14ac:dyDescent="0.25">
      <c r="B4" s="958" t="s">
        <v>293</v>
      </c>
      <c r="C4" s="959"/>
      <c r="D4" s="960"/>
      <c r="E4" s="972" t="str">
        <f>'Project Details'!D16</f>
        <v>Winter 2026 (TBC)</v>
      </c>
      <c r="F4" s="962"/>
      <c r="G4" s="962"/>
      <c r="H4" s="962"/>
      <c r="I4" s="962"/>
      <c r="J4" s="962"/>
      <c r="K4" s="962"/>
      <c r="L4" s="965"/>
      <c r="M4" s="966"/>
      <c r="N4" s="965"/>
      <c r="O4" s="970"/>
      <c r="P4" s="970"/>
      <c r="Q4" s="970"/>
      <c r="R4" s="970"/>
      <c r="S4" s="971"/>
    </row>
    <row r="5" spans="2:30" ht="21" customHeight="1" thickBot="1" x14ac:dyDescent="0.3">
      <c r="B5" s="973" t="s">
        <v>36</v>
      </c>
      <c r="C5" s="974"/>
      <c r="D5" s="975"/>
      <c r="E5" s="976" t="str">
        <f>'Project Details'!D39</f>
        <v>TBC</v>
      </c>
      <c r="F5" s="977"/>
      <c r="G5" s="977"/>
      <c r="H5" s="977"/>
      <c r="I5" s="977"/>
      <c r="J5" s="977"/>
      <c r="K5" s="977"/>
      <c r="L5" s="978" t="s">
        <v>294</v>
      </c>
      <c r="M5" s="979"/>
      <c r="N5" s="976" t="str">
        <f>'Project Details'!D42</f>
        <v>TBC</v>
      </c>
      <c r="O5" s="976"/>
      <c r="P5" s="976"/>
      <c r="Q5" s="976"/>
      <c r="R5" s="976"/>
      <c r="S5" s="980"/>
    </row>
    <row r="6" spans="2:30" ht="15" thickTop="1" thickBot="1" x14ac:dyDescent="0.35">
      <c r="B6" s="168"/>
      <c r="C6" s="278"/>
      <c r="D6" s="278"/>
      <c r="E6" s="278"/>
      <c r="F6" s="278"/>
      <c r="G6" s="278"/>
      <c r="H6" s="278"/>
      <c r="I6" s="278"/>
      <c r="J6" s="278"/>
      <c r="K6" s="278"/>
      <c r="L6" s="278"/>
      <c r="M6" s="278"/>
      <c r="N6" s="278"/>
      <c r="O6" s="278"/>
      <c r="P6" s="278"/>
      <c r="Q6" s="278"/>
      <c r="R6" s="278"/>
      <c r="S6" s="168"/>
    </row>
    <row r="7" spans="2:30" ht="13.8" x14ac:dyDescent="0.3">
      <c r="B7" s="279"/>
      <c r="C7" s="280"/>
      <c r="D7" s="280"/>
      <c r="E7" s="280"/>
      <c r="F7" s="280"/>
      <c r="G7" s="280"/>
      <c r="H7" s="280"/>
      <c r="I7" s="280"/>
      <c r="J7" s="280"/>
      <c r="K7" s="280"/>
      <c r="L7" s="280"/>
      <c r="M7" s="280"/>
      <c r="N7" s="280"/>
      <c r="O7" s="280"/>
      <c r="P7" s="280"/>
      <c r="Q7" s="280"/>
      <c r="R7" s="280"/>
      <c r="S7" s="281"/>
    </row>
    <row r="8" spans="2:30" ht="27.75" customHeight="1" thickBot="1" x14ac:dyDescent="0.35">
      <c r="B8" s="282"/>
      <c r="C8" s="922" t="s">
        <v>295</v>
      </c>
      <c r="D8" s="923"/>
      <c r="E8" s="923"/>
      <c r="F8" s="924"/>
      <c r="G8" s="924"/>
      <c r="H8" s="628"/>
      <c r="I8" s="628"/>
      <c r="J8" s="628"/>
      <c r="K8" s="628"/>
      <c r="L8" s="628"/>
      <c r="M8" s="628"/>
      <c r="N8" s="628"/>
      <c r="O8" s="628"/>
      <c r="P8" s="628"/>
      <c r="Q8" s="628"/>
      <c r="R8" s="628"/>
      <c r="S8" s="283"/>
    </row>
    <row r="9" spans="2:30" ht="15.75" customHeight="1" x14ac:dyDescent="0.3">
      <c r="B9" s="282"/>
      <c r="C9" s="933"/>
      <c r="D9" s="934"/>
      <c r="E9" s="629"/>
      <c r="F9" s="914" t="s">
        <v>296</v>
      </c>
      <c r="G9" s="937"/>
      <c r="H9" s="937"/>
      <c r="I9" s="916"/>
      <c r="J9" s="914" t="s">
        <v>297</v>
      </c>
      <c r="K9" s="915"/>
      <c r="L9" s="915"/>
      <c r="M9" s="916"/>
      <c r="N9" s="914" t="s">
        <v>298</v>
      </c>
      <c r="O9" s="937"/>
      <c r="P9" s="937"/>
      <c r="Q9" s="937"/>
      <c r="R9" s="940"/>
      <c r="S9" s="283"/>
    </row>
    <row r="10" spans="2:30" ht="16.5" customHeight="1" thickBot="1" x14ac:dyDescent="0.35">
      <c r="B10" s="282"/>
      <c r="C10" s="935"/>
      <c r="D10" s="936"/>
      <c r="E10" s="629"/>
      <c r="F10" s="938"/>
      <c r="G10" s="939"/>
      <c r="H10" s="939"/>
      <c r="I10" s="919"/>
      <c r="J10" s="917"/>
      <c r="K10" s="918"/>
      <c r="L10" s="918"/>
      <c r="M10" s="919"/>
      <c r="N10" s="941"/>
      <c r="O10" s="942"/>
      <c r="P10" s="942"/>
      <c r="Q10" s="942"/>
      <c r="R10" s="943"/>
      <c r="S10" s="283"/>
    </row>
    <row r="11" spans="2:30" ht="25.5" customHeight="1" x14ac:dyDescent="0.3">
      <c r="B11" s="635"/>
      <c r="C11" s="928" t="s">
        <v>299</v>
      </c>
      <c r="D11" s="920" t="s">
        <v>105</v>
      </c>
      <c r="E11" s="931" t="s">
        <v>300</v>
      </c>
      <c r="F11" s="949" t="s">
        <v>61</v>
      </c>
      <c r="G11" s="950" t="s">
        <v>301</v>
      </c>
      <c r="H11" s="950" t="s">
        <v>302</v>
      </c>
      <c r="I11" s="948" t="s">
        <v>303</v>
      </c>
      <c r="J11" s="949" t="s">
        <v>61</v>
      </c>
      <c r="K11" s="950" t="s">
        <v>301</v>
      </c>
      <c r="L11" s="950" t="s">
        <v>302</v>
      </c>
      <c r="M11" s="948" t="s">
        <v>303</v>
      </c>
      <c r="N11" s="926" t="s">
        <v>61</v>
      </c>
      <c r="O11" s="920" t="s">
        <v>304</v>
      </c>
      <c r="P11" s="920" t="s">
        <v>305</v>
      </c>
      <c r="Q11" s="920" t="s">
        <v>306</v>
      </c>
      <c r="R11" s="662" t="s">
        <v>307</v>
      </c>
      <c r="S11" s="283"/>
      <c r="T11" s="48" t="s">
        <v>308</v>
      </c>
      <c r="Z11" s="48" t="s">
        <v>309</v>
      </c>
    </row>
    <row r="12" spans="2:30" ht="37.5" customHeight="1" thickBot="1" x14ac:dyDescent="0.35">
      <c r="B12" s="635"/>
      <c r="C12" s="929"/>
      <c r="D12" s="930"/>
      <c r="E12" s="932"/>
      <c r="F12" s="949"/>
      <c r="G12" s="950"/>
      <c r="H12" s="950"/>
      <c r="I12" s="948"/>
      <c r="J12" s="949"/>
      <c r="K12" s="950"/>
      <c r="L12" s="950"/>
      <c r="M12" s="948"/>
      <c r="N12" s="927"/>
      <c r="O12" s="921"/>
      <c r="P12" s="921"/>
      <c r="Q12" s="921"/>
      <c r="R12" s="663" t="s">
        <v>310</v>
      </c>
      <c r="S12" s="283"/>
      <c r="T12" s="48" t="s">
        <v>311</v>
      </c>
      <c r="U12" s="48" t="s">
        <v>312</v>
      </c>
      <c r="V12" s="48" t="s">
        <v>313</v>
      </c>
      <c r="W12" s="48" t="s">
        <v>314</v>
      </c>
      <c r="X12" s="48" t="s">
        <v>315</v>
      </c>
      <c r="Z12" s="48" t="s">
        <v>311</v>
      </c>
      <c r="AA12" s="48" t="s">
        <v>312</v>
      </c>
      <c r="AB12" s="48" t="s">
        <v>313</v>
      </c>
      <c r="AC12" s="48" t="s">
        <v>314</v>
      </c>
      <c r="AD12" s="48" t="s">
        <v>315</v>
      </c>
    </row>
    <row r="13" spans="2:30" ht="27" customHeight="1" x14ac:dyDescent="0.3">
      <c r="B13" s="635"/>
      <c r="C13" s="135" t="s">
        <v>447</v>
      </c>
      <c r="D13" s="285">
        <f t="shared" ref="D13:D33" si="0">IF(C13="","",(VLOOKUP($C13,EWC,2,FALSE)))</f>
        <v>200301</v>
      </c>
      <c r="E13" s="667" t="s">
        <v>18</v>
      </c>
      <c r="F13" s="287"/>
      <c r="G13" s="288"/>
      <c r="H13" s="289"/>
      <c r="I13" s="290"/>
      <c r="J13" s="287"/>
      <c r="K13" s="288"/>
      <c r="L13" s="289"/>
      <c r="M13" s="291"/>
      <c r="N13" s="658"/>
      <c r="O13" s="311"/>
      <c r="P13" s="311"/>
      <c r="Q13" s="659" t="s">
        <v>316</v>
      </c>
      <c r="R13" s="660" t="s">
        <v>316</v>
      </c>
      <c r="S13" s="283"/>
      <c r="T13" s="48">
        <f t="shared" ref="T13:T33" ca="1" si="1">IF(H13&lt;($X$39+30),1,0)</f>
        <v>1</v>
      </c>
      <c r="U13" s="48">
        <f ca="1">IF(W13+X13=2,1,0)</f>
        <v>0</v>
      </c>
      <c r="V13" s="48">
        <f ca="1">IF(T13+X13=2,1,0)</f>
        <v>0</v>
      </c>
      <c r="W13" s="48">
        <f t="shared" ref="W13:W33" ca="1" si="2">IF(H13&lt;$X$39,1,0)</f>
        <v>1</v>
      </c>
      <c r="X13" s="48">
        <f t="shared" ref="X13:X33" si="3">IF(H13&gt;0,1,0)</f>
        <v>0</v>
      </c>
      <c r="Z13" s="48">
        <f t="shared" ref="Z13:Z33" ca="1" si="4">IF(L13&lt;($X$39+30),1,0)</f>
        <v>1</v>
      </c>
      <c r="AA13" s="48">
        <f ca="1">IF(AC13+AD13=2,1,0)</f>
        <v>0</v>
      </c>
      <c r="AB13" s="48">
        <f ca="1">IF(Z13+AD13=2,1,0)</f>
        <v>0</v>
      </c>
      <c r="AC13" s="48">
        <f t="shared" ref="AC13:AC33" ca="1" si="5">IF(L13&lt;$X$39,1,0)</f>
        <v>1</v>
      </c>
      <c r="AD13" s="48">
        <f>IF(L13&gt;0,1,0)</f>
        <v>0</v>
      </c>
    </row>
    <row r="14" spans="2:30" ht="27" customHeight="1" x14ac:dyDescent="0.3">
      <c r="B14" s="635"/>
      <c r="C14" s="135" t="s">
        <v>179</v>
      </c>
      <c r="D14" s="285">
        <f t="shared" si="0"/>
        <v>170407</v>
      </c>
      <c r="E14" s="667" t="s">
        <v>18</v>
      </c>
      <c r="F14" s="287"/>
      <c r="G14" s="288"/>
      <c r="H14" s="289"/>
      <c r="I14" s="290"/>
      <c r="J14" s="287"/>
      <c r="K14" s="288"/>
      <c r="L14" s="289"/>
      <c r="M14" s="291"/>
      <c r="N14" s="287"/>
      <c r="O14" s="288"/>
      <c r="P14" s="288"/>
      <c r="Q14" s="343" t="s">
        <v>316</v>
      </c>
      <c r="R14" s="292" t="s">
        <v>316</v>
      </c>
      <c r="S14" s="283"/>
      <c r="T14" s="48">
        <f t="shared" ca="1" si="1"/>
        <v>1</v>
      </c>
      <c r="U14" s="48">
        <f t="shared" ref="U14:U33" ca="1" si="6">IF(W14+X14=2,1,0)</f>
        <v>0</v>
      </c>
      <c r="V14" s="48">
        <f t="shared" ref="V14:V33" ca="1" si="7">IF(T14+X14=2,1,0)</f>
        <v>0</v>
      </c>
      <c r="W14" s="48">
        <f t="shared" ca="1" si="2"/>
        <v>1</v>
      </c>
      <c r="X14" s="48">
        <f t="shared" si="3"/>
        <v>0</v>
      </c>
      <c r="Z14" s="48">
        <f t="shared" ca="1" si="4"/>
        <v>1</v>
      </c>
      <c r="AA14" s="48">
        <f t="shared" ref="AA14:AA33" ca="1" si="8">IF(AC14+AD14=2,1,0)</f>
        <v>0</v>
      </c>
      <c r="AB14" s="48">
        <f t="shared" ref="AB14:AB33" ca="1" si="9">IF(Z14+AD14=2,1,0)</f>
        <v>0</v>
      </c>
      <c r="AC14" s="48">
        <f t="shared" ca="1" si="5"/>
        <v>1</v>
      </c>
      <c r="AD14" s="48">
        <f t="shared" ref="AD14:AD33" si="10">IF(L14&gt;0,1,0)</f>
        <v>0</v>
      </c>
    </row>
    <row r="15" spans="2:30" ht="27" customHeight="1" x14ac:dyDescent="0.3">
      <c r="B15" s="635"/>
      <c r="C15" s="135" t="s">
        <v>127</v>
      </c>
      <c r="D15" s="285">
        <f t="shared" si="0"/>
        <v>170504</v>
      </c>
      <c r="E15" s="667" t="s">
        <v>18</v>
      </c>
      <c r="F15" s="287"/>
      <c r="G15" s="288"/>
      <c r="H15" s="289"/>
      <c r="I15" s="290"/>
      <c r="J15" s="287"/>
      <c r="K15" s="288"/>
      <c r="L15" s="289"/>
      <c r="M15" s="291"/>
      <c r="N15" s="287"/>
      <c r="O15" s="288"/>
      <c r="P15" s="288"/>
      <c r="Q15" s="343" t="s">
        <v>316</v>
      </c>
      <c r="R15" s="292" t="s">
        <v>316</v>
      </c>
      <c r="S15" s="283"/>
      <c r="T15" s="48">
        <f t="shared" ca="1" si="1"/>
        <v>1</v>
      </c>
      <c r="U15" s="48">
        <f t="shared" ca="1" si="6"/>
        <v>0</v>
      </c>
      <c r="V15" s="48">
        <f t="shared" ca="1" si="7"/>
        <v>0</v>
      </c>
      <c r="W15" s="48">
        <f t="shared" ca="1" si="2"/>
        <v>1</v>
      </c>
      <c r="X15" s="48">
        <f t="shared" si="3"/>
        <v>0</v>
      </c>
      <c r="Z15" s="48">
        <f t="shared" ca="1" si="4"/>
        <v>1</v>
      </c>
      <c r="AA15" s="48">
        <f t="shared" ca="1" si="8"/>
        <v>0</v>
      </c>
      <c r="AB15" s="48">
        <f t="shared" ca="1" si="9"/>
        <v>0</v>
      </c>
      <c r="AC15" s="48">
        <f t="shared" ca="1" si="5"/>
        <v>1</v>
      </c>
      <c r="AD15" s="48">
        <f t="shared" si="10"/>
        <v>0</v>
      </c>
    </row>
    <row r="16" spans="2:30" ht="27" customHeight="1" x14ac:dyDescent="0.3">
      <c r="B16" s="635"/>
      <c r="C16" s="135" t="s">
        <v>129</v>
      </c>
      <c r="D16" s="285">
        <f t="shared" si="0"/>
        <v>170302</v>
      </c>
      <c r="E16" s="667" t="s">
        <v>18</v>
      </c>
      <c r="F16" s="287"/>
      <c r="G16" s="288"/>
      <c r="H16" s="289"/>
      <c r="I16" s="290"/>
      <c r="J16" s="287"/>
      <c r="K16" s="288"/>
      <c r="L16" s="289"/>
      <c r="M16" s="291"/>
      <c r="N16" s="287"/>
      <c r="O16" s="288"/>
      <c r="P16" s="288"/>
      <c r="Q16" s="343" t="s">
        <v>316</v>
      </c>
      <c r="R16" s="292" t="s">
        <v>316</v>
      </c>
      <c r="S16" s="283"/>
      <c r="T16" s="48">
        <f t="shared" ca="1" si="1"/>
        <v>1</v>
      </c>
      <c r="U16" s="48">
        <f t="shared" ca="1" si="6"/>
        <v>0</v>
      </c>
      <c r="V16" s="48">
        <f t="shared" ca="1" si="7"/>
        <v>0</v>
      </c>
      <c r="W16" s="48">
        <f t="shared" ca="1" si="2"/>
        <v>1</v>
      </c>
      <c r="X16" s="48">
        <f t="shared" si="3"/>
        <v>0</v>
      </c>
      <c r="Z16" s="48">
        <f t="shared" ca="1" si="4"/>
        <v>1</v>
      </c>
      <c r="AA16" s="48">
        <f t="shared" ca="1" si="8"/>
        <v>0</v>
      </c>
      <c r="AB16" s="48">
        <f t="shared" ca="1" si="9"/>
        <v>0</v>
      </c>
      <c r="AC16" s="48">
        <f t="shared" ca="1" si="5"/>
        <v>1</v>
      </c>
      <c r="AD16" s="48">
        <f t="shared" si="10"/>
        <v>0</v>
      </c>
    </row>
    <row r="17" spans="2:30" ht="27" customHeight="1" x14ac:dyDescent="0.3">
      <c r="B17" s="632"/>
      <c r="C17" s="135" t="s">
        <v>317</v>
      </c>
      <c r="D17" s="285">
        <f t="shared" si="0"/>
        <v>200303</v>
      </c>
      <c r="E17" s="667" t="s">
        <v>18</v>
      </c>
      <c r="F17" s="287"/>
      <c r="G17" s="288"/>
      <c r="H17" s="289"/>
      <c r="I17" s="290"/>
      <c r="J17" s="287"/>
      <c r="K17" s="288"/>
      <c r="L17" s="289"/>
      <c r="M17" s="291"/>
      <c r="N17" s="287"/>
      <c r="O17" s="288"/>
      <c r="P17" s="288"/>
      <c r="Q17" s="343" t="s">
        <v>316</v>
      </c>
      <c r="R17" s="292" t="s">
        <v>316</v>
      </c>
      <c r="S17" s="283"/>
      <c r="T17" s="48">
        <f t="shared" ca="1" si="1"/>
        <v>1</v>
      </c>
      <c r="U17" s="48">
        <f t="shared" ca="1" si="6"/>
        <v>0</v>
      </c>
      <c r="V17" s="48">
        <f t="shared" ca="1" si="7"/>
        <v>0</v>
      </c>
      <c r="W17" s="48">
        <f t="shared" ca="1" si="2"/>
        <v>1</v>
      </c>
      <c r="X17" s="48">
        <f t="shared" si="3"/>
        <v>0</v>
      </c>
      <c r="Z17" s="48">
        <f t="shared" ca="1" si="4"/>
        <v>1</v>
      </c>
      <c r="AA17" s="48">
        <f t="shared" ca="1" si="8"/>
        <v>0</v>
      </c>
      <c r="AB17" s="48">
        <f t="shared" ca="1" si="9"/>
        <v>0</v>
      </c>
      <c r="AC17" s="48">
        <f t="shared" ca="1" si="5"/>
        <v>1</v>
      </c>
      <c r="AD17" s="48">
        <f t="shared" si="10"/>
        <v>0</v>
      </c>
    </row>
    <row r="18" spans="2:30" ht="27" customHeight="1" x14ac:dyDescent="0.3">
      <c r="B18" s="632"/>
      <c r="C18" s="135" t="s">
        <v>318</v>
      </c>
      <c r="D18" s="285">
        <f t="shared" si="0"/>
        <v>161001</v>
      </c>
      <c r="E18" s="667" t="s">
        <v>18</v>
      </c>
      <c r="F18" s="287"/>
      <c r="G18" s="288"/>
      <c r="H18" s="289"/>
      <c r="I18" s="290"/>
      <c r="J18" s="287"/>
      <c r="K18" s="288"/>
      <c r="L18" s="289"/>
      <c r="M18" s="291"/>
      <c r="N18" s="287"/>
      <c r="O18" s="288"/>
      <c r="P18" s="288"/>
      <c r="Q18" s="343" t="s">
        <v>316</v>
      </c>
      <c r="R18" s="292" t="s">
        <v>316</v>
      </c>
      <c r="S18" s="283"/>
      <c r="T18" s="48">
        <f t="shared" ca="1" si="1"/>
        <v>1</v>
      </c>
      <c r="U18" s="48">
        <f t="shared" ca="1" si="6"/>
        <v>0</v>
      </c>
      <c r="V18" s="48">
        <f t="shared" ca="1" si="7"/>
        <v>0</v>
      </c>
      <c r="W18" s="48">
        <f t="shared" ca="1" si="2"/>
        <v>1</v>
      </c>
      <c r="X18" s="48">
        <f t="shared" si="3"/>
        <v>0</v>
      </c>
      <c r="Z18" s="48">
        <f t="shared" ca="1" si="4"/>
        <v>1</v>
      </c>
      <c r="AA18" s="48">
        <f t="shared" ca="1" si="8"/>
        <v>0</v>
      </c>
      <c r="AB18" s="48">
        <f t="shared" ca="1" si="9"/>
        <v>0</v>
      </c>
      <c r="AC18" s="48">
        <f t="shared" ca="1" si="5"/>
        <v>1</v>
      </c>
      <c r="AD18" s="48">
        <f t="shared" si="10"/>
        <v>0</v>
      </c>
    </row>
    <row r="19" spans="2:30" ht="27" customHeight="1" x14ac:dyDescent="0.3">
      <c r="B19" s="632"/>
      <c r="C19" s="284" t="s">
        <v>148</v>
      </c>
      <c r="D19" s="285">
        <f t="shared" si="0"/>
        <v>170904</v>
      </c>
      <c r="E19" s="667" t="s">
        <v>18</v>
      </c>
      <c r="F19" s="287"/>
      <c r="G19" s="288"/>
      <c r="H19" s="289"/>
      <c r="I19" s="290"/>
      <c r="J19" s="287"/>
      <c r="K19" s="288"/>
      <c r="L19" s="289"/>
      <c r="M19" s="291"/>
      <c r="N19" s="287"/>
      <c r="O19" s="288"/>
      <c r="P19" s="288"/>
      <c r="Q19" s="343" t="s">
        <v>316</v>
      </c>
      <c r="R19" s="292" t="s">
        <v>316</v>
      </c>
      <c r="S19" s="283"/>
      <c r="T19" s="48">
        <f t="shared" ca="1" si="1"/>
        <v>1</v>
      </c>
      <c r="U19" s="48">
        <f t="shared" ca="1" si="6"/>
        <v>0</v>
      </c>
      <c r="V19" s="48">
        <f t="shared" ca="1" si="7"/>
        <v>0</v>
      </c>
      <c r="W19" s="48">
        <f t="shared" ca="1" si="2"/>
        <v>1</v>
      </c>
      <c r="X19" s="48">
        <f t="shared" si="3"/>
        <v>0</v>
      </c>
      <c r="Z19" s="48">
        <f t="shared" ca="1" si="4"/>
        <v>1</v>
      </c>
      <c r="AA19" s="48">
        <f t="shared" ca="1" si="8"/>
        <v>0</v>
      </c>
      <c r="AB19" s="48">
        <f t="shared" ca="1" si="9"/>
        <v>0</v>
      </c>
      <c r="AC19" s="48">
        <f t="shared" ca="1" si="5"/>
        <v>1</v>
      </c>
      <c r="AD19" s="48">
        <f t="shared" si="10"/>
        <v>0</v>
      </c>
    </row>
    <row r="20" spans="2:30" ht="27" customHeight="1" x14ac:dyDescent="0.3">
      <c r="B20" s="632"/>
      <c r="C20" s="284" t="s">
        <v>131</v>
      </c>
      <c r="D20" s="285">
        <f t="shared" si="0"/>
        <v>170605</v>
      </c>
      <c r="E20" s="667" t="s">
        <v>18</v>
      </c>
      <c r="F20" s="287"/>
      <c r="G20" s="288"/>
      <c r="H20" s="289"/>
      <c r="I20" s="290"/>
      <c r="J20" s="287"/>
      <c r="K20" s="288"/>
      <c r="L20" s="289"/>
      <c r="M20" s="291"/>
      <c r="N20" s="287"/>
      <c r="O20" s="288"/>
      <c r="P20" s="288"/>
      <c r="Q20" s="343" t="s">
        <v>316</v>
      </c>
      <c r="R20" s="292" t="s">
        <v>316</v>
      </c>
      <c r="S20" s="283"/>
      <c r="T20" s="48">
        <f t="shared" ca="1" si="1"/>
        <v>1</v>
      </c>
      <c r="U20" s="48">
        <f t="shared" ca="1" si="6"/>
        <v>0</v>
      </c>
      <c r="V20" s="48">
        <f t="shared" ca="1" si="7"/>
        <v>0</v>
      </c>
      <c r="W20" s="48">
        <f t="shared" ca="1" si="2"/>
        <v>1</v>
      </c>
      <c r="X20" s="48">
        <f t="shared" si="3"/>
        <v>0</v>
      </c>
      <c r="Z20" s="48">
        <f t="shared" ca="1" si="4"/>
        <v>1</v>
      </c>
      <c r="AA20" s="48">
        <f t="shared" ca="1" si="8"/>
        <v>0</v>
      </c>
      <c r="AB20" s="48">
        <f t="shared" ca="1" si="9"/>
        <v>0</v>
      </c>
      <c r="AC20" s="48">
        <f t="shared" ca="1" si="5"/>
        <v>1</v>
      </c>
      <c r="AD20" s="48">
        <f t="shared" si="10"/>
        <v>0</v>
      </c>
    </row>
    <row r="21" spans="2:30" ht="27" customHeight="1" x14ac:dyDescent="0.3">
      <c r="B21" s="632"/>
      <c r="C21" s="284" t="s">
        <v>124</v>
      </c>
      <c r="D21" s="285">
        <f t="shared" si="0"/>
        <v>170107</v>
      </c>
      <c r="E21" s="286" t="s">
        <v>18</v>
      </c>
      <c r="F21" s="287"/>
      <c r="G21" s="288"/>
      <c r="H21" s="289"/>
      <c r="I21" s="290"/>
      <c r="J21" s="287"/>
      <c r="K21" s="288"/>
      <c r="L21" s="289"/>
      <c r="M21" s="291"/>
      <c r="N21" s="287"/>
      <c r="O21" s="288"/>
      <c r="P21" s="288"/>
      <c r="Q21" s="343" t="s">
        <v>316</v>
      </c>
      <c r="R21" s="292" t="s">
        <v>316</v>
      </c>
      <c r="S21" s="283"/>
      <c r="T21" s="48">
        <f t="shared" ca="1" si="1"/>
        <v>1</v>
      </c>
      <c r="U21" s="48">
        <f t="shared" ca="1" si="6"/>
        <v>0</v>
      </c>
      <c r="V21" s="48">
        <f t="shared" ca="1" si="7"/>
        <v>0</v>
      </c>
      <c r="W21" s="48">
        <f t="shared" ca="1" si="2"/>
        <v>1</v>
      </c>
      <c r="X21" s="48">
        <f t="shared" si="3"/>
        <v>0</v>
      </c>
      <c r="Z21" s="48">
        <f t="shared" ca="1" si="4"/>
        <v>1</v>
      </c>
      <c r="AA21" s="48">
        <f t="shared" ca="1" si="8"/>
        <v>0</v>
      </c>
      <c r="AB21" s="48">
        <f t="shared" ca="1" si="9"/>
        <v>0</v>
      </c>
      <c r="AC21" s="48">
        <f t="shared" ca="1" si="5"/>
        <v>1</v>
      </c>
      <c r="AD21" s="48">
        <f t="shared" si="10"/>
        <v>0</v>
      </c>
    </row>
    <row r="22" spans="2:30" ht="27" customHeight="1" x14ac:dyDescent="0.3">
      <c r="B22" s="632"/>
      <c r="C22" s="284" t="s">
        <v>124</v>
      </c>
      <c r="D22" s="285">
        <f t="shared" si="0"/>
        <v>170107</v>
      </c>
      <c r="E22" s="286" t="s">
        <v>18</v>
      </c>
      <c r="F22" s="287"/>
      <c r="G22" s="288"/>
      <c r="H22" s="289"/>
      <c r="I22" s="290"/>
      <c r="J22" s="287"/>
      <c r="K22" s="288"/>
      <c r="L22" s="289"/>
      <c r="M22" s="291"/>
      <c r="N22" s="287"/>
      <c r="O22" s="288"/>
      <c r="P22" s="288"/>
      <c r="Q22" s="343" t="s">
        <v>316</v>
      </c>
      <c r="R22" s="292" t="s">
        <v>316</v>
      </c>
      <c r="S22" s="283"/>
      <c r="T22" s="48">
        <f t="shared" ca="1" si="1"/>
        <v>1</v>
      </c>
      <c r="U22" s="48">
        <f t="shared" ca="1" si="6"/>
        <v>0</v>
      </c>
      <c r="V22" s="48">
        <f t="shared" ca="1" si="7"/>
        <v>0</v>
      </c>
      <c r="W22" s="48">
        <f t="shared" ca="1" si="2"/>
        <v>1</v>
      </c>
      <c r="X22" s="48">
        <f t="shared" si="3"/>
        <v>0</v>
      </c>
      <c r="Z22" s="48">
        <f t="shared" ca="1" si="4"/>
        <v>1</v>
      </c>
      <c r="AA22" s="48">
        <f t="shared" ca="1" si="8"/>
        <v>0</v>
      </c>
      <c r="AB22" s="48">
        <f t="shared" ca="1" si="9"/>
        <v>0</v>
      </c>
      <c r="AC22" s="48">
        <f t="shared" ca="1" si="5"/>
        <v>1</v>
      </c>
      <c r="AD22" s="48">
        <f t="shared" si="10"/>
        <v>0</v>
      </c>
    </row>
    <row r="23" spans="2:30" ht="27" customHeight="1" x14ac:dyDescent="0.3">
      <c r="B23" s="632"/>
      <c r="C23" s="284" t="s">
        <v>131</v>
      </c>
      <c r="D23" s="285">
        <f t="shared" si="0"/>
        <v>170605</v>
      </c>
      <c r="E23" s="286" t="s">
        <v>18</v>
      </c>
      <c r="F23" s="287"/>
      <c r="G23" s="288"/>
      <c r="H23" s="289"/>
      <c r="I23" s="290"/>
      <c r="J23" s="287"/>
      <c r="K23" s="288"/>
      <c r="L23" s="289"/>
      <c r="M23" s="291"/>
      <c r="N23" s="287"/>
      <c r="O23" s="288"/>
      <c r="P23" s="288"/>
      <c r="Q23" s="343" t="s">
        <v>316</v>
      </c>
      <c r="R23" s="292" t="s">
        <v>316</v>
      </c>
      <c r="S23" s="283"/>
      <c r="T23" s="48">
        <f t="shared" ca="1" si="1"/>
        <v>1</v>
      </c>
      <c r="U23" s="48">
        <f t="shared" ca="1" si="6"/>
        <v>0</v>
      </c>
      <c r="V23" s="48">
        <f t="shared" ca="1" si="7"/>
        <v>0</v>
      </c>
      <c r="W23" s="48">
        <f t="shared" ca="1" si="2"/>
        <v>1</v>
      </c>
      <c r="X23" s="48">
        <f t="shared" si="3"/>
        <v>0</v>
      </c>
      <c r="Z23" s="48">
        <f t="shared" ca="1" si="4"/>
        <v>1</v>
      </c>
      <c r="AA23" s="48">
        <f t="shared" ca="1" si="8"/>
        <v>0</v>
      </c>
      <c r="AB23" s="48">
        <f t="shared" ca="1" si="9"/>
        <v>0</v>
      </c>
      <c r="AC23" s="48">
        <f t="shared" ca="1" si="5"/>
        <v>1</v>
      </c>
      <c r="AD23" s="48">
        <f t="shared" si="10"/>
        <v>0</v>
      </c>
    </row>
    <row r="24" spans="2:30" ht="27" customHeight="1" x14ac:dyDescent="0.3">
      <c r="B24" s="632"/>
      <c r="C24" s="284" t="s">
        <v>73</v>
      </c>
      <c r="D24" s="285">
        <f t="shared" si="0"/>
        <v>170201</v>
      </c>
      <c r="E24" s="286" t="s">
        <v>18</v>
      </c>
      <c r="F24" s="287"/>
      <c r="G24" s="288"/>
      <c r="H24" s="289"/>
      <c r="I24" s="290"/>
      <c r="J24" s="287"/>
      <c r="K24" s="288"/>
      <c r="L24" s="289"/>
      <c r="M24" s="291"/>
      <c r="N24" s="287"/>
      <c r="O24" s="288"/>
      <c r="P24" s="288"/>
      <c r="Q24" s="343" t="s">
        <v>316</v>
      </c>
      <c r="R24" s="292" t="s">
        <v>316</v>
      </c>
      <c r="S24" s="283"/>
      <c r="T24" s="48">
        <f t="shared" ca="1" si="1"/>
        <v>1</v>
      </c>
      <c r="U24" s="48">
        <f t="shared" ca="1" si="6"/>
        <v>0</v>
      </c>
      <c r="V24" s="48">
        <f t="shared" ca="1" si="7"/>
        <v>0</v>
      </c>
      <c r="W24" s="48">
        <f t="shared" ca="1" si="2"/>
        <v>1</v>
      </c>
      <c r="X24" s="48">
        <f t="shared" si="3"/>
        <v>0</v>
      </c>
      <c r="Z24" s="48">
        <f t="shared" ca="1" si="4"/>
        <v>1</v>
      </c>
      <c r="AA24" s="48">
        <f t="shared" ca="1" si="8"/>
        <v>0</v>
      </c>
      <c r="AB24" s="48">
        <f t="shared" ca="1" si="9"/>
        <v>0</v>
      </c>
      <c r="AC24" s="48">
        <f t="shared" ca="1" si="5"/>
        <v>1</v>
      </c>
      <c r="AD24" s="48">
        <f t="shared" si="10"/>
        <v>0</v>
      </c>
    </row>
    <row r="25" spans="2:30" ht="27" customHeight="1" x14ac:dyDescent="0.3">
      <c r="B25" s="632"/>
      <c r="C25" s="284" t="s">
        <v>120</v>
      </c>
      <c r="D25" s="285">
        <f t="shared" si="0"/>
        <v>150106</v>
      </c>
      <c r="E25" s="286" t="s">
        <v>18</v>
      </c>
      <c r="F25" s="287"/>
      <c r="G25" s="288"/>
      <c r="H25" s="289"/>
      <c r="I25" s="290"/>
      <c r="J25" s="287"/>
      <c r="K25" s="288"/>
      <c r="L25" s="289"/>
      <c r="M25" s="291"/>
      <c r="N25" s="287"/>
      <c r="O25" s="288"/>
      <c r="P25" s="288"/>
      <c r="Q25" s="343" t="s">
        <v>316</v>
      </c>
      <c r="R25" s="292" t="s">
        <v>316</v>
      </c>
      <c r="S25" s="283"/>
      <c r="T25" s="48">
        <f t="shared" ca="1" si="1"/>
        <v>1</v>
      </c>
      <c r="U25" s="48">
        <f ca="1">IF(W25+X25=2,1,0)</f>
        <v>0</v>
      </c>
      <c r="V25" s="48">
        <f ca="1">IF(T25+X25=2,1,0)</f>
        <v>0</v>
      </c>
      <c r="W25" s="48">
        <f t="shared" ca="1" si="2"/>
        <v>1</v>
      </c>
      <c r="X25" s="48">
        <f t="shared" si="3"/>
        <v>0</v>
      </c>
      <c r="Z25" s="48">
        <f t="shared" ca="1" si="4"/>
        <v>1</v>
      </c>
      <c r="AA25" s="48">
        <f ca="1">IF(AC25+AD25=2,1,0)</f>
        <v>0</v>
      </c>
      <c r="AB25" s="48">
        <f ca="1">IF(Z25+AD25=2,1,0)</f>
        <v>0</v>
      </c>
      <c r="AC25" s="48">
        <f t="shared" ca="1" si="5"/>
        <v>1</v>
      </c>
      <c r="AD25" s="48">
        <f>IF(L25&gt;0,1,0)</f>
        <v>0</v>
      </c>
    </row>
    <row r="26" spans="2:30" ht="27" customHeight="1" x14ac:dyDescent="0.3">
      <c r="B26" s="632"/>
      <c r="C26" s="284"/>
      <c r="D26" s="285" t="str">
        <f t="shared" si="0"/>
        <v/>
      </c>
      <c r="E26" s="286"/>
      <c r="F26" s="287"/>
      <c r="G26" s="288"/>
      <c r="H26" s="289"/>
      <c r="I26" s="290"/>
      <c r="J26" s="287"/>
      <c r="K26" s="288"/>
      <c r="L26" s="289"/>
      <c r="M26" s="291"/>
      <c r="N26" s="287"/>
      <c r="O26" s="288"/>
      <c r="P26" s="288"/>
      <c r="Q26" s="343" t="s">
        <v>316</v>
      </c>
      <c r="R26" s="292" t="s">
        <v>316</v>
      </c>
      <c r="S26" s="283"/>
      <c r="T26" s="48">
        <f t="shared" ca="1" si="1"/>
        <v>1</v>
      </c>
      <c r="U26" s="48">
        <f ca="1">IF(W26+X26=2,1,0)</f>
        <v>0</v>
      </c>
      <c r="V26" s="48">
        <f ca="1">IF(T26+X26=2,1,0)</f>
        <v>0</v>
      </c>
      <c r="W26" s="48">
        <f t="shared" ca="1" si="2"/>
        <v>1</v>
      </c>
      <c r="X26" s="48">
        <f t="shared" si="3"/>
        <v>0</v>
      </c>
      <c r="Z26" s="48">
        <f t="shared" ca="1" si="4"/>
        <v>1</v>
      </c>
      <c r="AA26" s="48">
        <f ca="1">IF(AC26+AD26=2,1,0)</f>
        <v>0</v>
      </c>
      <c r="AB26" s="48">
        <f ca="1">IF(Z26+AD26=2,1,0)</f>
        <v>0</v>
      </c>
      <c r="AC26" s="48">
        <f t="shared" ca="1" si="5"/>
        <v>1</v>
      </c>
      <c r="AD26" s="48">
        <f>IF(L26&gt;0,1,0)</f>
        <v>0</v>
      </c>
    </row>
    <row r="27" spans="2:30" ht="27" customHeight="1" x14ac:dyDescent="0.3">
      <c r="B27" s="632"/>
      <c r="C27" s="284"/>
      <c r="D27" s="285" t="str">
        <f t="shared" si="0"/>
        <v/>
      </c>
      <c r="E27" s="286"/>
      <c r="F27" s="287"/>
      <c r="G27" s="288"/>
      <c r="H27" s="289"/>
      <c r="I27" s="290"/>
      <c r="J27" s="287"/>
      <c r="K27" s="288"/>
      <c r="L27" s="289"/>
      <c r="M27" s="291"/>
      <c r="N27" s="287"/>
      <c r="O27" s="288"/>
      <c r="P27" s="288"/>
      <c r="Q27" s="343" t="s">
        <v>316</v>
      </c>
      <c r="R27" s="292" t="s">
        <v>316</v>
      </c>
      <c r="S27" s="283"/>
      <c r="T27" s="48">
        <f t="shared" ca="1" si="1"/>
        <v>1</v>
      </c>
      <c r="U27" s="48">
        <f ca="1">IF(W27+X27=2,1,0)</f>
        <v>0</v>
      </c>
      <c r="V27" s="48">
        <f ca="1">IF(T27+X27=2,1,0)</f>
        <v>0</v>
      </c>
      <c r="W27" s="48">
        <f t="shared" ca="1" si="2"/>
        <v>1</v>
      </c>
      <c r="X27" s="48">
        <f t="shared" si="3"/>
        <v>0</v>
      </c>
      <c r="Z27" s="48">
        <f t="shared" ca="1" si="4"/>
        <v>1</v>
      </c>
      <c r="AA27" s="48">
        <f ca="1">IF(AC27+AD27=2,1,0)</f>
        <v>0</v>
      </c>
      <c r="AB27" s="48">
        <f ca="1">IF(Z27+AD27=2,1,0)</f>
        <v>0</v>
      </c>
      <c r="AC27" s="48">
        <f t="shared" ca="1" si="5"/>
        <v>1</v>
      </c>
      <c r="AD27" s="48">
        <f>IF(L27&gt;0,1,0)</f>
        <v>0</v>
      </c>
    </row>
    <row r="28" spans="2:30" ht="27" customHeight="1" x14ac:dyDescent="0.3">
      <c r="B28" s="632"/>
      <c r="C28" s="284"/>
      <c r="D28" s="285" t="str">
        <f t="shared" si="0"/>
        <v/>
      </c>
      <c r="E28" s="286"/>
      <c r="F28" s="287"/>
      <c r="G28" s="288"/>
      <c r="H28" s="289"/>
      <c r="I28" s="290"/>
      <c r="J28" s="287"/>
      <c r="K28" s="288"/>
      <c r="L28" s="289"/>
      <c r="M28" s="291"/>
      <c r="N28" s="287"/>
      <c r="O28" s="288"/>
      <c r="P28" s="288"/>
      <c r="Q28" s="343" t="s">
        <v>316</v>
      </c>
      <c r="R28" s="292" t="s">
        <v>316</v>
      </c>
      <c r="S28" s="283"/>
      <c r="T28" s="48">
        <f t="shared" ca="1" si="1"/>
        <v>1</v>
      </c>
      <c r="U28" s="48">
        <f t="shared" ca="1" si="6"/>
        <v>0</v>
      </c>
      <c r="V28" s="48">
        <f t="shared" ca="1" si="7"/>
        <v>0</v>
      </c>
      <c r="W28" s="48">
        <f t="shared" ca="1" si="2"/>
        <v>1</v>
      </c>
      <c r="X28" s="48">
        <f t="shared" si="3"/>
        <v>0</v>
      </c>
      <c r="Z28" s="48">
        <f t="shared" ca="1" si="4"/>
        <v>1</v>
      </c>
      <c r="AA28" s="48">
        <f t="shared" ca="1" si="8"/>
        <v>0</v>
      </c>
      <c r="AB28" s="48">
        <f t="shared" ca="1" si="9"/>
        <v>0</v>
      </c>
      <c r="AC28" s="48">
        <f t="shared" ca="1" si="5"/>
        <v>1</v>
      </c>
      <c r="AD28" s="48">
        <f t="shared" si="10"/>
        <v>0</v>
      </c>
    </row>
    <row r="29" spans="2:30" ht="27" customHeight="1" x14ac:dyDescent="0.3">
      <c r="B29" s="632"/>
      <c r="C29" s="284"/>
      <c r="D29" s="285"/>
      <c r="E29" s="286"/>
      <c r="F29" s="287"/>
      <c r="G29" s="288"/>
      <c r="H29" s="289"/>
      <c r="I29" s="290"/>
      <c r="J29" s="287"/>
      <c r="K29" s="288"/>
      <c r="L29" s="289"/>
      <c r="M29" s="291"/>
      <c r="N29" s="287"/>
      <c r="O29" s="288"/>
      <c r="P29" s="288"/>
      <c r="Q29" s="343" t="s">
        <v>316</v>
      </c>
      <c r="R29" s="292" t="s">
        <v>316</v>
      </c>
      <c r="S29" s="283"/>
    </row>
    <row r="30" spans="2:30" ht="27" customHeight="1" x14ac:dyDescent="0.3">
      <c r="B30" s="632"/>
      <c r="C30" s="284"/>
      <c r="D30" s="285" t="str">
        <f t="shared" si="0"/>
        <v/>
      </c>
      <c r="E30" s="286"/>
      <c r="F30" s="287"/>
      <c r="G30" s="288"/>
      <c r="H30" s="289"/>
      <c r="I30" s="290"/>
      <c r="J30" s="287"/>
      <c r="K30" s="288"/>
      <c r="L30" s="289"/>
      <c r="M30" s="291"/>
      <c r="N30" s="287"/>
      <c r="O30" s="288"/>
      <c r="P30" s="288"/>
      <c r="Q30" s="343" t="s">
        <v>316</v>
      </c>
      <c r="R30" s="292" t="s">
        <v>316</v>
      </c>
      <c r="S30" s="283"/>
      <c r="T30" s="48">
        <f t="shared" ca="1" si="1"/>
        <v>1</v>
      </c>
      <c r="U30" s="48">
        <f t="shared" ca="1" si="6"/>
        <v>0</v>
      </c>
      <c r="V30" s="48">
        <f t="shared" ca="1" si="7"/>
        <v>0</v>
      </c>
      <c r="W30" s="48">
        <f t="shared" ca="1" si="2"/>
        <v>1</v>
      </c>
      <c r="X30" s="48">
        <f t="shared" si="3"/>
        <v>0</v>
      </c>
      <c r="Z30" s="48">
        <f t="shared" ca="1" si="4"/>
        <v>1</v>
      </c>
      <c r="AA30" s="48">
        <f t="shared" ca="1" si="8"/>
        <v>0</v>
      </c>
      <c r="AB30" s="48">
        <f t="shared" ca="1" si="9"/>
        <v>0</v>
      </c>
      <c r="AC30" s="48">
        <f t="shared" ca="1" si="5"/>
        <v>1</v>
      </c>
      <c r="AD30" s="48">
        <f t="shared" si="10"/>
        <v>0</v>
      </c>
    </row>
    <row r="31" spans="2:30" ht="27" customHeight="1" x14ac:dyDescent="0.3">
      <c r="B31" s="632"/>
      <c r="C31" s="284"/>
      <c r="D31" s="285" t="str">
        <f t="shared" si="0"/>
        <v/>
      </c>
      <c r="E31" s="286"/>
      <c r="F31" s="287"/>
      <c r="G31" s="288"/>
      <c r="H31" s="289"/>
      <c r="I31" s="290"/>
      <c r="J31" s="287"/>
      <c r="K31" s="288"/>
      <c r="L31" s="289"/>
      <c r="M31" s="291"/>
      <c r="N31" s="287"/>
      <c r="O31" s="288"/>
      <c r="P31" s="288"/>
      <c r="Q31" s="343" t="s">
        <v>316</v>
      </c>
      <c r="R31" s="292" t="s">
        <v>316</v>
      </c>
      <c r="S31" s="283"/>
      <c r="T31" s="48">
        <f t="shared" ca="1" si="1"/>
        <v>1</v>
      </c>
      <c r="U31" s="48">
        <f t="shared" ca="1" si="6"/>
        <v>0</v>
      </c>
      <c r="V31" s="48">
        <f t="shared" ca="1" si="7"/>
        <v>0</v>
      </c>
      <c r="W31" s="48">
        <f t="shared" ca="1" si="2"/>
        <v>1</v>
      </c>
      <c r="X31" s="48">
        <f t="shared" si="3"/>
        <v>0</v>
      </c>
      <c r="Z31" s="48">
        <f t="shared" ca="1" si="4"/>
        <v>1</v>
      </c>
      <c r="AA31" s="48">
        <f t="shared" ca="1" si="8"/>
        <v>0</v>
      </c>
      <c r="AB31" s="48">
        <f t="shared" ca="1" si="9"/>
        <v>0</v>
      </c>
      <c r="AC31" s="48">
        <f t="shared" ca="1" si="5"/>
        <v>1</v>
      </c>
      <c r="AD31" s="48">
        <f t="shared" si="10"/>
        <v>0</v>
      </c>
    </row>
    <row r="32" spans="2:30" ht="27" customHeight="1" x14ac:dyDescent="0.3">
      <c r="B32" s="632"/>
      <c r="C32" s="284"/>
      <c r="D32" s="285" t="str">
        <f t="shared" si="0"/>
        <v/>
      </c>
      <c r="E32" s="286"/>
      <c r="F32" s="287"/>
      <c r="G32" s="288"/>
      <c r="H32" s="289"/>
      <c r="I32" s="290"/>
      <c r="J32" s="287"/>
      <c r="K32" s="288"/>
      <c r="L32" s="289"/>
      <c r="M32" s="291"/>
      <c r="N32" s="287"/>
      <c r="O32" s="288"/>
      <c r="P32" s="288"/>
      <c r="Q32" s="343" t="s">
        <v>316</v>
      </c>
      <c r="R32" s="292" t="s">
        <v>316</v>
      </c>
      <c r="S32" s="283"/>
      <c r="T32" s="48">
        <f t="shared" ca="1" si="1"/>
        <v>1</v>
      </c>
      <c r="U32" s="48">
        <f t="shared" ca="1" si="6"/>
        <v>0</v>
      </c>
      <c r="V32" s="48">
        <f t="shared" ca="1" si="7"/>
        <v>0</v>
      </c>
      <c r="W32" s="48">
        <f t="shared" ca="1" si="2"/>
        <v>1</v>
      </c>
      <c r="X32" s="48">
        <f t="shared" si="3"/>
        <v>0</v>
      </c>
      <c r="Z32" s="48">
        <f t="shared" ca="1" si="4"/>
        <v>1</v>
      </c>
      <c r="AA32" s="48">
        <f t="shared" ca="1" si="8"/>
        <v>0</v>
      </c>
      <c r="AB32" s="48">
        <f t="shared" ca="1" si="9"/>
        <v>0</v>
      </c>
      <c r="AC32" s="48">
        <f t="shared" ca="1" si="5"/>
        <v>1</v>
      </c>
      <c r="AD32" s="48">
        <f t="shared" si="10"/>
        <v>0</v>
      </c>
    </row>
    <row r="33" spans="2:30" ht="27" customHeight="1" thickBot="1" x14ac:dyDescent="0.35">
      <c r="B33" s="632"/>
      <c r="C33" s="293"/>
      <c r="D33" s="294" t="str">
        <f t="shared" si="0"/>
        <v/>
      </c>
      <c r="E33" s="295"/>
      <c r="F33" s="296"/>
      <c r="G33" s="297"/>
      <c r="H33" s="298"/>
      <c r="I33" s="299"/>
      <c r="J33" s="296"/>
      <c r="K33" s="297"/>
      <c r="L33" s="298"/>
      <c r="M33" s="657"/>
      <c r="N33" s="296"/>
      <c r="O33" s="297"/>
      <c r="P33" s="297"/>
      <c r="Q33" s="661" t="s">
        <v>316</v>
      </c>
      <c r="R33" s="300" t="s">
        <v>316</v>
      </c>
      <c r="S33" s="283"/>
      <c r="T33" s="48">
        <f t="shared" ca="1" si="1"/>
        <v>1</v>
      </c>
      <c r="U33" s="48">
        <f t="shared" ca="1" si="6"/>
        <v>0</v>
      </c>
      <c r="V33" s="48">
        <f t="shared" ca="1" si="7"/>
        <v>0</v>
      </c>
      <c r="W33" s="48">
        <f t="shared" ca="1" si="2"/>
        <v>1</v>
      </c>
      <c r="X33" s="48">
        <f t="shared" si="3"/>
        <v>0</v>
      </c>
      <c r="Z33" s="48">
        <f t="shared" ca="1" si="4"/>
        <v>1</v>
      </c>
      <c r="AA33" s="48">
        <f t="shared" ca="1" si="8"/>
        <v>0</v>
      </c>
      <c r="AB33" s="48">
        <f t="shared" ca="1" si="9"/>
        <v>0</v>
      </c>
      <c r="AC33" s="48">
        <f t="shared" ca="1" si="5"/>
        <v>1</v>
      </c>
      <c r="AD33" s="48">
        <f t="shared" si="10"/>
        <v>0</v>
      </c>
    </row>
    <row r="34" spans="2:30" x14ac:dyDescent="0.25">
      <c r="B34" s="632"/>
      <c r="C34" s="633"/>
      <c r="D34" s="633"/>
      <c r="E34" s="633"/>
      <c r="F34" s="633"/>
      <c r="G34" s="633"/>
      <c r="H34" s="633"/>
      <c r="I34" s="633"/>
      <c r="J34" s="633"/>
      <c r="K34" s="633"/>
      <c r="L34" s="633"/>
      <c r="M34" s="633"/>
      <c r="N34" s="633"/>
      <c r="O34" s="633"/>
      <c r="P34" s="633"/>
      <c r="Q34" s="633"/>
      <c r="R34" s="633"/>
      <c r="S34" s="634"/>
    </row>
    <row r="35" spans="2:30" x14ac:dyDescent="0.25">
      <c r="B35" s="632"/>
      <c r="C35" s="633"/>
      <c r="D35" s="633"/>
      <c r="E35" s="633"/>
      <c r="F35" s="633"/>
      <c r="G35" s="633"/>
      <c r="H35" s="633"/>
      <c r="I35" s="633"/>
      <c r="J35" s="633"/>
      <c r="K35" s="633"/>
      <c r="L35" s="633"/>
      <c r="M35" s="633"/>
      <c r="N35" s="633"/>
      <c r="O35" s="633"/>
      <c r="P35" s="633"/>
      <c r="Q35" s="633"/>
      <c r="R35" s="633"/>
      <c r="S35" s="634"/>
    </row>
    <row r="36" spans="2:30" ht="13.8" thickBot="1" x14ac:dyDescent="0.3">
      <c r="B36" s="632"/>
      <c r="C36" s="633"/>
      <c r="D36" s="633"/>
      <c r="E36" s="633"/>
      <c r="F36" s="633"/>
      <c r="G36" s="633"/>
      <c r="H36" s="633"/>
      <c r="I36" s="633"/>
      <c r="J36" s="633"/>
      <c r="K36" s="633"/>
      <c r="L36" s="633"/>
      <c r="M36" s="633"/>
      <c r="N36" s="633"/>
      <c r="O36" s="633"/>
      <c r="P36" s="633"/>
      <c r="Q36" s="633"/>
      <c r="R36" s="633"/>
      <c r="S36" s="634"/>
    </row>
    <row r="37" spans="2:30" ht="26.25" customHeight="1" thickBot="1" x14ac:dyDescent="0.35">
      <c r="B37" s="632"/>
      <c r="C37" s="922" t="s">
        <v>319</v>
      </c>
      <c r="D37" s="923"/>
      <c r="E37" s="923"/>
      <c r="F37" s="924"/>
      <c r="G37" s="924"/>
      <c r="H37" s="925"/>
      <c r="I37" s="922" t="s">
        <v>320</v>
      </c>
      <c r="J37" s="923"/>
      <c r="K37" s="923"/>
      <c r="L37" s="924"/>
      <c r="M37" s="924"/>
      <c r="N37" s="925"/>
      <c r="O37" s="301"/>
      <c r="P37" s="628"/>
      <c r="Q37" s="631"/>
      <c r="R37" s="631"/>
      <c r="S37" s="283"/>
    </row>
    <row r="38" spans="2:30" ht="14.25" customHeight="1" thickBot="1" x14ac:dyDescent="0.35">
      <c r="B38" s="632"/>
      <c r="C38" s="625"/>
      <c r="D38" s="626"/>
      <c r="E38" s="626"/>
      <c r="F38" s="627"/>
      <c r="G38" s="627"/>
      <c r="H38" s="630"/>
      <c r="I38" s="630"/>
      <c r="J38" s="630"/>
      <c r="K38" s="630"/>
      <c r="L38" s="630"/>
      <c r="M38" s="630"/>
      <c r="N38" s="628"/>
      <c r="O38" s="628"/>
      <c r="P38" s="628"/>
      <c r="Q38" s="628"/>
      <c r="R38" s="628"/>
      <c r="S38" s="283"/>
    </row>
    <row r="39" spans="2:30" ht="51.75" customHeight="1" thickBot="1" x14ac:dyDescent="0.35">
      <c r="B39" s="632"/>
      <c r="C39" s="302" t="s">
        <v>321</v>
      </c>
      <c r="D39" s="303" t="s">
        <v>322</v>
      </c>
      <c r="E39" s="303" t="s">
        <v>323</v>
      </c>
      <c r="F39" s="944" t="s">
        <v>324</v>
      </c>
      <c r="G39" s="944"/>
      <c r="H39" s="945"/>
      <c r="I39" s="946" t="s">
        <v>325</v>
      </c>
      <c r="J39" s="947"/>
      <c r="K39" s="947"/>
      <c r="L39" s="947"/>
      <c r="M39" s="947"/>
      <c r="N39" s="304" t="s">
        <v>326</v>
      </c>
      <c r="O39" s="305" t="s">
        <v>327</v>
      </c>
      <c r="P39" s="303" t="s">
        <v>328</v>
      </c>
      <c r="Q39" s="306" t="s">
        <v>329</v>
      </c>
      <c r="R39" s="655"/>
      <c r="S39" s="283"/>
      <c r="X39" s="307">
        <f ca="1">NOW()</f>
        <v>46246.631443171296</v>
      </c>
    </row>
    <row r="40" spans="2:30" ht="51.75" customHeight="1" x14ac:dyDescent="0.3">
      <c r="B40" s="632"/>
      <c r="C40" s="308"/>
      <c r="D40" s="309"/>
      <c r="E40" s="310"/>
      <c r="F40" s="909" t="str">
        <f>IF(D40="","",VLOOKUP($D40,'Data Sheet'!$P$7:$Q$46,2,FALSE))</f>
        <v/>
      </c>
      <c r="G40" s="910"/>
      <c r="H40" s="911"/>
      <c r="I40" s="912"/>
      <c r="J40" s="913"/>
      <c r="K40" s="913"/>
      <c r="L40" s="913"/>
      <c r="M40" s="913"/>
      <c r="N40" s="311"/>
      <c r="O40" s="285" t="str">
        <f t="shared" ref="O40:O48" si="11">IF(N40="","",(VLOOKUP($N40,EWC,2,FALSE)))</f>
        <v/>
      </c>
      <c r="P40" s="312"/>
      <c r="Q40" s="313"/>
      <c r="R40" s="656"/>
      <c r="S40" s="283"/>
    </row>
    <row r="41" spans="2:30" ht="40.049999999999997" customHeight="1" x14ac:dyDescent="0.3">
      <c r="B41" s="632"/>
      <c r="C41" s="314"/>
      <c r="D41" s="315"/>
      <c r="E41" s="316" t="str">
        <f>IF(D41="","",VLOOKUP(D41,'Data Sheet'!$R$2:$S$42,2,FALSE))</f>
        <v/>
      </c>
      <c r="F41" s="899" t="str">
        <f>IF(D41="","",VLOOKUP($D41,'Data Sheet'!$P$7:$Q$46,2,FALSE))</f>
        <v/>
      </c>
      <c r="G41" s="900"/>
      <c r="H41" s="901"/>
      <c r="I41" s="902"/>
      <c r="J41" s="903"/>
      <c r="K41" s="903"/>
      <c r="L41" s="903"/>
      <c r="M41" s="903"/>
      <c r="N41" s="288"/>
      <c r="O41" s="285" t="str">
        <f t="shared" si="11"/>
        <v/>
      </c>
      <c r="P41" s="317"/>
      <c r="Q41" s="318"/>
      <c r="R41" s="656"/>
      <c r="S41" s="283"/>
    </row>
    <row r="42" spans="2:30" ht="40.049999999999997" customHeight="1" x14ac:dyDescent="0.3">
      <c r="B42" s="632"/>
      <c r="C42" s="314"/>
      <c r="D42" s="315"/>
      <c r="E42" s="316" t="str">
        <f>IF(D42="","",VLOOKUP(D42,'Data Sheet'!$R$2:$S$42,2,FALSE))</f>
        <v/>
      </c>
      <c r="F42" s="899" t="str">
        <f>IF(D42="","",VLOOKUP($D42,'Data Sheet'!$P$7:$Q$46,2,FALSE))</f>
        <v/>
      </c>
      <c r="G42" s="900"/>
      <c r="H42" s="901"/>
      <c r="I42" s="902"/>
      <c r="J42" s="903"/>
      <c r="K42" s="903"/>
      <c r="L42" s="903"/>
      <c r="M42" s="903"/>
      <c r="N42" s="288"/>
      <c r="O42" s="285" t="str">
        <f t="shared" si="11"/>
        <v/>
      </c>
      <c r="P42" s="317"/>
      <c r="Q42" s="318"/>
      <c r="R42" s="656"/>
      <c r="S42" s="283"/>
    </row>
    <row r="43" spans="2:30" ht="40.049999999999997" customHeight="1" x14ac:dyDescent="0.3">
      <c r="B43" s="632"/>
      <c r="C43" s="314"/>
      <c r="D43" s="315"/>
      <c r="E43" s="316" t="str">
        <f>IF(D43="","",VLOOKUP(D43,'Data Sheet'!$R$2:$S$42,2,FALSE))</f>
        <v/>
      </c>
      <c r="F43" s="899" t="str">
        <f>IF(D43="","",VLOOKUP($D43,'Data Sheet'!$P$7:$Q$46,2,FALSE))</f>
        <v/>
      </c>
      <c r="G43" s="900"/>
      <c r="H43" s="901"/>
      <c r="I43" s="902"/>
      <c r="J43" s="903"/>
      <c r="K43" s="903"/>
      <c r="L43" s="903"/>
      <c r="M43" s="903"/>
      <c r="N43" s="288"/>
      <c r="O43" s="285" t="str">
        <f t="shared" si="11"/>
        <v/>
      </c>
      <c r="P43" s="317"/>
      <c r="Q43" s="318"/>
      <c r="R43" s="656"/>
      <c r="S43" s="283"/>
    </row>
    <row r="44" spans="2:30" ht="40.049999999999997" customHeight="1" x14ac:dyDescent="0.3">
      <c r="B44" s="632"/>
      <c r="C44" s="314"/>
      <c r="D44" s="315"/>
      <c r="E44" s="316" t="str">
        <f>IF(D44="","",VLOOKUP(D44,'Data Sheet'!$R$2:$S$42,2,FALSE))</f>
        <v/>
      </c>
      <c r="F44" s="899" t="str">
        <f>IF(D44="","",VLOOKUP($D44,'Data Sheet'!$P$7:$Q$46,2,FALSE))</f>
        <v/>
      </c>
      <c r="G44" s="900"/>
      <c r="H44" s="901"/>
      <c r="I44" s="902"/>
      <c r="J44" s="903"/>
      <c r="K44" s="903"/>
      <c r="L44" s="903"/>
      <c r="M44" s="903"/>
      <c r="N44" s="288"/>
      <c r="O44" s="285" t="str">
        <f t="shared" si="11"/>
        <v/>
      </c>
      <c r="P44" s="317"/>
      <c r="Q44" s="318"/>
      <c r="R44" s="656"/>
      <c r="S44" s="283"/>
    </row>
    <row r="45" spans="2:30" ht="40.049999999999997" customHeight="1" x14ac:dyDescent="0.3">
      <c r="B45" s="632"/>
      <c r="C45" s="314"/>
      <c r="D45" s="315"/>
      <c r="E45" s="316" t="str">
        <f>IF(D45="","",VLOOKUP(D45,'Data Sheet'!$R$2:$S$42,2,FALSE))</f>
        <v/>
      </c>
      <c r="F45" s="899" t="str">
        <f>IF(D45="","",VLOOKUP($D45,'Data Sheet'!$P$7:$Q$46,2,FALSE))</f>
        <v/>
      </c>
      <c r="G45" s="900"/>
      <c r="H45" s="901"/>
      <c r="I45" s="902"/>
      <c r="J45" s="903"/>
      <c r="K45" s="903"/>
      <c r="L45" s="903"/>
      <c r="M45" s="903"/>
      <c r="N45" s="288"/>
      <c r="O45" s="285" t="str">
        <f t="shared" si="11"/>
        <v/>
      </c>
      <c r="P45" s="317"/>
      <c r="Q45" s="318"/>
      <c r="R45" s="656"/>
      <c r="S45" s="283"/>
    </row>
    <row r="46" spans="2:30" ht="40.049999999999997" customHeight="1" x14ac:dyDescent="0.3">
      <c r="B46" s="632"/>
      <c r="C46" s="314"/>
      <c r="D46" s="315"/>
      <c r="E46" s="316" t="str">
        <f>IF(D46="","",VLOOKUP(D46,'Data Sheet'!$R$2:$S$42,2,FALSE))</f>
        <v/>
      </c>
      <c r="F46" s="899" t="str">
        <f>IF(D46="","",VLOOKUP($D46,'Data Sheet'!$P$7:$Q$46,2,FALSE))</f>
        <v/>
      </c>
      <c r="G46" s="900"/>
      <c r="H46" s="901"/>
      <c r="I46" s="902"/>
      <c r="J46" s="903"/>
      <c r="K46" s="903"/>
      <c r="L46" s="903"/>
      <c r="M46" s="903"/>
      <c r="N46" s="288"/>
      <c r="O46" s="285" t="str">
        <f t="shared" si="11"/>
        <v/>
      </c>
      <c r="P46" s="317"/>
      <c r="Q46" s="318"/>
      <c r="R46" s="656"/>
      <c r="S46" s="283"/>
    </row>
    <row r="47" spans="2:30" ht="40.049999999999997" customHeight="1" x14ac:dyDescent="0.3">
      <c r="B47" s="632"/>
      <c r="C47" s="314"/>
      <c r="D47" s="315"/>
      <c r="E47" s="316" t="str">
        <f>IF(D47="","",VLOOKUP(D47,'Data Sheet'!$R$2:$S$42,2,FALSE))</f>
        <v/>
      </c>
      <c r="F47" s="899" t="str">
        <f>IF(D47="","",VLOOKUP($D47,'Data Sheet'!$P$7:$Q$46,2,FALSE))</f>
        <v/>
      </c>
      <c r="G47" s="900"/>
      <c r="H47" s="901"/>
      <c r="I47" s="902"/>
      <c r="J47" s="903"/>
      <c r="K47" s="903"/>
      <c r="L47" s="903"/>
      <c r="M47" s="903"/>
      <c r="N47" s="288"/>
      <c r="O47" s="285" t="str">
        <f t="shared" si="11"/>
        <v/>
      </c>
      <c r="P47" s="317"/>
      <c r="Q47" s="318"/>
      <c r="R47" s="656"/>
      <c r="S47" s="283"/>
    </row>
    <row r="48" spans="2:30" ht="40.049999999999997" customHeight="1" thickBot="1" x14ac:dyDescent="0.35">
      <c r="B48" s="632"/>
      <c r="C48" s="319"/>
      <c r="D48" s="320"/>
      <c r="E48" s="321" t="str">
        <f>IF(D48="","",VLOOKUP(D48,'Data Sheet'!$R$2:$S$42,2,FALSE))</f>
        <v/>
      </c>
      <c r="F48" s="904" t="str">
        <f>IF(D48="","",VLOOKUP($D48,'Data Sheet'!$P$7:$Q$46,2,FALSE))</f>
        <v/>
      </c>
      <c r="G48" s="905"/>
      <c r="H48" s="906"/>
      <c r="I48" s="907"/>
      <c r="J48" s="908"/>
      <c r="K48" s="908"/>
      <c r="L48" s="908"/>
      <c r="M48" s="908"/>
      <c r="N48" s="297"/>
      <c r="O48" s="294" t="str">
        <f t="shared" si="11"/>
        <v/>
      </c>
      <c r="P48" s="322"/>
      <c r="Q48" s="323"/>
      <c r="R48" s="656"/>
      <c r="S48" s="283"/>
    </row>
    <row r="49" spans="2:19" ht="13.8" thickBot="1" x14ac:dyDescent="0.3">
      <c r="B49" s="636"/>
      <c r="C49" s="637"/>
      <c r="D49" s="637"/>
      <c r="E49" s="637"/>
      <c r="F49" s="637"/>
      <c r="G49" s="637"/>
      <c r="H49" s="637"/>
      <c r="I49" s="637"/>
      <c r="J49" s="637"/>
      <c r="K49" s="637"/>
      <c r="L49" s="637"/>
      <c r="M49" s="637"/>
      <c r="N49" s="637"/>
      <c r="O49" s="637"/>
      <c r="P49" s="637"/>
      <c r="Q49" s="637"/>
      <c r="R49" s="637"/>
      <c r="S49" s="638"/>
    </row>
  </sheetData>
  <sheetProtection algorithmName="SHA-512" hashValue="CyoKFvA08O1b/l3EYs81v7QiABYxBVKqPDKl0UapvThc6tUkV4O4et/5IS32o/D6NPMsMuxRrzzZuh+MLK9XIA==" saltValue="+huPoefME9hLoz6tkiVC4w==" spinCount="100000" sheet="1" objects="1" scenarios="1"/>
  <mergeCells count="54">
    <mergeCell ref="B5:D5"/>
    <mergeCell ref="E5:K5"/>
    <mergeCell ref="L5:M5"/>
    <mergeCell ref="N5:S5"/>
    <mergeCell ref="C8:G8"/>
    <mergeCell ref="B2:D2"/>
    <mergeCell ref="E2:S2"/>
    <mergeCell ref="B3:D3"/>
    <mergeCell ref="E3:K3"/>
    <mergeCell ref="L3:M4"/>
    <mergeCell ref="N3:S4"/>
    <mergeCell ref="B4:D4"/>
    <mergeCell ref="E4:K4"/>
    <mergeCell ref="F39:H39"/>
    <mergeCell ref="I39:M39"/>
    <mergeCell ref="I11:I12"/>
    <mergeCell ref="J11:J12"/>
    <mergeCell ref="K11:K12"/>
    <mergeCell ref="L11:L12"/>
    <mergeCell ref="M11:M12"/>
    <mergeCell ref="F11:F12"/>
    <mergeCell ref="G11:G12"/>
    <mergeCell ref="H11:H12"/>
    <mergeCell ref="J9:M10"/>
    <mergeCell ref="O11:O12"/>
    <mergeCell ref="P11:P12"/>
    <mergeCell ref="Q11:Q12"/>
    <mergeCell ref="C37:H37"/>
    <mergeCell ref="I37:N37"/>
    <mergeCell ref="N11:N12"/>
    <mergeCell ref="C11:C12"/>
    <mergeCell ref="D11:D12"/>
    <mergeCell ref="E11:E12"/>
    <mergeCell ref="C9:D10"/>
    <mergeCell ref="F9:I10"/>
    <mergeCell ref="N9:R10"/>
    <mergeCell ref="F40:H40"/>
    <mergeCell ref="I40:M40"/>
    <mergeCell ref="F41:H41"/>
    <mergeCell ref="I41:M41"/>
    <mergeCell ref="F42:H42"/>
    <mergeCell ref="I42:M42"/>
    <mergeCell ref="F43:H43"/>
    <mergeCell ref="I43:M43"/>
    <mergeCell ref="F44:H44"/>
    <mergeCell ref="I44:M44"/>
    <mergeCell ref="F45:H45"/>
    <mergeCell ref="I45:M45"/>
    <mergeCell ref="F46:H46"/>
    <mergeCell ref="I46:M46"/>
    <mergeCell ref="F47:H47"/>
    <mergeCell ref="I47:M47"/>
    <mergeCell ref="F48:H48"/>
    <mergeCell ref="I48:M48"/>
  </mergeCells>
  <conditionalFormatting sqref="H13:H33">
    <cfRule type="expression" dxfId="7" priority="1" stopIfTrue="1">
      <formula>U13=1</formula>
    </cfRule>
    <cfRule type="expression" dxfId="6" priority="2" stopIfTrue="1">
      <formula>V13=1</formula>
    </cfRule>
  </conditionalFormatting>
  <conditionalFormatting sqref="L13:L33">
    <cfRule type="expression" dxfId="5" priority="3" stopIfTrue="1">
      <formula>AA13=1</formula>
    </cfRule>
    <cfRule type="expression" dxfId="4" priority="4" stopIfTrue="1">
      <formula>AB13=1</formula>
    </cfRule>
  </conditionalFormatting>
  <conditionalFormatting sqref="Q13:R33">
    <cfRule type="expression" dxfId="3" priority="5" stopIfTrue="1">
      <formula>Q13="No"</formula>
    </cfRule>
  </conditionalFormatting>
  <dataValidations count="6">
    <dataValidation type="list" allowBlank="1" showInputMessage="1" showErrorMessage="1" sqref="N40" xr:uid="{265A6B7A-2BB6-44CB-AB3F-D5A7FA98BA20}">
      <formula1>Waste_Type</formula1>
    </dataValidation>
    <dataValidation type="list" allowBlank="1" showInputMessage="1" showErrorMessage="1" sqref="D40:D48" xr:uid="{CDC417AB-7987-4C02-B0B0-118E315CC01F}">
      <formula1>Exemption_Type</formula1>
    </dataValidation>
    <dataValidation type="list" allowBlank="1" showInputMessage="1" showErrorMessage="1" error="Please choose from the drop menu" sqref="C40:C48" xr:uid="{ADB0C8B8-A104-463E-A9B8-E465694B0A38}">
      <formula1>Permit_Type</formula1>
    </dataValidation>
    <dataValidation type="list" allowBlank="1" showInputMessage="1" showErrorMessage="1" error="Please choose from the drop down menu" sqref="C13:C33" xr:uid="{4E17456D-970E-4151-A310-9281D80B8351}">
      <formula1>Waste_Type</formula1>
    </dataValidation>
    <dataValidation type="list" allowBlank="1" showInputMessage="1" showErrorMessage="1" error="Please choose from the drop down menu" sqref="Q13:R33" xr:uid="{F9F81189-FADA-4A43-B447-8857A325F0DF}">
      <formula1>Copy_Permit</formula1>
    </dataValidation>
    <dataValidation type="list" allowBlank="1" showInputMessage="1" showErrorMessage="1" error="Please choose from the drop down menu" sqref="O13:O33" xr:uid="{C9D8B16A-5D45-4528-BAF8-F7F9D3F92FCC}">
      <formula1>WM_Facility</formula1>
    </dataValidation>
  </dataValidations>
  <printOptions horizontalCentered="1"/>
  <pageMargins left="0.15748031496062992" right="0.15748031496062992" top="0.59055118110236227" bottom="0.39370078740157483" header="0.51181102362204722" footer="0.51181102362204722"/>
  <pageSetup paperSize="8" scale="40" orientation="landscape" r:id="rId1"/>
  <headerFooter alignWithMargins="0">
    <oddFooter>&amp;F</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21A24-527A-448F-B908-665C23E340A6}">
  <sheetPr codeName="Sheet11">
    <tabColor rgb="FF7030A0"/>
  </sheetPr>
  <dimension ref="B2:GK16"/>
  <sheetViews>
    <sheetView showGridLines="0" showZeros="0" zoomScale="75" workbookViewId="0">
      <selection activeCell="V25" sqref="V25"/>
    </sheetView>
  </sheetViews>
  <sheetFormatPr defaultColWidth="9.109375" defaultRowHeight="13.2" x14ac:dyDescent="0.25"/>
  <cols>
    <col min="1" max="1" width="1.109375" style="48" customWidth="1"/>
    <col min="2" max="2" width="3.77734375" style="48" customWidth="1"/>
    <col min="3" max="3" width="43.77734375" style="48" customWidth="1"/>
    <col min="4" max="4" width="17.44140625" style="48" customWidth="1"/>
    <col min="5" max="5" width="12.109375" style="48" customWidth="1"/>
    <col min="6" max="6" width="18.44140625" style="48" customWidth="1"/>
    <col min="7" max="8" width="18.77734375" style="48" customWidth="1"/>
    <col min="9" max="9" width="19.109375" style="48" customWidth="1"/>
    <col min="10" max="39" width="12.6640625" style="48" customWidth="1"/>
    <col min="40" max="40" width="2.44140625" style="48" customWidth="1"/>
    <col min="41" max="41" width="10" style="48" customWidth="1"/>
    <col min="42" max="42" width="9.109375" style="48" customWidth="1"/>
    <col min="43" max="43" width="9.33203125" style="48" customWidth="1"/>
    <col min="44" max="44" width="12.33203125" style="48" customWidth="1"/>
    <col min="45" max="51" width="17.6640625" style="48" customWidth="1"/>
    <col min="52" max="56" width="9.109375" style="48" customWidth="1"/>
    <col min="57" max="57" width="18.109375" style="48" customWidth="1"/>
    <col min="58" max="58" width="14.77734375" style="48" customWidth="1"/>
    <col min="59" max="59" width="9.109375" style="48"/>
    <col min="60" max="61" width="9.44140625" style="48" customWidth="1"/>
    <col min="62" max="91" width="9.109375" style="48"/>
    <col min="92" max="93" width="9.33203125" style="48" customWidth="1"/>
    <col min="94" max="113" width="9.109375" style="48"/>
    <col min="114" max="115" width="9.33203125" style="48" customWidth="1"/>
    <col min="116" max="119" width="9.109375" style="48"/>
    <col min="120" max="121" width="10" style="48" customWidth="1"/>
    <col min="122" max="143" width="9.109375" style="48"/>
    <col min="144" max="145" width="9.44140625" style="48" customWidth="1"/>
    <col min="146" max="153" width="9.109375" style="48"/>
    <col min="154" max="155" width="9" style="48" customWidth="1"/>
    <col min="156" max="185" width="9.109375" style="48"/>
    <col min="186" max="186" width="9.44140625" style="48" customWidth="1"/>
    <col min="187" max="192" width="9.109375" style="48"/>
    <col min="193" max="193" width="9.109375" style="172"/>
    <col min="194" max="203" width="9.109375" style="48"/>
    <col min="204" max="207" width="10" style="48" customWidth="1"/>
    <col min="208" max="208" width="9.109375" style="48"/>
    <col min="209" max="209" width="16.6640625" style="48" customWidth="1"/>
    <col min="210" max="211" width="20.44140625" style="48" customWidth="1"/>
    <col min="212" max="213" width="22.33203125" style="48" customWidth="1"/>
    <col min="214" max="215" width="21.33203125" style="48" customWidth="1"/>
    <col min="216" max="217" width="20" style="48" customWidth="1"/>
    <col min="218" max="219" width="23.6640625" style="48" customWidth="1"/>
    <col min="220" max="221" width="19.6640625" style="48" customWidth="1"/>
    <col min="222" max="223" width="21.44140625" style="48" customWidth="1"/>
    <col min="224" max="225" width="25.109375" style="48" customWidth="1"/>
    <col min="226" max="227" width="21.109375" style="48" customWidth="1"/>
    <col min="228" max="16384" width="9.109375" style="48"/>
  </cols>
  <sheetData>
    <row r="2" spans="2:44" ht="15.6" x14ac:dyDescent="0.25">
      <c r="C2" s="888" t="s">
        <v>330</v>
      </c>
      <c r="D2" s="888"/>
      <c r="E2" s="888"/>
      <c r="F2" s="888"/>
      <c r="G2" s="888"/>
      <c r="H2" s="888"/>
      <c r="I2" s="888"/>
      <c r="J2" s="888"/>
      <c r="K2" s="888"/>
      <c r="L2" s="888"/>
      <c r="M2" s="888"/>
      <c r="N2" s="888"/>
      <c r="O2" s="888"/>
      <c r="P2" s="888"/>
      <c r="Q2" s="888"/>
      <c r="R2" s="888"/>
      <c r="S2" s="888"/>
      <c r="T2" s="888"/>
      <c r="U2" s="888"/>
      <c r="V2" s="888"/>
      <c r="W2" s="888"/>
      <c r="X2" s="888"/>
      <c r="Y2" s="888"/>
      <c r="Z2" s="888"/>
      <c r="AA2" s="888"/>
      <c r="AB2" s="888"/>
      <c r="AC2" s="888"/>
      <c r="AD2" s="888"/>
      <c r="AE2" s="888"/>
      <c r="AF2" s="888"/>
      <c r="AG2" s="888"/>
      <c r="AH2" s="888"/>
      <c r="AI2" s="888"/>
      <c r="AJ2" s="888"/>
      <c r="AK2" s="888"/>
      <c r="AL2" s="888"/>
      <c r="AM2" s="888"/>
    </row>
    <row r="3" spans="2:44" ht="12" customHeight="1" thickBot="1" x14ac:dyDescent="0.35">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row>
    <row r="4" spans="2:44" ht="14.4" hidden="1" thickBot="1" x14ac:dyDescent="0.35">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row>
    <row r="5" spans="2:44" ht="26.25" customHeight="1" x14ac:dyDescent="0.3">
      <c r="B5" s="127"/>
      <c r="C5" s="173"/>
      <c r="D5" s="173"/>
      <c r="E5" s="173"/>
      <c r="F5" s="173"/>
      <c r="G5" s="173"/>
      <c r="H5" s="173"/>
      <c r="I5" s="173"/>
      <c r="J5" s="981" t="s">
        <v>331</v>
      </c>
      <c r="K5" s="981"/>
      <c r="L5" s="981"/>
      <c r="M5" s="981"/>
      <c r="N5" s="981"/>
      <c r="O5" s="981"/>
      <c r="P5" s="981"/>
      <c r="Q5" s="981"/>
      <c r="R5" s="981"/>
      <c r="S5" s="981"/>
      <c r="T5" s="981"/>
      <c r="U5" s="981"/>
      <c r="V5" s="981"/>
      <c r="W5" s="981"/>
      <c r="X5" s="981"/>
      <c r="Y5" s="981"/>
      <c r="Z5" s="981"/>
      <c r="AA5" s="981"/>
      <c r="AB5" s="981"/>
      <c r="AC5" s="981"/>
      <c r="AD5" s="981"/>
      <c r="AE5" s="981"/>
      <c r="AF5" s="981"/>
      <c r="AG5" s="981"/>
      <c r="AH5" s="981"/>
      <c r="AI5" s="981"/>
      <c r="AJ5" s="981"/>
      <c r="AK5" s="981"/>
      <c r="AL5" s="981"/>
      <c r="AM5" s="981"/>
      <c r="AN5" s="129"/>
    </row>
    <row r="6" spans="2:44" ht="51.75" customHeight="1" x14ac:dyDescent="0.25">
      <c r="B6" s="130"/>
      <c r="C6" s="174" t="s">
        <v>104</v>
      </c>
      <c r="D6" s="174" t="s">
        <v>115</v>
      </c>
      <c r="E6" s="174" t="s">
        <v>105</v>
      </c>
      <c r="F6" s="174" t="s">
        <v>116</v>
      </c>
      <c r="G6" s="174" t="s">
        <v>332</v>
      </c>
      <c r="H6" s="174" t="s">
        <v>333</v>
      </c>
      <c r="I6" s="174" t="s">
        <v>334</v>
      </c>
      <c r="J6" s="325" t="s">
        <v>4</v>
      </c>
      <c r="K6" s="325" t="s">
        <v>4</v>
      </c>
      <c r="L6" s="325" t="s">
        <v>4</v>
      </c>
      <c r="M6" s="325" t="s">
        <v>4</v>
      </c>
      <c r="N6" s="325" t="s">
        <v>4</v>
      </c>
      <c r="O6" s="325" t="s">
        <v>4</v>
      </c>
      <c r="P6" s="325" t="s">
        <v>4</v>
      </c>
      <c r="Q6" s="325" t="s">
        <v>4</v>
      </c>
      <c r="R6" s="325" t="s">
        <v>4</v>
      </c>
      <c r="S6" s="325" t="s">
        <v>4</v>
      </c>
      <c r="T6" s="325" t="s">
        <v>4</v>
      </c>
      <c r="U6" s="325" t="s">
        <v>4</v>
      </c>
      <c r="V6" s="325" t="s">
        <v>4</v>
      </c>
      <c r="W6" s="325" t="s">
        <v>4</v>
      </c>
      <c r="X6" s="325" t="s">
        <v>4</v>
      </c>
      <c r="Y6" s="325" t="s">
        <v>4</v>
      </c>
      <c r="Z6" s="325" t="s">
        <v>4</v>
      </c>
      <c r="AA6" s="325" t="s">
        <v>4</v>
      </c>
      <c r="AB6" s="325" t="s">
        <v>4</v>
      </c>
      <c r="AC6" s="325" t="s">
        <v>4</v>
      </c>
      <c r="AD6" s="325" t="s">
        <v>4</v>
      </c>
      <c r="AE6" s="325" t="s">
        <v>4</v>
      </c>
      <c r="AF6" s="325" t="s">
        <v>4</v>
      </c>
      <c r="AG6" s="325" t="s">
        <v>4</v>
      </c>
      <c r="AH6" s="325" t="s">
        <v>4</v>
      </c>
      <c r="AI6" s="325" t="s">
        <v>4</v>
      </c>
      <c r="AJ6" s="325" t="s">
        <v>4</v>
      </c>
      <c r="AK6" s="325" t="s">
        <v>4</v>
      </c>
      <c r="AL6" s="325" t="s">
        <v>4</v>
      </c>
      <c r="AM6" s="325" t="s">
        <v>4</v>
      </c>
      <c r="AN6" s="176"/>
      <c r="AP6" s="326" t="s">
        <v>335</v>
      </c>
      <c r="AQ6" s="326" t="s">
        <v>336</v>
      </c>
      <c r="AR6" s="326" t="s">
        <v>337</v>
      </c>
    </row>
    <row r="7" spans="2:44" ht="26.25" customHeight="1" x14ac:dyDescent="0.25">
      <c r="B7" s="130"/>
      <c r="C7" s="178" t="str">
        <f>IF('Legislative Checks'!N40="","",'Legislative Checks'!N40)</f>
        <v/>
      </c>
      <c r="D7" s="177"/>
      <c r="E7" s="178" t="str">
        <f t="shared" ref="E7:E13" si="0">IF(C7="","",(VLOOKUP($C7,EWC,2,FALSE)))</f>
        <v/>
      </c>
      <c r="F7" s="178" t="str">
        <f t="shared" ref="F7:F13" si="1">IF(C7="","",(VLOOKUP($C7,EWC,3,FALSE)))</f>
        <v/>
      </c>
      <c r="G7" s="178" t="str">
        <f>IF('Legislative Checks'!D40="","",'Legislative Checks'!D40)</f>
        <v/>
      </c>
      <c r="H7" s="178" t="str">
        <f>IF('Legislative Checks'!E40="","",'Legislative Checks'!E40)</f>
        <v/>
      </c>
      <c r="I7" s="179"/>
      <c r="J7" s="327"/>
      <c r="K7" s="327"/>
      <c r="L7" s="327"/>
      <c r="M7" s="327"/>
      <c r="N7" s="327"/>
      <c r="O7" s="327"/>
      <c r="P7" s="327"/>
      <c r="Q7" s="327"/>
      <c r="R7" s="327">
        <v>0</v>
      </c>
      <c r="S7" s="327">
        <v>0</v>
      </c>
      <c r="T7" s="327"/>
      <c r="U7" s="327"/>
      <c r="V7" s="327"/>
      <c r="W7" s="327"/>
      <c r="X7" s="327"/>
      <c r="Y7" s="327"/>
      <c r="Z7" s="327"/>
      <c r="AA7" s="327"/>
      <c r="AB7" s="327"/>
      <c r="AC7" s="327"/>
      <c r="AD7" s="327"/>
      <c r="AE7" s="327"/>
      <c r="AF7" s="327"/>
      <c r="AG7" s="327"/>
      <c r="AH7" s="327"/>
      <c r="AI7" s="327"/>
      <c r="AJ7" s="327"/>
      <c r="AK7" s="327"/>
      <c r="AL7" s="327"/>
      <c r="AM7" s="327"/>
      <c r="AN7" s="132"/>
      <c r="AP7" s="328">
        <f t="shared" ref="AP7:AP13" si="2">SUM(J7:AM7)</f>
        <v>0</v>
      </c>
      <c r="AQ7" s="329">
        <f t="shared" ref="AQ7:AQ13" si="3">SUM(I7*0.75)</f>
        <v>0</v>
      </c>
      <c r="AR7" s="330">
        <f>'Legislative Checks'!P40</f>
        <v>0</v>
      </c>
    </row>
    <row r="8" spans="2:44" ht="26.25" customHeight="1" x14ac:dyDescent="0.25">
      <c r="B8" s="130"/>
      <c r="C8" s="178" t="str">
        <f>IF('Legislative Checks'!N41="","",'Legislative Checks'!N41)</f>
        <v/>
      </c>
      <c r="D8" s="177"/>
      <c r="E8" s="178" t="str">
        <f t="shared" si="0"/>
        <v/>
      </c>
      <c r="F8" s="178" t="str">
        <f t="shared" si="1"/>
        <v/>
      </c>
      <c r="G8" s="178" t="str">
        <f>IF('Legislative Checks'!D41="","",'Legislative Checks'!D41)</f>
        <v/>
      </c>
      <c r="H8" s="178" t="str">
        <f>IF('Legislative Checks'!E41="","",'Legislative Checks'!E41)</f>
        <v/>
      </c>
      <c r="I8" s="179"/>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132"/>
      <c r="AP8" s="328">
        <f t="shared" si="2"/>
        <v>0</v>
      </c>
      <c r="AQ8" s="329">
        <f t="shared" si="3"/>
        <v>0</v>
      </c>
      <c r="AR8" s="330">
        <f>'Legislative Checks'!P41</f>
        <v>0</v>
      </c>
    </row>
    <row r="9" spans="2:44" ht="26.25" customHeight="1" x14ac:dyDescent="0.25">
      <c r="B9" s="130"/>
      <c r="C9" s="178" t="str">
        <f>IF('Legislative Checks'!N42="","",'Legislative Checks'!N42)</f>
        <v/>
      </c>
      <c r="D9" s="177"/>
      <c r="E9" s="178" t="str">
        <f t="shared" si="0"/>
        <v/>
      </c>
      <c r="F9" s="178" t="str">
        <f t="shared" si="1"/>
        <v/>
      </c>
      <c r="G9" s="178" t="str">
        <f>IF('Legislative Checks'!D42="","",'Legislative Checks'!D42)</f>
        <v/>
      </c>
      <c r="H9" s="178" t="str">
        <f>IF('Legislative Checks'!E42="","",'Legislative Checks'!E42)</f>
        <v/>
      </c>
      <c r="I9" s="179"/>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7"/>
      <c r="AJ9" s="327"/>
      <c r="AK9" s="327"/>
      <c r="AL9" s="327"/>
      <c r="AM9" s="327"/>
      <c r="AN9" s="132"/>
      <c r="AP9" s="328">
        <f t="shared" si="2"/>
        <v>0</v>
      </c>
      <c r="AQ9" s="329">
        <f t="shared" si="3"/>
        <v>0</v>
      </c>
      <c r="AR9" s="330">
        <f>'Legislative Checks'!P42</f>
        <v>0</v>
      </c>
    </row>
    <row r="10" spans="2:44" ht="26.25" customHeight="1" x14ac:dyDescent="0.25">
      <c r="B10" s="130"/>
      <c r="C10" s="178" t="str">
        <f>IF('Legislative Checks'!N43="","",'Legislative Checks'!N43)</f>
        <v/>
      </c>
      <c r="D10" s="177"/>
      <c r="E10" s="178" t="str">
        <f t="shared" si="0"/>
        <v/>
      </c>
      <c r="F10" s="178" t="str">
        <f t="shared" si="1"/>
        <v/>
      </c>
      <c r="G10" s="178" t="str">
        <f>IF('Legislative Checks'!D43="","",'Legislative Checks'!D43)</f>
        <v/>
      </c>
      <c r="H10" s="178" t="str">
        <f>IF('Legislative Checks'!E43="","",'Legislative Checks'!E43)</f>
        <v/>
      </c>
      <c r="I10" s="179"/>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c r="AM10" s="327"/>
      <c r="AN10" s="132"/>
      <c r="AP10" s="328">
        <f t="shared" si="2"/>
        <v>0</v>
      </c>
      <c r="AQ10" s="329">
        <f t="shared" si="3"/>
        <v>0</v>
      </c>
      <c r="AR10" s="330">
        <f>'Legislative Checks'!P43</f>
        <v>0</v>
      </c>
    </row>
    <row r="11" spans="2:44" ht="26.25" customHeight="1" x14ac:dyDescent="0.25">
      <c r="B11" s="130"/>
      <c r="C11" s="178" t="str">
        <f>IF('Legislative Checks'!N44="","",'Legislative Checks'!N44)</f>
        <v/>
      </c>
      <c r="D11" s="177"/>
      <c r="E11" s="178" t="str">
        <f t="shared" si="0"/>
        <v/>
      </c>
      <c r="F11" s="178" t="str">
        <f t="shared" si="1"/>
        <v/>
      </c>
      <c r="G11" s="178" t="str">
        <f>IF('Legislative Checks'!D44="","",'Legislative Checks'!D44)</f>
        <v/>
      </c>
      <c r="H11" s="178" t="str">
        <f>IF('Legislative Checks'!E44="","",'Legislative Checks'!E44)</f>
        <v/>
      </c>
      <c r="I11" s="179"/>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132"/>
      <c r="AP11" s="328">
        <f t="shared" si="2"/>
        <v>0</v>
      </c>
      <c r="AQ11" s="329">
        <f t="shared" si="3"/>
        <v>0</v>
      </c>
      <c r="AR11" s="330">
        <f>'Legislative Checks'!P44</f>
        <v>0</v>
      </c>
    </row>
    <row r="12" spans="2:44" ht="26.25" customHeight="1" x14ac:dyDescent="0.25">
      <c r="B12" s="130"/>
      <c r="C12" s="178" t="str">
        <f>IF('Legislative Checks'!N45="","",'Legislative Checks'!N45)</f>
        <v/>
      </c>
      <c r="D12" s="177"/>
      <c r="E12" s="178" t="str">
        <f t="shared" si="0"/>
        <v/>
      </c>
      <c r="F12" s="178" t="str">
        <f t="shared" si="1"/>
        <v/>
      </c>
      <c r="G12" s="178" t="str">
        <f>IF('Legislative Checks'!D45="","",'Legislative Checks'!D45)</f>
        <v/>
      </c>
      <c r="H12" s="178" t="str">
        <f>IF('Legislative Checks'!E45="","",'Legislative Checks'!E45)</f>
        <v/>
      </c>
      <c r="I12" s="179"/>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7"/>
      <c r="AK12" s="327"/>
      <c r="AL12" s="327"/>
      <c r="AM12" s="327"/>
      <c r="AN12" s="132"/>
      <c r="AP12" s="328">
        <f t="shared" si="2"/>
        <v>0</v>
      </c>
      <c r="AQ12" s="329">
        <f t="shared" si="3"/>
        <v>0</v>
      </c>
      <c r="AR12" s="330">
        <f>'Legislative Checks'!P45</f>
        <v>0</v>
      </c>
    </row>
    <row r="13" spans="2:44" ht="26.25" customHeight="1" x14ac:dyDescent="0.25">
      <c r="B13" s="130"/>
      <c r="C13" s="178" t="str">
        <f>IF('Legislative Checks'!N46="","",'Legislative Checks'!N46)</f>
        <v/>
      </c>
      <c r="D13" s="177"/>
      <c r="E13" s="178" t="str">
        <f t="shared" si="0"/>
        <v/>
      </c>
      <c r="F13" s="178" t="str">
        <f t="shared" si="1"/>
        <v/>
      </c>
      <c r="G13" s="178" t="str">
        <f>IF('Legislative Checks'!D46="","",'Legislative Checks'!D46)</f>
        <v/>
      </c>
      <c r="H13" s="178" t="str">
        <f>IF('Legislative Checks'!E46="","",'Legislative Checks'!E46)</f>
        <v/>
      </c>
      <c r="I13" s="179"/>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7"/>
      <c r="AK13" s="327"/>
      <c r="AL13" s="327"/>
      <c r="AM13" s="327"/>
      <c r="AN13" s="132"/>
      <c r="AP13" s="328">
        <f t="shared" si="2"/>
        <v>0</v>
      </c>
      <c r="AQ13" s="329">
        <f t="shared" si="3"/>
        <v>0</v>
      </c>
      <c r="AR13" s="330">
        <f>'Legislative Checks'!P46</f>
        <v>0</v>
      </c>
    </row>
    <row r="14" spans="2:44" ht="26.25" customHeight="1" thickBot="1" x14ac:dyDescent="0.3">
      <c r="B14" s="139"/>
      <c r="C14" s="140"/>
      <c r="D14" s="140"/>
      <c r="E14" s="140"/>
      <c r="F14" s="140"/>
      <c r="G14" s="140"/>
      <c r="H14" s="140"/>
      <c r="I14" s="202"/>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1"/>
    </row>
    <row r="15" spans="2:44" ht="26.25" customHeight="1" x14ac:dyDescent="0.25">
      <c r="G15" s="878"/>
      <c r="H15" s="203"/>
      <c r="I15" s="879"/>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row>
    <row r="16" spans="2:44" ht="26.25" customHeight="1" x14ac:dyDescent="0.25">
      <c r="G16" s="878"/>
      <c r="H16" s="203"/>
      <c r="I16" s="880"/>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row>
  </sheetData>
  <sheetProtection algorithmName="SHA-512" hashValue="2/qPCUT6x2HMhMjn7j+pCE8oMnVvu0Itplnl2QRS1cI14YA2zkbDbUnc+EvgELiG9zvdwRvw23bQ6KJ5z0HSMQ==" saltValue="TQEXniaay5y2gYaDJOPTtA==" spinCount="100000" sheet="1" objects="1" scenarios="1"/>
  <mergeCells count="4">
    <mergeCell ref="C2:AM2"/>
    <mergeCell ref="J5:AM5"/>
    <mergeCell ref="G15:G16"/>
    <mergeCell ref="I15:I16"/>
  </mergeCells>
  <dataValidations count="1">
    <dataValidation type="list" allowBlank="1" showInputMessage="1" showErrorMessage="1" error="Please choose from the drop down menu" sqref="D7:D13" xr:uid="{499463E0-81FF-419A-A3D7-6F14023E2695}">
      <formula1>Waste_Activity</formula1>
    </dataValidation>
  </dataValidations>
  <printOptions horizontalCentered="1"/>
  <pageMargins left="0.15748031496062992" right="0.15748031496062992" top="0.59055118110236227" bottom="0.39370078740157483" header="0.51181102362204722" footer="0.51181102362204722"/>
  <pageSetup paperSize="9" scale="65" orientation="landscape" r:id="rId1"/>
  <headerFooter alignWithMargins="0">
    <oddFooter>&amp;LFM-HSS-W01-01&amp;CJanuary 2020&amp;RRev 17.0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E6DE2-A08D-4E2B-8DCC-9A892C9549D2}">
  <sheetPr codeName="Sheet12">
    <tabColor rgb="FF7030A0"/>
  </sheetPr>
  <dimension ref="B2:FL5910"/>
  <sheetViews>
    <sheetView showGridLines="0" showZeros="0" zoomScale="75" workbookViewId="0">
      <selection activeCell="T12" sqref="T12"/>
    </sheetView>
  </sheetViews>
  <sheetFormatPr defaultColWidth="9.109375" defaultRowHeight="13.2" x14ac:dyDescent="0.25"/>
  <cols>
    <col min="1" max="1" width="1.109375" style="48" customWidth="1"/>
    <col min="2" max="2" width="3.77734375" style="48" customWidth="1"/>
    <col min="3" max="3" width="43.77734375" style="48" customWidth="1"/>
    <col min="4" max="4" width="17.44140625" style="48" customWidth="1"/>
    <col min="5" max="5" width="12.109375" style="48" customWidth="1"/>
    <col min="6" max="6" width="18.44140625" style="48" customWidth="1"/>
    <col min="7" max="8" width="18.77734375" style="355" customWidth="1"/>
    <col min="9" max="9" width="20" style="48" customWidth="1"/>
    <col min="10" max="10" width="20" style="356" customWidth="1"/>
    <col min="11" max="11" width="20" style="357" customWidth="1"/>
    <col min="12" max="12" width="20" style="48" customWidth="1"/>
    <col min="13" max="13" width="19.109375" style="48" customWidth="1"/>
    <col min="14" max="14" width="16" style="48" customWidth="1"/>
    <col min="15" max="15" width="2.44140625" style="48" customWidth="1"/>
    <col min="16" max="16" width="10" style="48" customWidth="1"/>
    <col min="17" max="17" width="9.109375" style="48" customWidth="1"/>
    <col min="18" max="26" width="17.6640625" style="48" customWidth="1"/>
    <col min="27" max="31" width="9.109375" style="48" customWidth="1"/>
    <col min="32" max="32" width="18.109375" style="48" customWidth="1"/>
    <col min="33" max="33" width="14.77734375" style="48" customWidth="1"/>
    <col min="34" max="34" width="9.109375" style="48"/>
    <col min="35" max="36" width="9.44140625" style="48" customWidth="1"/>
    <col min="37" max="66" width="9.109375" style="48"/>
    <col min="67" max="68" width="9.33203125" style="48" customWidth="1"/>
    <col min="69" max="88" width="9.109375" style="48"/>
    <col min="89" max="90" width="9.33203125" style="48" customWidth="1"/>
    <col min="91" max="94" width="9.109375" style="48"/>
    <col min="95" max="96" width="10" style="48" customWidth="1"/>
    <col min="97" max="118" width="9.109375" style="48"/>
    <col min="119" max="120" width="9.44140625" style="48" customWidth="1"/>
    <col min="121" max="128" width="9.109375" style="48"/>
    <col min="129" max="130" width="9" style="48" customWidth="1"/>
    <col min="131" max="160" width="9.109375" style="48"/>
    <col min="161" max="161" width="9.44140625" style="48" customWidth="1"/>
    <col min="162" max="167" width="9.109375" style="48"/>
    <col min="168" max="168" width="9.109375" style="172"/>
    <col min="169" max="178" width="9.109375" style="48"/>
    <col min="179" max="182" width="10" style="48" customWidth="1"/>
    <col min="183" max="183" width="9.109375" style="48"/>
    <col min="184" max="184" width="16.6640625" style="48" customWidth="1"/>
    <col min="185" max="186" width="20.44140625" style="48" customWidth="1"/>
    <col min="187" max="188" width="22.33203125" style="48" customWidth="1"/>
    <col min="189" max="190" width="21.33203125" style="48" customWidth="1"/>
    <col min="191" max="192" width="20" style="48" customWidth="1"/>
    <col min="193" max="194" width="23.6640625" style="48" customWidth="1"/>
    <col min="195" max="196" width="19.6640625" style="48" customWidth="1"/>
    <col min="197" max="198" width="21.44140625" style="48" customWidth="1"/>
    <col min="199" max="200" width="25.109375" style="48" customWidth="1"/>
    <col min="201" max="202" width="21.109375" style="48" customWidth="1"/>
    <col min="203" max="16384" width="9.109375" style="48"/>
  </cols>
  <sheetData>
    <row r="2" spans="2:15" ht="15.6" x14ac:dyDescent="0.25">
      <c r="C2" s="888" t="s">
        <v>338</v>
      </c>
      <c r="D2" s="888"/>
      <c r="E2" s="888"/>
      <c r="F2" s="888"/>
      <c r="G2" s="888"/>
      <c r="H2" s="888"/>
      <c r="I2" s="888"/>
      <c r="J2" s="888"/>
      <c r="K2" s="888"/>
      <c r="L2" s="888"/>
      <c r="M2" s="888"/>
      <c r="N2" s="888"/>
    </row>
    <row r="3" spans="2:15" ht="12" customHeight="1" thickBot="1" x14ac:dyDescent="0.35">
      <c r="C3" s="168"/>
      <c r="D3" s="168"/>
      <c r="E3" s="168"/>
      <c r="F3" s="168"/>
      <c r="G3" s="331"/>
      <c r="H3" s="331"/>
      <c r="I3" s="168"/>
      <c r="J3" s="332"/>
      <c r="K3" s="333"/>
      <c r="L3" s="168"/>
      <c r="M3" s="168"/>
      <c r="N3" s="168"/>
    </row>
    <row r="4" spans="2:15" ht="14.4" hidden="1" thickBot="1" x14ac:dyDescent="0.35">
      <c r="C4" s="168"/>
      <c r="D4" s="168"/>
      <c r="E4" s="168"/>
      <c r="F4" s="168"/>
      <c r="G4" s="331"/>
      <c r="H4" s="331"/>
      <c r="I4" s="168"/>
      <c r="J4" s="332"/>
      <c r="K4" s="333"/>
      <c r="L4" s="168"/>
      <c r="M4" s="168"/>
      <c r="N4" s="168"/>
    </row>
    <row r="5" spans="2:15" ht="26.25" customHeight="1" x14ac:dyDescent="0.3">
      <c r="B5" s="127"/>
      <c r="C5" s="173"/>
      <c r="D5" s="173"/>
      <c r="E5" s="173"/>
      <c r="F5" s="173"/>
      <c r="G5" s="334"/>
      <c r="H5" s="334"/>
      <c r="I5" s="173"/>
      <c r="J5" s="335"/>
      <c r="K5" s="336"/>
      <c r="L5" s="173"/>
      <c r="M5" s="173"/>
      <c r="N5" s="173"/>
      <c r="O5" s="129"/>
    </row>
    <row r="6" spans="2:15" ht="51.75" customHeight="1" x14ac:dyDescent="0.25">
      <c r="B6" s="130"/>
      <c r="C6" s="174" t="s">
        <v>104</v>
      </c>
      <c r="D6" s="174" t="s">
        <v>115</v>
      </c>
      <c r="E6" s="174" t="s">
        <v>105</v>
      </c>
      <c r="F6" s="174" t="s">
        <v>116</v>
      </c>
      <c r="G6" s="337" t="s">
        <v>339</v>
      </c>
      <c r="H6" s="337" t="s">
        <v>340</v>
      </c>
      <c r="I6" s="174" t="s">
        <v>341</v>
      </c>
      <c r="J6" s="338" t="s">
        <v>342</v>
      </c>
      <c r="K6" s="339" t="s">
        <v>343</v>
      </c>
      <c r="L6" s="174" t="s">
        <v>344</v>
      </c>
      <c r="M6" s="174" t="s">
        <v>345</v>
      </c>
      <c r="N6" s="175" t="s">
        <v>346</v>
      </c>
      <c r="O6" s="176"/>
    </row>
    <row r="7" spans="2:15" ht="26.25" customHeight="1" x14ac:dyDescent="0.25">
      <c r="B7" s="130"/>
      <c r="C7" s="135"/>
      <c r="D7" s="177"/>
      <c r="E7" s="178" t="str">
        <f t="shared" ref="E7:E5907" si="0">IF(C7="","",(VLOOKUP($C7,EWC,2,FALSE)))</f>
        <v/>
      </c>
      <c r="F7" s="178" t="str">
        <f t="shared" ref="F7:F5907" si="1">IF(C7="","",(VLOOKUP($C7,EWC,3,FALSE)))</f>
        <v/>
      </c>
      <c r="G7" s="340"/>
      <c r="H7" s="340"/>
      <c r="I7" s="179"/>
      <c r="J7" s="341"/>
      <c r="K7" s="342"/>
      <c r="L7" s="343" t="s">
        <v>316</v>
      </c>
      <c r="M7" s="343" t="s">
        <v>316</v>
      </c>
      <c r="N7" s="343" t="s">
        <v>316</v>
      </c>
      <c r="O7" s="132"/>
    </row>
    <row r="8" spans="2:15" ht="26.25" customHeight="1" x14ac:dyDescent="0.25">
      <c r="B8" s="130"/>
      <c r="C8" s="135"/>
      <c r="D8" s="177"/>
      <c r="E8" s="178"/>
      <c r="F8" s="178"/>
      <c r="G8" s="340"/>
      <c r="H8" s="340"/>
      <c r="I8" s="179"/>
      <c r="J8" s="344"/>
      <c r="K8" s="345"/>
      <c r="L8" s="346"/>
      <c r="M8" s="347"/>
      <c r="N8" s="347"/>
      <c r="O8" s="132"/>
    </row>
    <row r="9" spans="2:15" ht="26.25" customHeight="1" x14ac:dyDescent="0.25">
      <c r="B9" s="130"/>
      <c r="C9" s="135"/>
      <c r="D9" s="177"/>
      <c r="E9" s="178"/>
      <c r="F9" s="178"/>
      <c r="G9" s="340"/>
      <c r="H9" s="340"/>
      <c r="I9" s="179"/>
      <c r="J9" s="344"/>
      <c r="K9" s="345"/>
      <c r="L9" s="346"/>
      <c r="M9" s="347"/>
      <c r="N9" s="347"/>
      <c r="O9" s="132"/>
    </row>
    <row r="10" spans="2:15" ht="26.25" customHeight="1" x14ac:dyDescent="0.25">
      <c r="B10" s="130"/>
      <c r="C10" s="135"/>
      <c r="D10" s="177"/>
      <c r="E10" s="178"/>
      <c r="F10" s="178"/>
      <c r="G10" s="340"/>
      <c r="H10" s="340"/>
      <c r="I10" s="179"/>
      <c r="J10" s="344"/>
      <c r="K10" s="345"/>
      <c r="L10" s="346"/>
      <c r="M10" s="347"/>
      <c r="N10" s="347"/>
      <c r="O10" s="132"/>
    </row>
    <row r="11" spans="2:15" ht="26.25" customHeight="1" x14ac:dyDescent="0.25">
      <c r="B11" s="130"/>
      <c r="C11" s="135"/>
      <c r="D11" s="177"/>
      <c r="E11" s="178"/>
      <c r="F11" s="178"/>
      <c r="G11" s="340"/>
      <c r="H11" s="340"/>
      <c r="I11" s="179"/>
      <c r="J11" s="344"/>
      <c r="K11" s="345"/>
      <c r="L11" s="346"/>
      <c r="M11" s="347"/>
      <c r="N11" s="347"/>
      <c r="O11" s="132"/>
    </row>
    <row r="12" spans="2:15" ht="26.25" customHeight="1" x14ac:dyDescent="0.25">
      <c r="B12" s="130"/>
      <c r="C12" s="135"/>
      <c r="D12" s="177"/>
      <c r="E12" s="178"/>
      <c r="F12" s="178"/>
      <c r="G12" s="340"/>
      <c r="H12" s="340"/>
      <c r="I12" s="179"/>
      <c r="J12" s="344"/>
      <c r="K12" s="345"/>
      <c r="L12" s="346"/>
      <c r="M12" s="347"/>
      <c r="N12" s="347"/>
      <c r="O12" s="132"/>
    </row>
    <row r="13" spans="2:15" ht="26.25" customHeight="1" x14ac:dyDescent="0.25">
      <c r="B13" s="130"/>
      <c r="C13" s="135"/>
      <c r="D13" s="177"/>
      <c r="E13" s="178"/>
      <c r="F13" s="178"/>
      <c r="G13" s="340"/>
      <c r="H13" s="340"/>
      <c r="I13" s="179"/>
      <c r="J13" s="344"/>
      <c r="K13" s="345"/>
      <c r="L13" s="346"/>
      <c r="M13" s="347"/>
      <c r="N13" s="347"/>
      <c r="O13" s="132"/>
    </row>
    <row r="14" spans="2:15" ht="26.25" customHeight="1" x14ac:dyDescent="0.25">
      <c r="B14" s="130"/>
      <c r="C14" s="135"/>
      <c r="D14" s="177"/>
      <c r="E14" s="178"/>
      <c r="F14" s="178"/>
      <c r="G14" s="340"/>
      <c r="H14" s="340"/>
      <c r="I14" s="179"/>
      <c r="J14" s="344"/>
      <c r="K14" s="345"/>
      <c r="L14" s="346"/>
      <c r="M14" s="347"/>
      <c r="N14" s="347"/>
      <c r="O14" s="132"/>
    </row>
    <row r="15" spans="2:15" ht="26.25" customHeight="1" x14ac:dyDescent="0.25">
      <c r="B15" s="130"/>
      <c r="C15" s="135"/>
      <c r="D15" s="177"/>
      <c r="E15" s="178"/>
      <c r="F15" s="178"/>
      <c r="G15" s="340"/>
      <c r="H15" s="340"/>
      <c r="I15" s="179"/>
      <c r="J15" s="344"/>
      <c r="K15" s="345"/>
      <c r="L15" s="346"/>
      <c r="M15" s="347"/>
      <c r="N15" s="347"/>
      <c r="O15" s="132"/>
    </row>
    <row r="16" spans="2:15" ht="26.25" customHeight="1" x14ac:dyDescent="0.25">
      <c r="B16" s="130"/>
      <c r="C16" s="135"/>
      <c r="D16" s="177"/>
      <c r="E16" s="178"/>
      <c r="F16" s="178"/>
      <c r="G16" s="340"/>
      <c r="H16" s="340"/>
      <c r="I16" s="179"/>
      <c r="J16" s="344"/>
      <c r="K16" s="345"/>
      <c r="L16" s="346"/>
      <c r="M16" s="347"/>
      <c r="N16" s="347"/>
      <c r="O16" s="132"/>
    </row>
    <row r="17" spans="2:15" ht="26.25" customHeight="1" x14ac:dyDescent="0.25">
      <c r="B17" s="130"/>
      <c r="C17" s="135"/>
      <c r="D17" s="177"/>
      <c r="E17" s="178"/>
      <c r="F17" s="178"/>
      <c r="G17" s="340"/>
      <c r="H17" s="340"/>
      <c r="I17" s="179"/>
      <c r="J17" s="344"/>
      <c r="K17" s="345"/>
      <c r="L17" s="346"/>
      <c r="M17" s="347"/>
      <c r="N17" s="347"/>
      <c r="O17" s="132"/>
    </row>
    <row r="18" spans="2:15" ht="26.25" customHeight="1" x14ac:dyDescent="0.25">
      <c r="B18" s="130"/>
      <c r="C18" s="135"/>
      <c r="D18" s="177"/>
      <c r="E18" s="178"/>
      <c r="F18" s="178"/>
      <c r="G18" s="340"/>
      <c r="H18" s="340"/>
      <c r="I18" s="179"/>
      <c r="J18" s="344"/>
      <c r="K18" s="345"/>
      <c r="L18" s="346"/>
      <c r="M18" s="347"/>
      <c r="N18" s="347"/>
      <c r="O18" s="132"/>
    </row>
    <row r="19" spans="2:15" ht="26.25" customHeight="1" x14ac:dyDescent="0.25">
      <c r="B19" s="130"/>
      <c r="C19" s="135"/>
      <c r="D19" s="177"/>
      <c r="E19" s="178"/>
      <c r="F19" s="178"/>
      <c r="G19" s="340"/>
      <c r="H19" s="340"/>
      <c r="I19" s="179"/>
      <c r="J19" s="344"/>
      <c r="K19" s="345"/>
      <c r="L19" s="346"/>
      <c r="M19" s="347"/>
      <c r="N19" s="347"/>
      <c r="O19" s="132"/>
    </row>
    <row r="20" spans="2:15" ht="26.25" customHeight="1" x14ac:dyDescent="0.25">
      <c r="B20" s="130"/>
      <c r="C20" s="135"/>
      <c r="D20" s="177"/>
      <c r="E20" s="178"/>
      <c r="F20" s="178"/>
      <c r="G20" s="340"/>
      <c r="H20" s="340"/>
      <c r="I20" s="179"/>
      <c r="J20" s="344"/>
      <c r="K20" s="345"/>
      <c r="L20" s="346"/>
      <c r="M20" s="347"/>
      <c r="N20" s="347"/>
      <c r="O20" s="132"/>
    </row>
    <row r="21" spans="2:15" ht="26.25" customHeight="1" x14ac:dyDescent="0.25">
      <c r="B21" s="130"/>
      <c r="C21" s="135"/>
      <c r="D21" s="177"/>
      <c r="E21" s="178"/>
      <c r="F21" s="178"/>
      <c r="G21" s="340"/>
      <c r="H21" s="340"/>
      <c r="I21" s="179"/>
      <c r="J21" s="344"/>
      <c r="K21" s="345"/>
      <c r="L21" s="346"/>
      <c r="M21" s="347"/>
      <c r="N21" s="347"/>
      <c r="O21" s="132"/>
    </row>
    <row r="22" spans="2:15" ht="26.25" customHeight="1" x14ac:dyDescent="0.25">
      <c r="B22" s="130"/>
      <c r="C22" s="135"/>
      <c r="D22" s="177"/>
      <c r="E22" s="178"/>
      <c r="F22" s="178"/>
      <c r="G22" s="340"/>
      <c r="H22" s="340"/>
      <c r="I22" s="179"/>
      <c r="J22" s="344"/>
      <c r="K22" s="345"/>
      <c r="L22" s="346"/>
      <c r="M22" s="347"/>
      <c r="N22" s="347"/>
      <c r="O22" s="132"/>
    </row>
    <row r="23" spans="2:15" ht="26.25" customHeight="1" x14ac:dyDescent="0.25">
      <c r="B23" s="130"/>
      <c r="C23" s="135"/>
      <c r="D23" s="177"/>
      <c r="E23" s="178"/>
      <c r="F23" s="178"/>
      <c r="G23" s="340"/>
      <c r="H23" s="340"/>
      <c r="I23" s="179"/>
      <c r="J23" s="344"/>
      <c r="K23" s="345"/>
      <c r="L23" s="346"/>
      <c r="M23" s="347"/>
      <c r="N23" s="347"/>
      <c r="O23" s="132"/>
    </row>
    <row r="24" spans="2:15" ht="26.25" customHeight="1" x14ac:dyDescent="0.25">
      <c r="B24" s="130"/>
      <c r="C24" s="135"/>
      <c r="D24" s="177"/>
      <c r="E24" s="178"/>
      <c r="F24" s="178"/>
      <c r="G24" s="340"/>
      <c r="H24" s="340"/>
      <c r="I24" s="179"/>
      <c r="J24" s="344"/>
      <c r="K24" s="345"/>
      <c r="L24" s="346"/>
      <c r="M24" s="347"/>
      <c r="N24" s="347"/>
      <c r="O24" s="132"/>
    </row>
    <row r="25" spans="2:15" ht="26.25" customHeight="1" x14ac:dyDescent="0.25">
      <c r="B25" s="130"/>
      <c r="C25" s="135"/>
      <c r="D25" s="177"/>
      <c r="E25" s="178"/>
      <c r="F25" s="178"/>
      <c r="G25" s="340"/>
      <c r="H25" s="340"/>
      <c r="I25" s="179"/>
      <c r="J25" s="344"/>
      <c r="K25" s="345"/>
      <c r="L25" s="346"/>
      <c r="M25" s="347"/>
      <c r="N25" s="347"/>
      <c r="O25" s="132"/>
    </row>
    <row r="26" spans="2:15" ht="26.25" customHeight="1" x14ac:dyDescent="0.25">
      <c r="B26" s="130"/>
      <c r="C26" s="135"/>
      <c r="D26" s="177"/>
      <c r="E26" s="178"/>
      <c r="F26" s="178"/>
      <c r="G26" s="340"/>
      <c r="H26" s="340"/>
      <c r="I26" s="179"/>
      <c r="J26" s="344"/>
      <c r="K26" s="345"/>
      <c r="L26" s="346"/>
      <c r="M26" s="347"/>
      <c r="N26" s="347"/>
      <c r="O26" s="132"/>
    </row>
    <row r="27" spans="2:15" ht="26.25" customHeight="1" x14ac:dyDescent="0.25">
      <c r="B27" s="130"/>
      <c r="C27" s="135"/>
      <c r="D27" s="177"/>
      <c r="E27" s="178"/>
      <c r="F27" s="178"/>
      <c r="G27" s="340"/>
      <c r="H27" s="340"/>
      <c r="I27" s="179"/>
      <c r="J27" s="344"/>
      <c r="K27" s="345"/>
      <c r="L27" s="346"/>
      <c r="M27" s="347"/>
      <c r="N27" s="347"/>
      <c r="O27" s="132"/>
    </row>
    <row r="28" spans="2:15" ht="26.25" customHeight="1" x14ac:dyDescent="0.25">
      <c r="B28" s="130"/>
      <c r="C28" s="135"/>
      <c r="D28" s="177"/>
      <c r="E28" s="178"/>
      <c r="F28" s="178"/>
      <c r="G28" s="340"/>
      <c r="H28" s="340"/>
      <c r="I28" s="179"/>
      <c r="J28" s="344"/>
      <c r="K28" s="345"/>
      <c r="L28" s="346"/>
      <c r="M28" s="347"/>
      <c r="N28" s="347"/>
      <c r="O28" s="132"/>
    </row>
    <row r="29" spans="2:15" ht="26.25" customHeight="1" x14ac:dyDescent="0.25">
      <c r="B29" s="130"/>
      <c r="C29" s="135"/>
      <c r="D29" s="177"/>
      <c r="E29" s="178"/>
      <c r="F29" s="178"/>
      <c r="G29" s="340"/>
      <c r="H29" s="340"/>
      <c r="I29" s="179"/>
      <c r="J29" s="344"/>
      <c r="K29" s="345"/>
      <c r="L29" s="346"/>
      <c r="M29" s="347"/>
      <c r="N29" s="347"/>
      <c r="O29" s="132"/>
    </row>
    <row r="30" spans="2:15" ht="26.25" customHeight="1" x14ac:dyDescent="0.25">
      <c r="B30" s="130"/>
      <c r="C30" s="135"/>
      <c r="D30" s="177"/>
      <c r="E30" s="178"/>
      <c r="F30" s="178"/>
      <c r="G30" s="340"/>
      <c r="H30" s="340"/>
      <c r="I30" s="179"/>
      <c r="J30" s="344"/>
      <c r="K30" s="345"/>
      <c r="L30" s="346"/>
      <c r="M30" s="347"/>
      <c r="N30" s="347"/>
      <c r="O30" s="132"/>
    </row>
    <row r="31" spans="2:15" ht="26.25" customHeight="1" x14ac:dyDescent="0.25">
      <c r="B31" s="130"/>
      <c r="C31" s="135"/>
      <c r="D31" s="177"/>
      <c r="E31" s="178"/>
      <c r="F31" s="178"/>
      <c r="G31" s="340"/>
      <c r="H31" s="340"/>
      <c r="I31" s="179"/>
      <c r="J31" s="344"/>
      <c r="K31" s="345"/>
      <c r="L31" s="346"/>
      <c r="M31" s="347"/>
      <c r="N31" s="347"/>
      <c r="O31" s="132"/>
    </row>
    <row r="32" spans="2:15" ht="26.25" customHeight="1" x14ac:dyDescent="0.25">
      <c r="B32" s="130"/>
      <c r="C32" s="135"/>
      <c r="D32" s="177"/>
      <c r="E32" s="178"/>
      <c r="F32" s="178"/>
      <c r="G32" s="340"/>
      <c r="H32" s="340"/>
      <c r="I32" s="179"/>
      <c r="J32" s="344"/>
      <c r="K32" s="345"/>
      <c r="L32" s="346"/>
      <c r="M32" s="347"/>
      <c r="N32" s="347"/>
      <c r="O32" s="132"/>
    </row>
    <row r="33" spans="2:15" ht="26.25" customHeight="1" x14ac:dyDescent="0.25">
      <c r="B33" s="130"/>
      <c r="C33" s="135"/>
      <c r="D33" s="177"/>
      <c r="E33" s="178"/>
      <c r="F33" s="178"/>
      <c r="G33" s="340"/>
      <c r="H33" s="340"/>
      <c r="I33" s="179"/>
      <c r="J33" s="344"/>
      <c r="K33" s="345"/>
      <c r="L33" s="346"/>
      <c r="M33" s="347"/>
      <c r="N33" s="347"/>
      <c r="O33" s="132"/>
    </row>
    <row r="34" spans="2:15" ht="26.25" customHeight="1" x14ac:dyDescent="0.25">
      <c r="B34" s="130"/>
      <c r="C34" s="135"/>
      <c r="D34" s="177"/>
      <c r="E34" s="178"/>
      <c r="F34" s="178"/>
      <c r="G34" s="340"/>
      <c r="H34" s="340"/>
      <c r="I34" s="179"/>
      <c r="J34" s="344"/>
      <c r="K34" s="345"/>
      <c r="L34" s="346"/>
      <c r="M34" s="347"/>
      <c r="N34" s="347"/>
      <c r="O34" s="132"/>
    </row>
    <row r="35" spans="2:15" ht="26.25" customHeight="1" x14ac:dyDescent="0.25">
      <c r="B35" s="130"/>
      <c r="C35" s="135"/>
      <c r="D35" s="177"/>
      <c r="E35" s="178"/>
      <c r="F35" s="178"/>
      <c r="G35" s="340"/>
      <c r="H35" s="340"/>
      <c r="I35" s="179"/>
      <c r="J35" s="344"/>
      <c r="K35" s="345"/>
      <c r="L35" s="346"/>
      <c r="M35" s="347"/>
      <c r="N35" s="347"/>
      <c r="O35" s="132"/>
    </row>
    <row r="36" spans="2:15" ht="26.25" customHeight="1" x14ac:dyDescent="0.25">
      <c r="B36" s="130"/>
      <c r="C36" s="135"/>
      <c r="D36" s="177"/>
      <c r="E36" s="178"/>
      <c r="F36" s="178"/>
      <c r="G36" s="340"/>
      <c r="H36" s="340"/>
      <c r="I36" s="179"/>
      <c r="J36" s="344"/>
      <c r="K36" s="345"/>
      <c r="L36" s="346"/>
      <c r="M36" s="347"/>
      <c r="N36" s="347"/>
      <c r="O36" s="132"/>
    </row>
    <row r="37" spans="2:15" ht="26.25" customHeight="1" x14ac:dyDescent="0.25">
      <c r="B37" s="130"/>
      <c r="C37" s="135"/>
      <c r="D37" s="177"/>
      <c r="E37" s="178"/>
      <c r="F37" s="178"/>
      <c r="G37" s="340"/>
      <c r="H37" s="340"/>
      <c r="I37" s="179"/>
      <c r="J37" s="344"/>
      <c r="K37" s="345"/>
      <c r="L37" s="346"/>
      <c r="M37" s="347"/>
      <c r="N37" s="347"/>
      <c r="O37" s="132"/>
    </row>
    <row r="38" spans="2:15" ht="26.25" customHeight="1" x14ac:dyDescent="0.25">
      <c r="B38" s="130"/>
      <c r="C38" s="135"/>
      <c r="D38" s="177"/>
      <c r="E38" s="178"/>
      <c r="F38" s="178"/>
      <c r="G38" s="340"/>
      <c r="H38" s="340"/>
      <c r="I38" s="179"/>
      <c r="J38" s="344"/>
      <c r="K38" s="345"/>
      <c r="L38" s="346"/>
      <c r="M38" s="347"/>
      <c r="N38" s="347"/>
      <c r="O38" s="132"/>
    </row>
    <row r="39" spans="2:15" ht="26.25" customHeight="1" x14ac:dyDescent="0.25">
      <c r="B39" s="130"/>
      <c r="C39" s="135"/>
      <c r="D39" s="177"/>
      <c r="E39" s="178"/>
      <c r="F39" s="178"/>
      <c r="G39" s="340"/>
      <c r="H39" s="340"/>
      <c r="I39" s="179"/>
      <c r="J39" s="344"/>
      <c r="K39" s="345"/>
      <c r="L39" s="346"/>
      <c r="M39" s="347"/>
      <c r="N39" s="347"/>
      <c r="O39" s="132"/>
    </row>
    <row r="40" spans="2:15" ht="26.25" customHeight="1" x14ac:dyDescent="0.25">
      <c r="B40" s="130"/>
      <c r="C40" s="135"/>
      <c r="D40" s="177"/>
      <c r="E40" s="178"/>
      <c r="F40" s="178"/>
      <c r="G40" s="340"/>
      <c r="H40" s="340"/>
      <c r="I40" s="179"/>
      <c r="J40" s="344"/>
      <c r="K40" s="345"/>
      <c r="L40" s="346"/>
      <c r="M40" s="347"/>
      <c r="N40" s="347"/>
      <c r="O40" s="132"/>
    </row>
    <row r="41" spans="2:15" ht="26.25" customHeight="1" x14ac:dyDescent="0.25">
      <c r="B41" s="130"/>
      <c r="C41" s="135"/>
      <c r="D41" s="177"/>
      <c r="E41" s="178"/>
      <c r="F41" s="178"/>
      <c r="G41" s="340"/>
      <c r="H41" s="340"/>
      <c r="I41" s="179"/>
      <c r="J41" s="344"/>
      <c r="K41" s="345"/>
      <c r="L41" s="346"/>
      <c r="M41" s="347"/>
      <c r="N41" s="347"/>
      <c r="O41" s="132"/>
    </row>
    <row r="42" spans="2:15" ht="26.25" customHeight="1" x14ac:dyDescent="0.25">
      <c r="B42" s="130"/>
      <c r="C42" s="135"/>
      <c r="D42" s="177"/>
      <c r="E42" s="178"/>
      <c r="F42" s="178"/>
      <c r="G42" s="340"/>
      <c r="H42" s="340"/>
      <c r="I42" s="179"/>
      <c r="J42" s="344"/>
      <c r="K42" s="345"/>
      <c r="L42" s="346"/>
      <c r="M42" s="347"/>
      <c r="N42" s="347"/>
      <c r="O42" s="132"/>
    </row>
    <row r="43" spans="2:15" ht="26.25" customHeight="1" x14ac:dyDescent="0.25">
      <c r="B43" s="130"/>
      <c r="C43" s="135"/>
      <c r="D43" s="177"/>
      <c r="E43" s="178"/>
      <c r="F43" s="178"/>
      <c r="G43" s="340"/>
      <c r="H43" s="340"/>
      <c r="I43" s="179"/>
      <c r="J43" s="344"/>
      <c r="K43" s="345"/>
      <c r="L43" s="346"/>
      <c r="M43" s="347"/>
      <c r="N43" s="347"/>
      <c r="O43" s="132"/>
    </row>
    <row r="44" spans="2:15" ht="26.25" customHeight="1" x14ac:dyDescent="0.25">
      <c r="B44" s="130"/>
      <c r="C44" s="135"/>
      <c r="D44" s="177"/>
      <c r="E44" s="178"/>
      <c r="F44" s="178"/>
      <c r="G44" s="340"/>
      <c r="H44" s="340"/>
      <c r="I44" s="179"/>
      <c r="J44" s="344"/>
      <c r="K44" s="345"/>
      <c r="L44" s="346"/>
      <c r="M44" s="347"/>
      <c r="N44" s="347"/>
      <c r="O44" s="132"/>
    </row>
    <row r="45" spans="2:15" ht="26.25" customHeight="1" x14ac:dyDescent="0.25">
      <c r="B45" s="130"/>
      <c r="C45" s="135"/>
      <c r="D45" s="177"/>
      <c r="E45" s="178"/>
      <c r="F45" s="178"/>
      <c r="G45" s="340"/>
      <c r="H45" s="340"/>
      <c r="I45" s="179"/>
      <c r="J45" s="344"/>
      <c r="K45" s="345"/>
      <c r="L45" s="346"/>
      <c r="M45" s="347"/>
      <c r="N45" s="347"/>
      <c r="O45" s="132"/>
    </row>
    <row r="46" spans="2:15" ht="26.25" customHeight="1" x14ac:dyDescent="0.25">
      <c r="B46" s="130"/>
      <c r="C46" s="135"/>
      <c r="D46" s="177"/>
      <c r="E46" s="178"/>
      <c r="F46" s="178"/>
      <c r="G46" s="340"/>
      <c r="H46" s="340"/>
      <c r="I46" s="179"/>
      <c r="J46" s="344"/>
      <c r="K46" s="345"/>
      <c r="L46" s="346"/>
      <c r="M46" s="347"/>
      <c r="N46" s="347"/>
      <c r="O46" s="132"/>
    </row>
    <row r="47" spans="2:15" ht="26.25" customHeight="1" x14ac:dyDescent="0.25">
      <c r="B47" s="130"/>
      <c r="C47" s="135"/>
      <c r="D47" s="177"/>
      <c r="E47" s="178"/>
      <c r="F47" s="178"/>
      <c r="G47" s="340"/>
      <c r="H47" s="340"/>
      <c r="I47" s="179"/>
      <c r="J47" s="344"/>
      <c r="K47" s="345"/>
      <c r="L47" s="346"/>
      <c r="M47" s="347"/>
      <c r="N47" s="347"/>
      <c r="O47" s="132"/>
    </row>
    <row r="48" spans="2:15" ht="26.25" customHeight="1" x14ac:dyDescent="0.25">
      <c r="B48" s="130"/>
      <c r="C48" s="135"/>
      <c r="D48" s="177"/>
      <c r="E48" s="178"/>
      <c r="F48" s="178"/>
      <c r="G48" s="340"/>
      <c r="H48" s="340"/>
      <c r="I48" s="179"/>
      <c r="J48" s="344"/>
      <c r="K48" s="345"/>
      <c r="L48" s="346"/>
      <c r="M48" s="347"/>
      <c r="N48" s="347"/>
      <c r="O48" s="132"/>
    </row>
    <row r="49" spans="2:15" ht="26.25" customHeight="1" x14ac:dyDescent="0.25">
      <c r="B49" s="130"/>
      <c r="C49" s="135"/>
      <c r="D49" s="177"/>
      <c r="E49" s="178"/>
      <c r="F49" s="178"/>
      <c r="G49" s="340"/>
      <c r="H49" s="340"/>
      <c r="I49" s="179"/>
      <c r="J49" s="344"/>
      <c r="K49" s="345"/>
      <c r="L49" s="346"/>
      <c r="M49" s="347"/>
      <c r="N49" s="347"/>
      <c r="O49" s="132"/>
    </row>
    <row r="50" spans="2:15" ht="26.25" customHeight="1" x14ac:dyDescent="0.25">
      <c r="B50" s="130"/>
      <c r="C50" s="135"/>
      <c r="D50" s="177"/>
      <c r="E50" s="178"/>
      <c r="F50" s="178"/>
      <c r="G50" s="340"/>
      <c r="H50" s="340"/>
      <c r="I50" s="179"/>
      <c r="J50" s="344"/>
      <c r="K50" s="345"/>
      <c r="L50" s="346"/>
      <c r="M50" s="347"/>
      <c r="N50" s="347"/>
      <c r="O50" s="132"/>
    </row>
    <row r="51" spans="2:15" ht="26.25" customHeight="1" x14ac:dyDescent="0.25">
      <c r="B51" s="130"/>
      <c r="C51" s="135"/>
      <c r="D51" s="177"/>
      <c r="E51" s="178"/>
      <c r="F51" s="178"/>
      <c r="G51" s="340"/>
      <c r="H51" s="340"/>
      <c r="I51" s="179"/>
      <c r="J51" s="344"/>
      <c r="K51" s="345"/>
      <c r="L51" s="346"/>
      <c r="M51" s="347"/>
      <c r="N51" s="347"/>
      <c r="O51" s="132"/>
    </row>
    <row r="52" spans="2:15" ht="26.25" customHeight="1" x14ac:dyDescent="0.25">
      <c r="B52" s="130"/>
      <c r="C52" s="135"/>
      <c r="D52" s="177"/>
      <c r="E52" s="178"/>
      <c r="F52" s="178"/>
      <c r="G52" s="340"/>
      <c r="H52" s="340"/>
      <c r="I52" s="179"/>
      <c r="J52" s="344"/>
      <c r="K52" s="345"/>
      <c r="L52" s="346"/>
      <c r="M52" s="347"/>
      <c r="N52" s="347"/>
      <c r="O52" s="132"/>
    </row>
    <row r="53" spans="2:15" ht="26.25" customHeight="1" x14ac:dyDescent="0.25">
      <c r="B53" s="130"/>
      <c r="C53" s="135"/>
      <c r="D53" s="177"/>
      <c r="E53" s="178"/>
      <c r="F53" s="178"/>
      <c r="G53" s="340"/>
      <c r="H53" s="340"/>
      <c r="I53" s="179"/>
      <c r="J53" s="344"/>
      <c r="K53" s="345"/>
      <c r="L53" s="346"/>
      <c r="M53" s="347"/>
      <c r="N53" s="347"/>
      <c r="O53" s="132"/>
    </row>
    <row r="54" spans="2:15" ht="26.25" customHeight="1" x14ac:dyDescent="0.25">
      <c r="B54" s="130"/>
      <c r="C54" s="135"/>
      <c r="D54" s="177"/>
      <c r="E54" s="178"/>
      <c r="F54" s="178"/>
      <c r="G54" s="340"/>
      <c r="H54" s="340"/>
      <c r="I54" s="179"/>
      <c r="J54" s="344"/>
      <c r="K54" s="345"/>
      <c r="L54" s="346"/>
      <c r="M54" s="347"/>
      <c r="N54" s="347"/>
      <c r="O54" s="132"/>
    </row>
    <row r="55" spans="2:15" ht="26.25" customHeight="1" x14ac:dyDescent="0.25">
      <c r="B55" s="130"/>
      <c r="C55" s="135"/>
      <c r="D55" s="177"/>
      <c r="E55" s="178"/>
      <c r="F55" s="178"/>
      <c r="G55" s="340"/>
      <c r="H55" s="340"/>
      <c r="I55" s="179"/>
      <c r="J55" s="344"/>
      <c r="K55" s="345"/>
      <c r="L55" s="346"/>
      <c r="M55" s="347"/>
      <c r="N55" s="347"/>
      <c r="O55" s="132"/>
    </row>
    <row r="56" spans="2:15" ht="26.25" customHeight="1" x14ac:dyDescent="0.25">
      <c r="B56" s="130"/>
      <c r="C56" s="135"/>
      <c r="D56" s="177"/>
      <c r="E56" s="178"/>
      <c r="F56" s="178"/>
      <c r="G56" s="340"/>
      <c r="H56" s="340"/>
      <c r="I56" s="179"/>
      <c r="J56" s="344"/>
      <c r="K56" s="345"/>
      <c r="L56" s="346"/>
      <c r="M56" s="347"/>
      <c r="N56" s="347"/>
      <c r="O56" s="132"/>
    </row>
    <row r="57" spans="2:15" ht="26.25" customHeight="1" x14ac:dyDescent="0.25">
      <c r="B57" s="130"/>
      <c r="C57" s="135"/>
      <c r="D57" s="177"/>
      <c r="E57" s="178"/>
      <c r="F57" s="178"/>
      <c r="G57" s="340"/>
      <c r="H57" s="340"/>
      <c r="I57" s="179"/>
      <c r="J57" s="344"/>
      <c r="K57" s="345"/>
      <c r="L57" s="346"/>
      <c r="M57" s="347"/>
      <c r="N57" s="347"/>
      <c r="O57" s="132"/>
    </row>
    <row r="58" spans="2:15" ht="26.25" customHeight="1" x14ac:dyDescent="0.25">
      <c r="B58" s="130"/>
      <c r="C58" s="135"/>
      <c r="D58" s="177"/>
      <c r="E58" s="178"/>
      <c r="F58" s="178"/>
      <c r="G58" s="340"/>
      <c r="H58" s="340"/>
      <c r="I58" s="179"/>
      <c r="J58" s="344"/>
      <c r="K58" s="345"/>
      <c r="L58" s="346"/>
      <c r="M58" s="347"/>
      <c r="N58" s="347"/>
      <c r="O58" s="132"/>
    </row>
    <row r="59" spans="2:15" ht="26.25" customHeight="1" x14ac:dyDescent="0.25">
      <c r="B59" s="130"/>
      <c r="C59" s="135"/>
      <c r="D59" s="177"/>
      <c r="E59" s="178"/>
      <c r="F59" s="178"/>
      <c r="G59" s="340"/>
      <c r="H59" s="340"/>
      <c r="I59" s="179"/>
      <c r="J59" s="344"/>
      <c r="K59" s="345"/>
      <c r="L59" s="346"/>
      <c r="M59" s="347"/>
      <c r="N59" s="347"/>
      <c r="O59" s="132"/>
    </row>
    <row r="60" spans="2:15" ht="26.25" customHeight="1" x14ac:dyDescent="0.25">
      <c r="B60" s="130"/>
      <c r="C60" s="135"/>
      <c r="D60" s="177"/>
      <c r="E60" s="178"/>
      <c r="F60" s="178"/>
      <c r="G60" s="340"/>
      <c r="H60" s="340"/>
      <c r="I60" s="179"/>
      <c r="J60" s="344"/>
      <c r="K60" s="345"/>
      <c r="L60" s="346"/>
      <c r="M60" s="347"/>
      <c r="N60" s="347"/>
      <c r="O60" s="132"/>
    </row>
    <row r="61" spans="2:15" ht="26.25" customHeight="1" x14ac:dyDescent="0.25">
      <c r="B61" s="130"/>
      <c r="C61" s="135"/>
      <c r="D61" s="177"/>
      <c r="E61" s="178"/>
      <c r="F61" s="178"/>
      <c r="G61" s="340"/>
      <c r="H61" s="340"/>
      <c r="I61" s="179"/>
      <c r="J61" s="344"/>
      <c r="K61" s="345"/>
      <c r="L61" s="346"/>
      <c r="M61" s="347"/>
      <c r="N61" s="347"/>
      <c r="O61" s="132"/>
    </row>
    <row r="62" spans="2:15" ht="26.25" customHeight="1" x14ac:dyDescent="0.25">
      <c r="B62" s="130"/>
      <c r="C62" s="135"/>
      <c r="D62" s="177"/>
      <c r="E62" s="178"/>
      <c r="F62" s="178"/>
      <c r="G62" s="340"/>
      <c r="H62" s="340"/>
      <c r="I62" s="179"/>
      <c r="J62" s="344"/>
      <c r="K62" s="345"/>
      <c r="L62" s="346"/>
      <c r="M62" s="347"/>
      <c r="N62" s="347"/>
      <c r="O62" s="132"/>
    </row>
    <row r="63" spans="2:15" ht="26.25" customHeight="1" x14ac:dyDescent="0.25">
      <c r="B63" s="130"/>
      <c r="C63" s="135"/>
      <c r="D63" s="177"/>
      <c r="E63" s="178"/>
      <c r="F63" s="178"/>
      <c r="G63" s="340"/>
      <c r="H63" s="340"/>
      <c r="I63" s="179"/>
      <c r="J63" s="344"/>
      <c r="K63" s="345"/>
      <c r="L63" s="346"/>
      <c r="M63" s="347"/>
      <c r="N63" s="347"/>
      <c r="O63" s="132"/>
    </row>
    <row r="64" spans="2:15" ht="26.25" customHeight="1" x14ac:dyDescent="0.25">
      <c r="B64" s="130"/>
      <c r="C64" s="135"/>
      <c r="D64" s="177"/>
      <c r="E64" s="178"/>
      <c r="F64" s="178"/>
      <c r="G64" s="340"/>
      <c r="H64" s="340"/>
      <c r="I64" s="179"/>
      <c r="J64" s="344"/>
      <c r="K64" s="345"/>
      <c r="L64" s="346"/>
      <c r="M64" s="347"/>
      <c r="N64" s="347"/>
      <c r="O64" s="132"/>
    </row>
    <row r="65" spans="2:15" ht="26.25" customHeight="1" x14ac:dyDescent="0.25">
      <c r="B65" s="130"/>
      <c r="C65" s="135"/>
      <c r="D65" s="177"/>
      <c r="E65" s="178"/>
      <c r="F65" s="178"/>
      <c r="G65" s="340"/>
      <c r="H65" s="340"/>
      <c r="I65" s="179"/>
      <c r="J65" s="344"/>
      <c r="K65" s="345"/>
      <c r="L65" s="346"/>
      <c r="M65" s="347"/>
      <c r="N65" s="347"/>
      <c r="O65" s="132"/>
    </row>
    <row r="66" spans="2:15" ht="26.25" customHeight="1" x14ac:dyDescent="0.25">
      <c r="B66" s="130"/>
      <c r="C66" s="135"/>
      <c r="D66" s="177"/>
      <c r="E66" s="178"/>
      <c r="F66" s="178"/>
      <c r="G66" s="340"/>
      <c r="H66" s="340"/>
      <c r="I66" s="179"/>
      <c r="J66" s="344"/>
      <c r="K66" s="345"/>
      <c r="L66" s="346"/>
      <c r="M66" s="347"/>
      <c r="N66" s="347"/>
      <c r="O66" s="132"/>
    </row>
    <row r="67" spans="2:15" ht="26.25" customHeight="1" x14ac:dyDescent="0.25">
      <c r="B67" s="130"/>
      <c r="C67" s="135"/>
      <c r="D67" s="177"/>
      <c r="E67" s="178"/>
      <c r="F67" s="178"/>
      <c r="G67" s="340"/>
      <c r="H67" s="340"/>
      <c r="I67" s="179"/>
      <c r="J67" s="344"/>
      <c r="K67" s="345"/>
      <c r="L67" s="346"/>
      <c r="M67" s="347"/>
      <c r="N67" s="347"/>
      <c r="O67" s="132"/>
    </row>
    <row r="68" spans="2:15" ht="26.25" customHeight="1" x14ac:dyDescent="0.25">
      <c r="B68" s="130"/>
      <c r="C68" s="135"/>
      <c r="D68" s="177"/>
      <c r="E68" s="178"/>
      <c r="F68" s="178"/>
      <c r="G68" s="340"/>
      <c r="H68" s="340"/>
      <c r="I68" s="179"/>
      <c r="J68" s="344"/>
      <c r="K68" s="345"/>
      <c r="L68" s="346"/>
      <c r="M68" s="347"/>
      <c r="N68" s="347"/>
      <c r="O68" s="132"/>
    </row>
    <row r="69" spans="2:15" ht="26.25" customHeight="1" x14ac:dyDescent="0.25">
      <c r="B69" s="130"/>
      <c r="C69" s="135"/>
      <c r="D69" s="177"/>
      <c r="E69" s="178"/>
      <c r="F69" s="178"/>
      <c r="G69" s="340"/>
      <c r="H69" s="340"/>
      <c r="I69" s="179"/>
      <c r="J69" s="344"/>
      <c r="K69" s="345"/>
      <c r="L69" s="346"/>
      <c r="M69" s="347"/>
      <c r="N69" s="347"/>
      <c r="O69" s="132"/>
    </row>
    <row r="70" spans="2:15" ht="26.25" customHeight="1" x14ac:dyDescent="0.25">
      <c r="B70" s="130"/>
      <c r="C70" s="135"/>
      <c r="D70" s="177"/>
      <c r="E70" s="178"/>
      <c r="F70" s="178"/>
      <c r="G70" s="340"/>
      <c r="H70" s="340"/>
      <c r="I70" s="179"/>
      <c r="J70" s="344"/>
      <c r="K70" s="345"/>
      <c r="L70" s="346"/>
      <c r="M70" s="347"/>
      <c r="N70" s="347"/>
      <c r="O70" s="132"/>
    </row>
    <row r="71" spans="2:15" ht="26.25" customHeight="1" x14ac:dyDescent="0.25">
      <c r="B71" s="130"/>
      <c r="C71" s="135"/>
      <c r="D71" s="177"/>
      <c r="E71" s="178"/>
      <c r="F71" s="178"/>
      <c r="G71" s="340"/>
      <c r="H71" s="340"/>
      <c r="I71" s="179"/>
      <c r="J71" s="344"/>
      <c r="K71" s="345"/>
      <c r="L71" s="346"/>
      <c r="M71" s="347"/>
      <c r="N71" s="347"/>
      <c r="O71" s="132"/>
    </row>
    <row r="72" spans="2:15" ht="26.25" customHeight="1" x14ac:dyDescent="0.25">
      <c r="B72" s="130"/>
      <c r="C72" s="135"/>
      <c r="D72" s="177"/>
      <c r="E72" s="178"/>
      <c r="F72" s="178"/>
      <c r="G72" s="340"/>
      <c r="H72" s="340"/>
      <c r="I72" s="179"/>
      <c r="J72" s="344"/>
      <c r="K72" s="345"/>
      <c r="L72" s="346"/>
      <c r="M72" s="347"/>
      <c r="N72" s="347"/>
      <c r="O72" s="132"/>
    </row>
    <row r="73" spans="2:15" ht="26.25" customHeight="1" x14ac:dyDescent="0.25">
      <c r="B73" s="130"/>
      <c r="C73" s="135"/>
      <c r="D73" s="177"/>
      <c r="E73" s="178"/>
      <c r="F73" s="178"/>
      <c r="G73" s="340"/>
      <c r="H73" s="340"/>
      <c r="I73" s="179"/>
      <c r="J73" s="344"/>
      <c r="K73" s="345"/>
      <c r="L73" s="346"/>
      <c r="M73" s="347"/>
      <c r="N73" s="347"/>
      <c r="O73" s="132"/>
    </row>
    <row r="74" spans="2:15" ht="26.25" customHeight="1" x14ac:dyDescent="0.25">
      <c r="B74" s="130"/>
      <c r="C74" s="135"/>
      <c r="D74" s="177"/>
      <c r="E74" s="178"/>
      <c r="F74" s="178"/>
      <c r="G74" s="340"/>
      <c r="H74" s="340"/>
      <c r="I74" s="179"/>
      <c r="J74" s="344"/>
      <c r="K74" s="345"/>
      <c r="L74" s="346"/>
      <c r="M74" s="347"/>
      <c r="N74" s="347"/>
      <c r="O74" s="132"/>
    </row>
    <row r="75" spans="2:15" ht="26.25" customHeight="1" x14ac:dyDescent="0.25">
      <c r="B75" s="130"/>
      <c r="C75" s="135"/>
      <c r="D75" s="177"/>
      <c r="E75" s="178"/>
      <c r="F75" s="178"/>
      <c r="G75" s="340"/>
      <c r="H75" s="340"/>
      <c r="I75" s="179"/>
      <c r="J75" s="344"/>
      <c r="K75" s="345"/>
      <c r="L75" s="346"/>
      <c r="M75" s="347"/>
      <c r="N75" s="347"/>
      <c r="O75" s="132"/>
    </row>
    <row r="76" spans="2:15" ht="26.25" customHeight="1" x14ac:dyDescent="0.25">
      <c r="B76" s="130"/>
      <c r="C76" s="135"/>
      <c r="D76" s="177"/>
      <c r="E76" s="178"/>
      <c r="F76" s="178"/>
      <c r="G76" s="340"/>
      <c r="H76" s="340"/>
      <c r="I76" s="179"/>
      <c r="J76" s="344"/>
      <c r="K76" s="345"/>
      <c r="L76" s="346"/>
      <c r="M76" s="347"/>
      <c r="N76" s="347"/>
      <c r="O76" s="132"/>
    </row>
    <row r="77" spans="2:15" ht="26.25" customHeight="1" x14ac:dyDescent="0.25">
      <c r="B77" s="130"/>
      <c r="C77" s="135"/>
      <c r="D77" s="177"/>
      <c r="E77" s="178"/>
      <c r="F77" s="178"/>
      <c r="G77" s="340"/>
      <c r="H77" s="340"/>
      <c r="I77" s="179"/>
      <c r="J77" s="344"/>
      <c r="K77" s="345"/>
      <c r="L77" s="346"/>
      <c r="M77" s="347"/>
      <c r="N77" s="347"/>
      <c r="O77" s="132"/>
    </row>
    <row r="78" spans="2:15" ht="26.25" customHeight="1" x14ac:dyDescent="0.25">
      <c r="B78" s="130"/>
      <c r="C78" s="135"/>
      <c r="D78" s="177"/>
      <c r="E78" s="178"/>
      <c r="F78" s="178"/>
      <c r="G78" s="340"/>
      <c r="H78" s="340"/>
      <c r="I78" s="179"/>
      <c r="J78" s="344"/>
      <c r="K78" s="345"/>
      <c r="L78" s="346"/>
      <c r="M78" s="347"/>
      <c r="N78" s="347"/>
      <c r="O78" s="132"/>
    </row>
    <row r="79" spans="2:15" ht="26.25" customHeight="1" x14ac:dyDescent="0.25">
      <c r="B79" s="130"/>
      <c r="C79" s="135"/>
      <c r="D79" s="177"/>
      <c r="E79" s="178"/>
      <c r="F79" s="178"/>
      <c r="G79" s="340"/>
      <c r="H79" s="340"/>
      <c r="I79" s="179"/>
      <c r="J79" s="344"/>
      <c r="K79" s="345"/>
      <c r="L79" s="346"/>
      <c r="M79" s="347"/>
      <c r="N79" s="347"/>
      <c r="O79" s="132"/>
    </row>
    <row r="80" spans="2:15" ht="26.25" customHeight="1" x14ac:dyDescent="0.25">
      <c r="B80" s="130"/>
      <c r="C80" s="135"/>
      <c r="D80" s="177"/>
      <c r="E80" s="178"/>
      <c r="F80" s="178"/>
      <c r="G80" s="340"/>
      <c r="H80" s="340"/>
      <c r="I80" s="179"/>
      <c r="J80" s="344"/>
      <c r="K80" s="345"/>
      <c r="L80" s="346"/>
      <c r="M80" s="347"/>
      <c r="N80" s="347"/>
      <c r="O80" s="132"/>
    </row>
    <row r="81" spans="2:15" ht="26.25" customHeight="1" x14ac:dyDescent="0.25">
      <c r="B81" s="130"/>
      <c r="C81" s="135"/>
      <c r="D81" s="177"/>
      <c r="E81" s="178"/>
      <c r="F81" s="178"/>
      <c r="G81" s="340"/>
      <c r="H81" s="340"/>
      <c r="I81" s="179"/>
      <c r="J81" s="344"/>
      <c r="K81" s="345"/>
      <c r="L81" s="346"/>
      <c r="M81" s="347"/>
      <c r="N81" s="347"/>
      <c r="O81" s="132"/>
    </row>
    <row r="82" spans="2:15" ht="26.25" customHeight="1" x14ac:dyDescent="0.25">
      <c r="B82" s="130"/>
      <c r="C82" s="135"/>
      <c r="D82" s="177"/>
      <c r="E82" s="178"/>
      <c r="F82" s="178"/>
      <c r="G82" s="340"/>
      <c r="H82" s="340"/>
      <c r="I82" s="179"/>
      <c r="J82" s="344"/>
      <c r="K82" s="345"/>
      <c r="L82" s="346"/>
      <c r="M82" s="347"/>
      <c r="N82" s="347"/>
      <c r="O82" s="132"/>
    </row>
    <row r="83" spans="2:15" ht="26.25" customHeight="1" x14ac:dyDescent="0.25">
      <c r="B83" s="130"/>
      <c r="C83" s="135"/>
      <c r="D83" s="177"/>
      <c r="E83" s="178"/>
      <c r="F83" s="178"/>
      <c r="G83" s="340"/>
      <c r="H83" s="340"/>
      <c r="I83" s="179"/>
      <c r="J83" s="344"/>
      <c r="K83" s="345"/>
      <c r="L83" s="346"/>
      <c r="M83" s="347"/>
      <c r="N83" s="347"/>
      <c r="O83" s="132"/>
    </row>
    <row r="84" spans="2:15" ht="26.25" customHeight="1" x14ac:dyDescent="0.25">
      <c r="B84" s="130"/>
      <c r="C84" s="135"/>
      <c r="D84" s="177"/>
      <c r="E84" s="178"/>
      <c r="F84" s="178"/>
      <c r="G84" s="340"/>
      <c r="H84" s="340"/>
      <c r="I84" s="179"/>
      <c r="J84" s="344"/>
      <c r="K84" s="345"/>
      <c r="L84" s="346"/>
      <c r="M84" s="347"/>
      <c r="N84" s="347"/>
      <c r="O84" s="132"/>
    </row>
    <row r="85" spans="2:15" ht="26.25" customHeight="1" x14ac:dyDescent="0.25">
      <c r="B85" s="130"/>
      <c r="C85" s="135"/>
      <c r="D85" s="177"/>
      <c r="E85" s="178"/>
      <c r="F85" s="178"/>
      <c r="G85" s="340"/>
      <c r="H85" s="340"/>
      <c r="I85" s="179"/>
      <c r="J85" s="344"/>
      <c r="K85" s="345"/>
      <c r="L85" s="346"/>
      <c r="M85" s="347"/>
      <c r="N85" s="347"/>
      <c r="O85" s="132"/>
    </row>
    <row r="86" spans="2:15" ht="26.25" customHeight="1" x14ac:dyDescent="0.25">
      <c r="B86" s="130"/>
      <c r="C86" s="135"/>
      <c r="D86" s="177"/>
      <c r="E86" s="178"/>
      <c r="F86" s="178"/>
      <c r="G86" s="340"/>
      <c r="H86" s="340"/>
      <c r="I86" s="179"/>
      <c r="J86" s="344"/>
      <c r="K86" s="345"/>
      <c r="L86" s="346"/>
      <c r="M86" s="347"/>
      <c r="N86" s="347"/>
      <c r="O86" s="132"/>
    </row>
    <row r="87" spans="2:15" ht="26.25" customHeight="1" x14ac:dyDescent="0.25">
      <c r="B87" s="130"/>
      <c r="C87" s="135"/>
      <c r="D87" s="177"/>
      <c r="E87" s="178"/>
      <c r="F87" s="178"/>
      <c r="G87" s="340"/>
      <c r="H87" s="340"/>
      <c r="I87" s="179"/>
      <c r="J87" s="344"/>
      <c r="K87" s="345"/>
      <c r="L87" s="346"/>
      <c r="M87" s="347"/>
      <c r="N87" s="347"/>
      <c r="O87" s="132"/>
    </row>
    <row r="88" spans="2:15" ht="26.25" customHeight="1" x14ac:dyDescent="0.25">
      <c r="B88" s="130"/>
      <c r="C88" s="135"/>
      <c r="D88" s="177"/>
      <c r="E88" s="178"/>
      <c r="F88" s="178"/>
      <c r="G88" s="340"/>
      <c r="H88" s="340"/>
      <c r="I88" s="179"/>
      <c r="J88" s="344"/>
      <c r="K88" s="345"/>
      <c r="L88" s="346"/>
      <c r="M88" s="347"/>
      <c r="N88" s="347"/>
      <c r="O88" s="132"/>
    </row>
    <row r="89" spans="2:15" ht="26.25" customHeight="1" x14ac:dyDescent="0.25">
      <c r="B89" s="130"/>
      <c r="C89" s="135"/>
      <c r="D89" s="177"/>
      <c r="E89" s="178"/>
      <c r="F89" s="178"/>
      <c r="G89" s="340"/>
      <c r="H89" s="340"/>
      <c r="I89" s="179"/>
      <c r="J89" s="344"/>
      <c r="K89" s="345"/>
      <c r="L89" s="346"/>
      <c r="M89" s="347"/>
      <c r="N89" s="347"/>
      <c r="O89" s="132"/>
    </row>
    <row r="90" spans="2:15" ht="26.25" customHeight="1" x14ac:dyDescent="0.25">
      <c r="B90" s="130"/>
      <c r="C90" s="135"/>
      <c r="D90" s="177"/>
      <c r="E90" s="178"/>
      <c r="F90" s="178"/>
      <c r="G90" s="340"/>
      <c r="H90" s="340"/>
      <c r="I90" s="179"/>
      <c r="J90" s="344"/>
      <c r="K90" s="345"/>
      <c r="L90" s="346"/>
      <c r="M90" s="347"/>
      <c r="N90" s="347"/>
      <c r="O90" s="132"/>
    </row>
    <row r="91" spans="2:15" ht="26.25" customHeight="1" x14ac:dyDescent="0.25">
      <c r="B91" s="130"/>
      <c r="C91" s="135"/>
      <c r="D91" s="177"/>
      <c r="E91" s="178"/>
      <c r="F91" s="178"/>
      <c r="G91" s="340"/>
      <c r="H91" s="340"/>
      <c r="I91" s="179"/>
      <c r="J91" s="344"/>
      <c r="K91" s="345"/>
      <c r="L91" s="346"/>
      <c r="M91" s="347"/>
      <c r="N91" s="347"/>
      <c r="O91" s="132"/>
    </row>
    <row r="92" spans="2:15" ht="26.25" customHeight="1" x14ac:dyDescent="0.25">
      <c r="B92" s="130"/>
      <c r="C92" s="135"/>
      <c r="D92" s="177"/>
      <c r="E92" s="178"/>
      <c r="F92" s="178"/>
      <c r="G92" s="340"/>
      <c r="H92" s="340"/>
      <c r="I92" s="179"/>
      <c r="J92" s="344"/>
      <c r="K92" s="345"/>
      <c r="L92" s="346"/>
      <c r="M92" s="347"/>
      <c r="N92" s="347"/>
      <c r="O92" s="132"/>
    </row>
    <row r="93" spans="2:15" ht="26.25" customHeight="1" x14ac:dyDescent="0.25">
      <c r="B93" s="130"/>
      <c r="C93" s="135"/>
      <c r="D93" s="177"/>
      <c r="E93" s="178"/>
      <c r="F93" s="178"/>
      <c r="G93" s="340"/>
      <c r="H93" s="340"/>
      <c r="I93" s="179"/>
      <c r="J93" s="344"/>
      <c r="K93" s="345"/>
      <c r="L93" s="346"/>
      <c r="M93" s="347"/>
      <c r="N93" s="347"/>
      <c r="O93" s="132"/>
    </row>
    <row r="94" spans="2:15" ht="26.25" customHeight="1" x14ac:dyDescent="0.25">
      <c r="B94" s="130"/>
      <c r="C94" s="135"/>
      <c r="D94" s="177"/>
      <c r="E94" s="178"/>
      <c r="F94" s="178"/>
      <c r="G94" s="340"/>
      <c r="H94" s="340"/>
      <c r="I94" s="179"/>
      <c r="J94" s="344"/>
      <c r="K94" s="345"/>
      <c r="L94" s="346"/>
      <c r="M94" s="347"/>
      <c r="N94" s="347"/>
      <c r="O94" s="132"/>
    </row>
    <row r="95" spans="2:15" ht="26.25" customHeight="1" x14ac:dyDescent="0.25">
      <c r="B95" s="130"/>
      <c r="C95" s="135"/>
      <c r="D95" s="177"/>
      <c r="E95" s="178"/>
      <c r="F95" s="178"/>
      <c r="G95" s="340"/>
      <c r="H95" s="340"/>
      <c r="I95" s="179"/>
      <c r="J95" s="344"/>
      <c r="K95" s="345"/>
      <c r="L95" s="346"/>
      <c r="M95" s="347"/>
      <c r="N95" s="347"/>
      <c r="O95" s="132"/>
    </row>
    <row r="96" spans="2:15" ht="26.25" customHeight="1" x14ac:dyDescent="0.25">
      <c r="B96" s="130"/>
      <c r="C96" s="135"/>
      <c r="D96" s="177"/>
      <c r="E96" s="178"/>
      <c r="F96" s="178"/>
      <c r="G96" s="340"/>
      <c r="H96" s="340"/>
      <c r="I96" s="179"/>
      <c r="J96" s="344"/>
      <c r="K96" s="345"/>
      <c r="L96" s="346"/>
      <c r="M96" s="347"/>
      <c r="N96" s="347"/>
      <c r="O96" s="132"/>
    </row>
    <row r="97" spans="2:15" ht="26.25" customHeight="1" x14ac:dyDescent="0.25">
      <c r="B97" s="130"/>
      <c r="C97" s="135"/>
      <c r="D97" s="177"/>
      <c r="E97" s="178"/>
      <c r="F97" s="178"/>
      <c r="G97" s="340"/>
      <c r="H97" s="340"/>
      <c r="I97" s="179"/>
      <c r="J97" s="344"/>
      <c r="K97" s="345"/>
      <c r="L97" s="346"/>
      <c r="M97" s="347"/>
      <c r="N97" s="347"/>
      <c r="O97" s="132"/>
    </row>
    <row r="98" spans="2:15" ht="26.25" customHeight="1" x14ac:dyDescent="0.25">
      <c r="B98" s="130"/>
      <c r="C98" s="135"/>
      <c r="D98" s="177"/>
      <c r="E98" s="178"/>
      <c r="F98" s="178"/>
      <c r="G98" s="340"/>
      <c r="H98" s="340"/>
      <c r="I98" s="179"/>
      <c r="J98" s="344"/>
      <c r="K98" s="345"/>
      <c r="L98" s="346"/>
      <c r="M98" s="347"/>
      <c r="N98" s="347"/>
      <c r="O98" s="132"/>
    </row>
    <row r="99" spans="2:15" ht="26.25" customHeight="1" x14ac:dyDescent="0.25">
      <c r="B99" s="130"/>
      <c r="C99" s="135"/>
      <c r="D99" s="177"/>
      <c r="E99" s="178"/>
      <c r="F99" s="178"/>
      <c r="G99" s="340"/>
      <c r="H99" s="340"/>
      <c r="I99" s="179"/>
      <c r="J99" s="344"/>
      <c r="K99" s="345"/>
      <c r="L99" s="346"/>
      <c r="M99" s="347"/>
      <c r="N99" s="347"/>
      <c r="O99" s="132"/>
    </row>
    <row r="100" spans="2:15" ht="26.25" customHeight="1" x14ac:dyDescent="0.25">
      <c r="B100" s="130"/>
      <c r="C100" s="135"/>
      <c r="D100" s="177"/>
      <c r="E100" s="178"/>
      <c r="F100" s="178"/>
      <c r="G100" s="340"/>
      <c r="H100" s="340"/>
      <c r="I100" s="179"/>
      <c r="J100" s="344"/>
      <c r="K100" s="345"/>
      <c r="L100" s="346"/>
      <c r="M100" s="347"/>
      <c r="N100" s="347"/>
      <c r="O100" s="132"/>
    </row>
    <row r="101" spans="2:15" ht="26.25" customHeight="1" x14ac:dyDescent="0.25">
      <c r="B101" s="130"/>
      <c r="C101" s="135"/>
      <c r="D101" s="177"/>
      <c r="E101" s="178"/>
      <c r="F101" s="178"/>
      <c r="G101" s="340"/>
      <c r="H101" s="340"/>
      <c r="I101" s="179"/>
      <c r="J101" s="344"/>
      <c r="K101" s="345"/>
      <c r="L101" s="346"/>
      <c r="M101" s="347"/>
      <c r="N101" s="347"/>
      <c r="O101" s="132"/>
    </row>
    <row r="102" spans="2:15" ht="26.25" customHeight="1" x14ac:dyDescent="0.25">
      <c r="B102" s="130"/>
      <c r="C102" s="135"/>
      <c r="D102" s="177"/>
      <c r="E102" s="178"/>
      <c r="F102" s="178"/>
      <c r="G102" s="340"/>
      <c r="H102" s="340"/>
      <c r="I102" s="179"/>
      <c r="J102" s="344"/>
      <c r="K102" s="345"/>
      <c r="L102" s="346"/>
      <c r="M102" s="347"/>
      <c r="N102" s="347"/>
      <c r="O102" s="132"/>
    </row>
    <row r="103" spans="2:15" ht="26.25" customHeight="1" x14ac:dyDescent="0.25">
      <c r="B103" s="130"/>
      <c r="C103" s="135"/>
      <c r="D103" s="177"/>
      <c r="E103" s="178"/>
      <c r="F103" s="178"/>
      <c r="G103" s="340"/>
      <c r="H103" s="340"/>
      <c r="I103" s="179"/>
      <c r="J103" s="344"/>
      <c r="K103" s="345"/>
      <c r="L103" s="346"/>
      <c r="M103" s="347"/>
      <c r="N103" s="347"/>
      <c r="O103" s="132"/>
    </row>
    <row r="104" spans="2:15" ht="26.25" customHeight="1" x14ac:dyDescent="0.25">
      <c r="B104" s="130"/>
      <c r="C104" s="135"/>
      <c r="D104" s="177"/>
      <c r="E104" s="178"/>
      <c r="F104" s="178"/>
      <c r="G104" s="340"/>
      <c r="H104" s="340"/>
      <c r="I104" s="179"/>
      <c r="J104" s="344"/>
      <c r="K104" s="345"/>
      <c r="L104" s="346"/>
      <c r="M104" s="347"/>
      <c r="N104" s="347"/>
      <c r="O104" s="132"/>
    </row>
    <row r="105" spans="2:15" ht="26.25" customHeight="1" x14ac:dyDescent="0.25">
      <c r="B105" s="130"/>
      <c r="C105" s="135"/>
      <c r="D105" s="177"/>
      <c r="E105" s="178"/>
      <c r="F105" s="178"/>
      <c r="G105" s="340"/>
      <c r="H105" s="340"/>
      <c r="I105" s="179"/>
      <c r="J105" s="344"/>
      <c r="K105" s="345"/>
      <c r="L105" s="346"/>
      <c r="M105" s="347"/>
      <c r="N105" s="347"/>
      <c r="O105" s="132"/>
    </row>
    <row r="106" spans="2:15" ht="26.25" customHeight="1" x14ac:dyDescent="0.25">
      <c r="B106" s="130"/>
      <c r="C106" s="135"/>
      <c r="D106" s="177"/>
      <c r="E106" s="178"/>
      <c r="F106" s="178"/>
      <c r="G106" s="340"/>
      <c r="H106" s="340"/>
      <c r="I106" s="179"/>
      <c r="J106" s="344"/>
      <c r="K106" s="345"/>
      <c r="L106" s="346"/>
      <c r="M106" s="347"/>
      <c r="N106" s="347"/>
      <c r="O106" s="132"/>
    </row>
    <row r="107" spans="2:15" ht="26.25" customHeight="1" x14ac:dyDescent="0.25">
      <c r="B107" s="130"/>
      <c r="C107" s="135"/>
      <c r="D107" s="177"/>
      <c r="E107" s="178"/>
      <c r="F107" s="178"/>
      <c r="G107" s="340"/>
      <c r="H107" s="340"/>
      <c r="I107" s="179"/>
      <c r="J107" s="344"/>
      <c r="K107" s="345"/>
      <c r="L107" s="346"/>
      <c r="M107" s="347"/>
      <c r="N107" s="347"/>
      <c r="O107" s="132"/>
    </row>
    <row r="108" spans="2:15" ht="26.25" customHeight="1" x14ac:dyDescent="0.25">
      <c r="B108" s="130"/>
      <c r="C108" s="135"/>
      <c r="D108" s="177"/>
      <c r="E108" s="178"/>
      <c r="F108" s="178"/>
      <c r="G108" s="340"/>
      <c r="H108" s="340"/>
      <c r="I108" s="179"/>
      <c r="J108" s="344"/>
      <c r="K108" s="345"/>
      <c r="L108" s="346"/>
      <c r="M108" s="347"/>
      <c r="N108" s="347"/>
      <c r="O108" s="132"/>
    </row>
    <row r="109" spans="2:15" ht="26.25" customHeight="1" x14ac:dyDescent="0.25">
      <c r="B109" s="130"/>
      <c r="C109" s="135"/>
      <c r="D109" s="177"/>
      <c r="E109" s="178"/>
      <c r="F109" s="178"/>
      <c r="G109" s="340"/>
      <c r="H109" s="340"/>
      <c r="I109" s="179"/>
      <c r="J109" s="344"/>
      <c r="K109" s="345"/>
      <c r="L109" s="346"/>
      <c r="M109" s="347"/>
      <c r="N109" s="347"/>
      <c r="O109" s="132"/>
    </row>
    <row r="110" spans="2:15" ht="26.25" customHeight="1" x14ac:dyDescent="0.25">
      <c r="B110" s="130"/>
      <c r="C110" s="135"/>
      <c r="D110" s="177"/>
      <c r="E110" s="178"/>
      <c r="F110" s="178"/>
      <c r="G110" s="340"/>
      <c r="H110" s="340"/>
      <c r="I110" s="179"/>
      <c r="J110" s="344"/>
      <c r="K110" s="345"/>
      <c r="L110" s="346"/>
      <c r="M110" s="347"/>
      <c r="N110" s="347"/>
      <c r="O110" s="132"/>
    </row>
    <row r="111" spans="2:15" ht="26.25" customHeight="1" x14ac:dyDescent="0.25">
      <c r="B111" s="130"/>
      <c r="C111" s="135"/>
      <c r="D111" s="177"/>
      <c r="E111" s="178"/>
      <c r="F111" s="178"/>
      <c r="G111" s="340"/>
      <c r="H111" s="340"/>
      <c r="I111" s="179"/>
      <c r="J111" s="344"/>
      <c r="K111" s="345"/>
      <c r="L111" s="346"/>
      <c r="M111" s="347"/>
      <c r="N111" s="347"/>
      <c r="O111" s="132"/>
    </row>
    <row r="112" spans="2:15" ht="26.25" customHeight="1" x14ac:dyDescent="0.25">
      <c r="B112" s="130"/>
      <c r="C112" s="135"/>
      <c r="D112" s="177"/>
      <c r="E112" s="178"/>
      <c r="F112" s="178"/>
      <c r="G112" s="340"/>
      <c r="H112" s="340"/>
      <c r="I112" s="179"/>
      <c r="J112" s="344"/>
      <c r="K112" s="345"/>
      <c r="L112" s="346"/>
      <c r="M112" s="347"/>
      <c r="N112" s="347"/>
      <c r="O112" s="132"/>
    </row>
    <row r="113" spans="2:15" ht="26.25" customHeight="1" x14ac:dyDescent="0.25">
      <c r="B113" s="130"/>
      <c r="C113" s="135"/>
      <c r="D113" s="177"/>
      <c r="E113" s="178"/>
      <c r="F113" s="178"/>
      <c r="G113" s="340"/>
      <c r="H113" s="340"/>
      <c r="I113" s="179"/>
      <c r="J113" s="344"/>
      <c r="K113" s="345"/>
      <c r="L113" s="346"/>
      <c r="M113" s="347"/>
      <c r="N113" s="347"/>
      <c r="O113" s="132"/>
    </row>
    <row r="114" spans="2:15" ht="26.25" customHeight="1" x14ac:dyDescent="0.25">
      <c r="B114" s="130"/>
      <c r="C114" s="135"/>
      <c r="D114" s="177"/>
      <c r="E114" s="178"/>
      <c r="F114" s="178"/>
      <c r="G114" s="340"/>
      <c r="H114" s="340"/>
      <c r="I114" s="179"/>
      <c r="J114" s="344"/>
      <c r="K114" s="345"/>
      <c r="L114" s="346"/>
      <c r="M114" s="347"/>
      <c r="N114" s="347"/>
      <c r="O114" s="132"/>
    </row>
    <row r="115" spans="2:15" ht="26.25" customHeight="1" x14ac:dyDescent="0.25">
      <c r="B115" s="130"/>
      <c r="C115" s="135"/>
      <c r="D115" s="177"/>
      <c r="E115" s="178"/>
      <c r="F115" s="178"/>
      <c r="G115" s="340"/>
      <c r="H115" s="340"/>
      <c r="I115" s="179"/>
      <c r="J115" s="344"/>
      <c r="K115" s="345"/>
      <c r="L115" s="346"/>
      <c r="M115" s="347"/>
      <c r="N115" s="347"/>
      <c r="O115" s="132"/>
    </row>
    <row r="116" spans="2:15" ht="26.25" customHeight="1" x14ac:dyDescent="0.25">
      <c r="B116" s="130"/>
      <c r="C116" s="135"/>
      <c r="D116" s="177"/>
      <c r="E116" s="178"/>
      <c r="F116" s="178"/>
      <c r="G116" s="340"/>
      <c r="H116" s="340"/>
      <c r="I116" s="179"/>
      <c r="J116" s="344"/>
      <c r="K116" s="345"/>
      <c r="L116" s="346"/>
      <c r="M116" s="347"/>
      <c r="N116" s="347"/>
      <c r="O116" s="132"/>
    </row>
    <row r="117" spans="2:15" ht="26.25" customHeight="1" x14ac:dyDescent="0.25">
      <c r="B117" s="130"/>
      <c r="C117" s="135"/>
      <c r="D117" s="177"/>
      <c r="E117" s="178"/>
      <c r="F117" s="178"/>
      <c r="G117" s="340"/>
      <c r="H117" s="340"/>
      <c r="I117" s="179"/>
      <c r="J117" s="344"/>
      <c r="K117" s="345"/>
      <c r="L117" s="346"/>
      <c r="M117" s="347"/>
      <c r="N117" s="347"/>
      <c r="O117" s="132"/>
    </row>
    <row r="118" spans="2:15" ht="26.25" customHeight="1" x14ac:dyDescent="0.25">
      <c r="B118" s="130"/>
      <c r="C118" s="135"/>
      <c r="D118" s="177"/>
      <c r="E118" s="178"/>
      <c r="F118" s="178"/>
      <c r="G118" s="340"/>
      <c r="H118" s="340"/>
      <c r="I118" s="179"/>
      <c r="J118" s="344"/>
      <c r="K118" s="345"/>
      <c r="L118" s="346"/>
      <c r="M118" s="347"/>
      <c r="N118" s="347"/>
      <c r="O118" s="132"/>
    </row>
    <row r="119" spans="2:15" ht="26.25" customHeight="1" x14ac:dyDescent="0.25">
      <c r="B119" s="130"/>
      <c r="C119" s="135"/>
      <c r="D119" s="177"/>
      <c r="E119" s="178"/>
      <c r="F119" s="178"/>
      <c r="G119" s="340"/>
      <c r="H119" s="340"/>
      <c r="I119" s="179"/>
      <c r="J119" s="344"/>
      <c r="K119" s="345"/>
      <c r="L119" s="346"/>
      <c r="M119" s="347"/>
      <c r="N119" s="347"/>
      <c r="O119" s="132"/>
    </row>
    <row r="120" spans="2:15" ht="26.25" customHeight="1" x14ac:dyDescent="0.25">
      <c r="B120" s="130"/>
      <c r="C120" s="135"/>
      <c r="D120" s="177"/>
      <c r="E120" s="178"/>
      <c r="F120" s="178"/>
      <c r="G120" s="340"/>
      <c r="H120" s="340"/>
      <c r="I120" s="179"/>
      <c r="J120" s="344"/>
      <c r="K120" s="345"/>
      <c r="L120" s="346"/>
      <c r="M120" s="347"/>
      <c r="N120" s="347"/>
      <c r="O120" s="132"/>
    </row>
    <row r="121" spans="2:15" ht="26.25" customHeight="1" x14ac:dyDescent="0.25">
      <c r="B121" s="130"/>
      <c r="C121" s="135"/>
      <c r="D121" s="177"/>
      <c r="E121" s="178"/>
      <c r="F121" s="178"/>
      <c r="G121" s="340"/>
      <c r="H121" s="340"/>
      <c r="I121" s="179"/>
      <c r="J121" s="344"/>
      <c r="K121" s="345"/>
      <c r="L121" s="346"/>
      <c r="M121" s="347"/>
      <c r="N121" s="347"/>
      <c r="O121" s="132"/>
    </row>
    <row r="122" spans="2:15" ht="26.25" customHeight="1" x14ac:dyDescent="0.25">
      <c r="B122" s="130"/>
      <c r="C122" s="135"/>
      <c r="D122" s="177"/>
      <c r="E122" s="178"/>
      <c r="F122" s="178"/>
      <c r="G122" s="340"/>
      <c r="H122" s="340"/>
      <c r="I122" s="179"/>
      <c r="J122" s="344"/>
      <c r="K122" s="345"/>
      <c r="L122" s="346"/>
      <c r="M122" s="347"/>
      <c r="N122" s="347"/>
      <c r="O122" s="132"/>
    </row>
    <row r="123" spans="2:15" ht="26.25" customHeight="1" x14ac:dyDescent="0.25">
      <c r="B123" s="130"/>
      <c r="C123" s="135"/>
      <c r="D123" s="177"/>
      <c r="E123" s="178"/>
      <c r="F123" s="178"/>
      <c r="G123" s="340"/>
      <c r="H123" s="340"/>
      <c r="I123" s="179"/>
      <c r="J123" s="344"/>
      <c r="K123" s="345"/>
      <c r="L123" s="346"/>
      <c r="M123" s="347"/>
      <c r="N123" s="347"/>
      <c r="O123" s="132"/>
    </row>
    <row r="124" spans="2:15" ht="26.25" customHeight="1" x14ac:dyDescent="0.25">
      <c r="B124" s="130"/>
      <c r="C124" s="135"/>
      <c r="D124" s="177"/>
      <c r="E124" s="178"/>
      <c r="F124" s="178"/>
      <c r="G124" s="340"/>
      <c r="H124" s="340"/>
      <c r="I124" s="179"/>
      <c r="J124" s="344"/>
      <c r="K124" s="345"/>
      <c r="L124" s="346"/>
      <c r="M124" s="347"/>
      <c r="N124" s="347"/>
      <c r="O124" s="132"/>
    </row>
    <row r="125" spans="2:15" ht="26.25" customHeight="1" x14ac:dyDescent="0.25">
      <c r="B125" s="130"/>
      <c r="C125" s="135"/>
      <c r="D125" s="177"/>
      <c r="E125" s="178"/>
      <c r="F125" s="178"/>
      <c r="G125" s="340"/>
      <c r="H125" s="340"/>
      <c r="I125" s="179"/>
      <c r="J125" s="344"/>
      <c r="K125" s="345"/>
      <c r="L125" s="346"/>
      <c r="M125" s="347"/>
      <c r="N125" s="347"/>
      <c r="O125" s="132"/>
    </row>
    <row r="126" spans="2:15" ht="26.25" customHeight="1" x14ac:dyDescent="0.25">
      <c r="B126" s="130"/>
      <c r="C126" s="135"/>
      <c r="D126" s="177"/>
      <c r="E126" s="178"/>
      <c r="F126" s="178"/>
      <c r="G126" s="340"/>
      <c r="H126" s="340"/>
      <c r="I126" s="179"/>
      <c r="J126" s="344"/>
      <c r="K126" s="345"/>
      <c r="L126" s="346"/>
      <c r="M126" s="347"/>
      <c r="N126" s="347"/>
      <c r="O126" s="132"/>
    </row>
    <row r="127" spans="2:15" ht="26.25" customHeight="1" x14ac:dyDescent="0.25">
      <c r="B127" s="130"/>
      <c r="C127" s="135"/>
      <c r="D127" s="177"/>
      <c r="E127" s="178"/>
      <c r="F127" s="178"/>
      <c r="G127" s="340"/>
      <c r="H127" s="340"/>
      <c r="I127" s="179"/>
      <c r="J127" s="344"/>
      <c r="K127" s="345"/>
      <c r="L127" s="346"/>
      <c r="M127" s="347"/>
      <c r="N127" s="347"/>
      <c r="O127" s="132"/>
    </row>
    <row r="128" spans="2:15" ht="26.25" customHeight="1" x14ac:dyDescent="0.25">
      <c r="B128" s="130"/>
      <c r="C128" s="135"/>
      <c r="D128" s="177"/>
      <c r="E128" s="178"/>
      <c r="F128" s="178"/>
      <c r="G128" s="340"/>
      <c r="H128" s="340"/>
      <c r="I128" s="179"/>
      <c r="J128" s="344"/>
      <c r="K128" s="345"/>
      <c r="L128" s="346"/>
      <c r="M128" s="347"/>
      <c r="N128" s="347"/>
      <c r="O128" s="132"/>
    </row>
    <row r="129" spans="2:15" ht="26.25" customHeight="1" x14ac:dyDescent="0.25">
      <c r="B129" s="130"/>
      <c r="C129" s="135"/>
      <c r="D129" s="177"/>
      <c r="E129" s="178"/>
      <c r="F129" s="178"/>
      <c r="G129" s="340"/>
      <c r="H129" s="340"/>
      <c r="I129" s="179"/>
      <c r="J129" s="344"/>
      <c r="K129" s="345"/>
      <c r="L129" s="346"/>
      <c r="M129" s="347"/>
      <c r="N129" s="347"/>
      <c r="O129" s="132"/>
    </row>
    <row r="130" spans="2:15" ht="26.25" customHeight="1" x14ac:dyDescent="0.25">
      <c r="B130" s="130"/>
      <c r="C130" s="135"/>
      <c r="D130" s="177"/>
      <c r="E130" s="178"/>
      <c r="F130" s="178"/>
      <c r="G130" s="340"/>
      <c r="H130" s="340"/>
      <c r="I130" s="179"/>
      <c r="J130" s="344"/>
      <c r="K130" s="345"/>
      <c r="L130" s="346"/>
      <c r="M130" s="347"/>
      <c r="N130" s="347"/>
      <c r="O130" s="132"/>
    </row>
    <row r="131" spans="2:15" ht="26.25" customHeight="1" x14ac:dyDescent="0.25">
      <c r="B131" s="130"/>
      <c r="C131" s="135"/>
      <c r="D131" s="177"/>
      <c r="E131" s="178"/>
      <c r="F131" s="178"/>
      <c r="G131" s="340"/>
      <c r="H131" s="340"/>
      <c r="I131" s="179"/>
      <c r="J131" s="344"/>
      <c r="K131" s="345"/>
      <c r="L131" s="346"/>
      <c r="M131" s="347"/>
      <c r="N131" s="347"/>
      <c r="O131" s="132"/>
    </row>
    <row r="132" spans="2:15" ht="26.25" customHeight="1" x14ac:dyDescent="0.25">
      <c r="B132" s="130"/>
      <c r="C132" s="135"/>
      <c r="D132" s="177"/>
      <c r="E132" s="178"/>
      <c r="F132" s="178"/>
      <c r="G132" s="340"/>
      <c r="H132" s="340"/>
      <c r="I132" s="179"/>
      <c r="J132" s="344"/>
      <c r="K132" s="345"/>
      <c r="L132" s="346"/>
      <c r="M132" s="347"/>
      <c r="N132" s="347"/>
      <c r="O132" s="132"/>
    </row>
    <row r="133" spans="2:15" ht="26.25" customHeight="1" x14ac:dyDescent="0.25">
      <c r="B133" s="130"/>
      <c r="C133" s="135"/>
      <c r="D133" s="177"/>
      <c r="E133" s="178"/>
      <c r="F133" s="178"/>
      <c r="G133" s="340"/>
      <c r="H133" s="340"/>
      <c r="I133" s="179"/>
      <c r="J133" s="344"/>
      <c r="K133" s="345"/>
      <c r="L133" s="346"/>
      <c r="M133" s="347"/>
      <c r="N133" s="347"/>
      <c r="O133" s="132"/>
    </row>
    <row r="134" spans="2:15" ht="26.25" customHeight="1" x14ac:dyDescent="0.25">
      <c r="B134" s="130"/>
      <c r="C134" s="135"/>
      <c r="D134" s="177"/>
      <c r="E134" s="178"/>
      <c r="F134" s="178"/>
      <c r="G134" s="340"/>
      <c r="H134" s="340"/>
      <c r="I134" s="179"/>
      <c r="J134" s="344"/>
      <c r="K134" s="345"/>
      <c r="L134" s="346"/>
      <c r="M134" s="347"/>
      <c r="N134" s="347"/>
      <c r="O134" s="132"/>
    </row>
    <row r="135" spans="2:15" ht="26.25" customHeight="1" x14ac:dyDescent="0.25">
      <c r="B135" s="130"/>
      <c r="C135" s="135"/>
      <c r="D135" s="177"/>
      <c r="E135" s="178"/>
      <c r="F135" s="178"/>
      <c r="G135" s="340"/>
      <c r="H135" s="340"/>
      <c r="I135" s="179"/>
      <c r="J135" s="344"/>
      <c r="K135" s="345"/>
      <c r="L135" s="346"/>
      <c r="M135" s="347"/>
      <c r="N135" s="347"/>
      <c r="O135" s="132"/>
    </row>
    <row r="136" spans="2:15" ht="26.25" customHeight="1" x14ac:dyDescent="0.25">
      <c r="B136" s="130"/>
      <c r="C136" s="135"/>
      <c r="D136" s="177"/>
      <c r="E136" s="178"/>
      <c r="F136" s="178"/>
      <c r="G136" s="340"/>
      <c r="H136" s="340"/>
      <c r="I136" s="179"/>
      <c r="J136" s="344"/>
      <c r="K136" s="345"/>
      <c r="L136" s="346"/>
      <c r="M136" s="347"/>
      <c r="N136" s="347"/>
      <c r="O136" s="132"/>
    </row>
    <row r="137" spans="2:15" ht="26.25" customHeight="1" x14ac:dyDescent="0.25">
      <c r="B137" s="130"/>
      <c r="C137" s="135"/>
      <c r="D137" s="177"/>
      <c r="E137" s="178"/>
      <c r="F137" s="178"/>
      <c r="G137" s="340"/>
      <c r="H137" s="340"/>
      <c r="I137" s="179"/>
      <c r="J137" s="344"/>
      <c r="K137" s="345"/>
      <c r="L137" s="346"/>
      <c r="M137" s="347"/>
      <c r="N137" s="347"/>
      <c r="O137" s="132"/>
    </row>
    <row r="138" spans="2:15" ht="26.25" customHeight="1" x14ac:dyDescent="0.25">
      <c r="B138" s="130"/>
      <c r="C138" s="135"/>
      <c r="D138" s="177"/>
      <c r="E138" s="178"/>
      <c r="F138" s="178"/>
      <c r="G138" s="340"/>
      <c r="H138" s="340"/>
      <c r="I138" s="179"/>
      <c r="J138" s="344"/>
      <c r="K138" s="345"/>
      <c r="L138" s="346"/>
      <c r="M138" s="347"/>
      <c r="N138" s="347"/>
      <c r="O138" s="132"/>
    </row>
    <row r="139" spans="2:15" ht="26.25" customHeight="1" x14ac:dyDescent="0.25">
      <c r="B139" s="130"/>
      <c r="C139" s="135"/>
      <c r="D139" s="177"/>
      <c r="E139" s="178"/>
      <c r="F139" s="178"/>
      <c r="G139" s="340"/>
      <c r="H139" s="340"/>
      <c r="I139" s="179"/>
      <c r="J139" s="344"/>
      <c r="K139" s="345"/>
      <c r="L139" s="346"/>
      <c r="M139" s="347"/>
      <c r="N139" s="347"/>
      <c r="O139" s="132"/>
    </row>
    <row r="140" spans="2:15" ht="26.25" customHeight="1" x14ac:dyDescent="0.25">
      <c r="B140" s="130"/>
      <c r="C140" s="135"/>
      <c r="D140" s="177"/>
      <c r="E140" s="178"/>
      <c r="F140" s="178"/>
      <c r="G140" s="340"/>
      <c r="H140" s="340"/>
      <c r="I140" s="179"/>
      <c r="J140" s="344"/>
      <c r="K140" s="345"/>
      <c r="L140" s="346"/>
      <c r="M140" s="347"/>
      <c r="N140" s="347"/>
      <c r="O140" s="132"/>
    </row>
    <row r="141" spans="2:15" ht="26.25" customHeight="1" x14ac:dyDescent="0.25">
      <c r="B141" s="130"/>
      <c r="C141" s="135"/>
      <c r="D141" s="177"/>
      <c r="E141" s="178"/>
      <c r="F141" s="178"/>
      <c r="G141" s="340"/>
      <c r="H141" s="340"/>
      <c r="I141" s="179"/>
      <c r="J141" s="344"/>
      <c r="K141" s="345"/>
      <c r="L141" s="346"/>
      <c r="M141" s="347"/>
      <c r="N141" s="347"/>
      <c r="O141" s="132"/>
    </row>
    <row r="142" spans="2:15" ht="26.25" customHeight="1" x14ac:dyDescent="0.25">
      <c r="B142" s="130"/>
      <c r="C142" s="135"/>
      <c r="D142" s="177"/>
      <c r="E142" s="178"/>
      <c r="F142" s="178"/>
      <c r="G142" s="340"/>
      <c r="H142" s="340"/>
      <c r="I142" s="179"/>
      <c r="J142" s="344"/>
      <c r="K142" s="345"/>
      <c r="L142" s="346"/>
      <c r="M142" s="347"/>
      <c r="N142" s="347"/>
      <c r="O142" s="132"/>
    </row>
    <row r="143" spans="2:15" ht="26.25" customHeight="1" x14ac:dyDescent="0.25">
      <c r="B143" s="130"/>
      <c r="C143" s="135"/>
      <c r="D143" s="177"/>
      <c r="E143" s="178"/>
      <c r="F143" s="178"/>
      <c r="G143" s="340"/>
      <c r="H143" s="340"/>
      <c r="I143" s="179"/>
      <c r="J143" s="344"/>
      <c r="K143" s="345"/>
      <c r="L143" s="346"/>
      <c r="M143" s="347"/>
      <c r="N143" s="347"/>
      <c r="O143" s="132"/>
    </row>
    <row r="144" spans="2:15" ht="26.25" customHeight="1" x14ac:dyDescent="0.25">
      <c r="B144" s="130"/>
      <c r="C144" s="135"/>
      <c r="D144" s="177"/>
      <c r="E144" s="178"/>
      <c r="F144" s="178"/>
      <c r="G144" s="340"/>
      <c r="H144" s="340"/>
      <c r="I144" s="179"/>
      <c r="J144" s="344"/>
      <c r="K144" s="345"/>
      <c r="L144" s="346"/>
      <c r="M144" s="347"/>
      <c r="N144" s="347"/>
      <c r="O144" s="132"/>
    </row>
    <row r="145" spans="2:15" ht="26.25" customHeight="1" x14ac:dyDescent="0.25">
      <c r="B145" s="130"/>
      <c r="C145" s="135"/>
      <c r="D145" s="177"/>
      <c r="E145" s="178"/>
      <c r="F145" s="178"/>
      <c r="G145" s="340"/>
      <c r="H145" s="340"/>
      <c r="I145" s="179"/>
      <c r="J145" s="344"/>
      <c r="K145" s="345"/>
      <c r="L145" s="346"/>
      <c r="M145" s="347"/>
      <c r="N145" s="347"/>
      <c r="O145" s="132"/>
    </row>
    <row r="146" spans="2:15" ht="26.25" customHeight="1" x14ac:dyDescent="0.25">
      <c r="B146" s="130"/>
      <c r="C146" s="135"/>
      <c r="D146" s="177"/>
      <c r="E146" s="178"/>
      <c r="F146" s="178"/>
      <c r="G146" s="340"/>
      <c r="H146" s="340"/>
      <c r="I146" s="179"/>
      <c r="J146" s="344"/>
      <c r="K146" s="345"/>
      <c r="L146" s="346"/>
      <c r="M146" s="347"/>
      <c r="N146" s="347"/>
      <c r="O146" s="132"/>
    </row>
    <row r="147" spans="2:15" ht="26.25" customHeight="1" x14ac:dyDescent="0.25">
      <c r="B147" s="130"/>
      <c r="C147" s="135"/>
      <c r="D147" s="177"/>
      <c r="E147" s="178"/>
      <c r="F147" s="178"/>
      <c r="G147" s="340"/>
      <c r="H147" s="340"/>
      <c r="I147" s="179"/>
      <c r="J147" s="344"/>
      <c r="K147" s="345"/>
      <c r="L147" s="346"/>
      <c r="M147" s="347"/>
      <c r="N147" s="347"/>
      <c r="O147" s="132"/>
    </row>
    <row r="148" spans="2:15" ht="26.25" customHeight="1" x14ac:dyDescent="0.25">
      <c r="B148" s="130"/>
      <c r="C148" s="135"/>
      <c r="D148" s="177"/>
      <c r="E148" s="178"/>
      <c r="F148" s="178"/>
      <c r="G148" s="340"/>
      <c r="H148" s="340"/>
      <c r="I148" s="179"/>
      <c r="J148" s="344"/>
      <c r="K148" s="345"/>
      <c r="L148" s="346"/>
      <c r="M148" s="347"/>
      <c r="N148" s="347"/>
      <c r="O148" s="132"/>
    </row>
    <row r="149" spans="2:15" ht="26.25" customHeight="1" x14ac:dyDescent="0.25">
      <c r="B149" s="130"/>
      <c r="C149" s="135"/>
      <c r="D149" s="177"/>
      <c r="E149" s="178"/>
      <c r="F149" s="178"/>
      <c r="G149" s="340"/>
      <c r="H149" s="340"/>
      <c r="I149" s="179"/>
      <c r="J149" s="344"/>
      <c r="K149" s="345"/>
      <c r="L149" s="346"/>
      <c r="M149" s="347"/>
      <c r="N149" s="347"/>
      <c r="O149" s="132"/>
    </row>
    <row r="150" spans="2:15" ht="26.25" customHeight="1" x14ac:dyDescent="0.25">
      <c r="B150" s="130"/>
      <c r="C150" s="135"/>
      <c r="D150" s="177"/>
      <c r="E150" s="178"/>
      <c r="F150" s="178"/>
      <c r="G150" s="340"/>
      <c r="H150" s="340"/>
      <c r="I150" s="179"/>
      <c r="J150" s="344"/>
      <c r="K150" s="345"/>
      <c r="L150" s="346"/>
      <c r="M150" s="347"/>
      <c r="N150" s="347"/>
      <c r="O150" s="132"/>
    </row>
    <row r="151" spans="2:15" ht="26.25" customHeight="1" x14ac:dyDescent="0.25">
      <c r="B151" s="130"/>
      <c r="C151" s="135"/>
      <c r="D151" s="177"/>
      <c r="E151" s="178"/>
      <c r="F151" s="178"/>
      <c r="G151" s="340"/>
      <c r="H151" s="340"/>
      <c r="I151" s="179"/>
      <c r="J151" s="344"/>
      <c r="K151" s="345"/>
      <c r="L151" s="346"/>
      <c r="M151" s="347"/>
      <c r="N151" s="347"/>
      <c r="O151" s="132"/>
    </row>
    <row r="152" spans="2:15" ht="26.25" customHeight="1" x14ac:dyDescent="0.25">
      <c r="B152" s="130"/>
      <c r="C152" s="135"/>
      <c r="D152" s="177"/>
      <c r="E152" s="178"/>
      <c r="F152" s="178"/>
      <c r="G152" s="340"/>
      <c r="H152" s="340"/>
      <c r="I152" s="179"/>
      <c r="J152" s="344"/>
      <c r="K152" s="345"/>
      <c r="L152" s="346"/>
      <c r="M152" s="347"/>
      <c r="N152" s="347"/>
      <c r="O152" s="132"/>
    </row>
    <row r="153" spans="2:15" ht="26.25" customHeight="1" x14ac:dyDescent="0.25">
      <c r="B153" s="130"/>
      <c r="C153" s="135"/>
      <c r="D153" s="177"/>
      <c r="E153" s="178"/>
      <c r="F153" s="178"/>
      <c r="G153" s="340"/>
      <c r="H153" s="340"/>
      <c r="I153" s="179"/>
      <c r="J153" s="344"/>
      <c r="K153" s="345"/>
      <c r="L153" s="346"/>
      <c r="M153" s="347"/>
      <c r="N153" s="347"/>
      <c r="O153" s="132"/>
    </row>
    <row r="154" spans="2:15" ht="26.25" customHeight="1" x14ac:dyDescent="0.25">
      <c r="B154" s="130"/>
      <c r="C154" s="135"/>
      <c r="D154" s="177"/>
      <c r="E154" s="178"/>
      <c r="F154" s="178"/>
      <c r="G154" s="340"/>
      <c r="H154" s="340"/>
      <c r="I154" s="179"/>
      <c r="J154" s="344"/>
      <c r="K154" s="345"/>
      <c r="L154" s="346"/>
      <c r="M154" s="347"/>
      <c r="N154" s="347"/>
      <c r="O154" s="132"/>
    </row>
    <row r="155" spans="2:15" ht="26.25" customHeight="1" x14ac:dyDescent="0.25">
      <c r="B155" s="130"/>
      <c r="C155" s="135"/>
      <c r="D155" s="177"/>
      <c r="E155" s="178"/>
      <c r="F155" s="178"/>
      <c r="G155" s="340"/>
      <c r="H155" s="340"/>
      <c r="I155" s="179"/>
      <c r="J155" s="344"/>
      <c r="K155" s="345"/>
      <c r="L155" s="346"/>
      <c r="M155" s="347"/>
      <c r="N155" s="347"/>
      <c r="O155" s="132"/>
    </row>
    <row r="156" spans="2:15" ht="26.25" customHeight="1" x14ac:dyDescent="0.25">
      <c r="B156" s="130"/>
      <c r="C156" s="135"/>
      <c r="D156" s="177"/>
      <c r="E156" s="178"/>
      <c r="F156" s="178"/>
      <c r="G156" s="340"/>
      <c r="H156" s="340"/>
      <c r="I156" s="179"/>
      <c r="J156" s="344"/>
      <c r="K156" s="345"/>
      <c r="L156" s="346"/>
      <c r="M156" s="347"/>
      <c r="N156" s="347"/>
      <c r="O156" s="132"/>
    </row>
    <row r="157" spans="2:15" ht="26.25" customHeight="1" x14ac:dyDescent="0.25">
      <c r="B157" s="130"/>
      <c r="C157" s="135"/>
      <c r="D157" s="177"/>
      <c r="E157" s="178"/>
      <c r="F157" s="178"/>
      <c r="G157" s="340"/>
      <c r="H157" s="340"/>
      <c r="I157" s="179"/>
      <c r="J157" s="344"/>
      <c r="K157" s="345"/>
      <c r="L157" s="346"/>
      <c r="M157" s="347"/>
      <c r="N157" s="347"/>
      <c r="O157" s="132"/>
    </row>
    <row r="158" spans="2:15" ht="26.25" customHeight="1" x14ac:dyDescent="0.25">
      <c r="B158" s="130"/>
      <c r="C158" s="135"/>
      <c r="D158" s="177"/>
      <c r="E158" s="178"/>
      <c r="F158" s="178"/>
      <c r="G158" s="340"/>
      <c r="H158" s="340"/>
      <c r="I158" s="179"/>
      <c r="J158" s="344"/>
      <c r="K158" s="345"/>
      <c r="L158" s="346"/>
      <c r="M158" s="347"/>
      <c r="N158" s="347"/>
      <c r="O158" s="132"/>
    </row>
    <row r="159" spans="2:15" ht="26.25" customHeight="1" x14ac:dyDescent="0.25">
      <c r="B159" s="130"/>
      <c r="C159" s="135"/>
      <c r="D159" s="177"/>
      <c r="E159" s="178"/>
      <c r="F159" s="178"/>
      <c r="G159" s="340"/>
      <c r="H159" s="340"/>
      <c r="I159" s="179"/>
      <c r="J159" s="344"/>
      <c r="K159" s="345"/>
      <c r="L159" s="346"/>
      <c r="M159" s="347"/>
      <c r="N159" s="347"/>
      <c r="O159" s="132"/>
    </row>
    <row r="160" spans="2:15" ht="26.25" customHeight="1" x14ac:dyDescent="0.25">
      <c r="B160" s="130"/>
      <c r="C160" s="135"/>
      <c r="D160" s="177"/>
      <c r="E160" s="178"/>
      <c r="F160" s="178"/>
      <c r="G160" s="340"/>
      <c r="H160" s="340"/>
      <c r="I160" s="179"/>
      <c r="J160" s="344"/>
      <c r="K160" s="345"/>
      <c r="L160" s="346"/>
      <c r="M160" s="347"/>
      <c r="N160" s="347"/>
      <c r="O160" s="132"/>
    </row>
    <row r="161" spans="2:15" ht="26.25" customHeight="1" x14ac:dyDescent="0.25">
      <c r="B161" s="130"/>
      <c r="C161" s="135"/>
      <c r="D161" s="177"/>
      <c r="E161" s="178"/>
      <c r="F161" s="178"/>
      <c r="G161" s="340"/>
      <c r="H161" s="340"/>
      <c r="I161" s="179"/>
      <c r="J161" s="344"/>
      <c r="K161" s="345"/>
      <c r="L161" s="346"/>
      <c r="M161" s="347"/>
      <c r="N161" s="347"/>
      <c r="O161" s="132"/>
    </row>
    <row r="162" spans="2:15" ht="26.25" customHeight="1" x14ac:dyDescent="0.25">
      <c r="B162" s="130"/>
      <c r="C162" s="135"/>
      <c r="D162" s="177"/>
      <c r="E162" s="178"/>
      <c r="F162" s="178"/>
      <c r="G162" s="340"/>
      <c r="H162" s="340"/>
      <c r="I162" s="179"/>
      <c r="J162" s="344"/>
      <c r="K162" s="345"/>
      <c r="L162" s="346"/>
      <c r="M162" s="347"/>
      <c r="N162" s="347"/>
      <c r="O162" s="132"/>
    </row>
    <row r="163" spans="2:15" ht="26.25" customHeight="1" x14ac:dyDescent="0.25">
      <c r="B163" s="130"/>
      <c r="C163" s="135"/>
      <c r="D163" s="177"/>
      <c r="E163" s="178"/>
      <c r="F163" s="178"/>
      <c r="G163" s="340"/>
      <c r="H163" s="340"/>
      <c r="I163" s="179"/>
      <c r="J163" s="344"/>
      <c r="K163" s="345"/>
      <c r="L163" s="346"/>
      <c r="M163" s="347"/>
      <c r="N163" s="347"/>
      <c r="O163" s="132"/>
    </row>
    <row r="164" spans="2:15" ht="26.25" customHeight="1" x14ac:dyDescent="0.25">
      <c r="B164" s="130"/>
      <c r="C164" s="135"/>
      <c r="D164" s="177"/>
      <c r="E164" s="178"/>
      <c r="F164" s="178"/>
      <c r="G164" s="340"/>
      <c r="H164" s="340"/>
      <c r="I164" s="179"/>
      <c r="J164" s="344"/>
      <c r="K164" s="345"/>
      <c r="L164" s="346"/>
      <c r="M164" s="347"/>
      <c r="N164" s="347"/>
      <c r="O164" s="132"/>
    </row>
    <row r="165" spans="2:15" ht="26.25" customHeight="1" x14ac:dyDescent="0.25">
      <c r="B165" s="130"/>
      <c r="C165" s="135"/>
      <c r="D165" s="177"/>
      <c r="E165" s="178"/>
      <c r="F165" s="178"/>
      <c r="G165" s="340"/>
      <c r="H165" s="340"/>
      <c r="I165" s="179"/>
      <c r="J165" s="344"/>
      <c r="K165" s="345"/>
      <c r="L165" s="346"/>
      <c r="M165" s="347"/>
      <c r="N165" s="347"/>
      <c r="O165" s="132"/>
    </row>
    <row r="166" spans="2:15" ht="26.25" customHeight="1" x14ac:dyDescent="0.25">
      <c r="B166" s="130"/>
      <c r="C166" s="135"/>
      <c r="D166" s="177"/>
      <c r="E166" s="178"/>
      <c r="F166" s="178"/>
      <c r="G166" s="340"/>
      <c r="H166" s="340"/>
      <c r="I166" s="179"/>
      <c r="J166" s="344"/>
      <c r="K166" s="345"/>
      <c r="L166" s="346"/>
      <c r="M166" s="347"/>
      <c r="N166" s="347"/>
      <c r="O166" s="132"/>
    </row>
    <row r="167" spans="2:15" ht="26.25" customHeight="1" x14ac:dyDescent="0.25">
      <c r="B167" s="130"/>
      <c r="C167" s="135"/>
      <c r="D167" s="177"/>
      <c r="E167" s="178"/>
      <c r="F167" s="178"/>
      <c r="G167" s="340"/>
      <c r="H167" s="340"/>
      <c r="I167" s="179"/>
      <c r="J167" s="344"/>
      <c r="K167" s="345"/>
      <c r="L167" s="346"/>
      <c r="M167" s="347"/>
      <c r="N167" s="347"/>
      <c r="O167" s="132"/>
    </row>
    <row r="168" spans="2:15" ht="26.25" customHeight="1" x14ac:dyDescent="0.25">
      <c r="B168" s="130"/>
      <c r="C168" s="135"/>
      <c r="D168" s="177"/>
      <c r="E168" s="178"/>
      <c r="F168" s="178"/>
      <c r="G168" s="340"/>
      <c r="H168" s="340"/>
      <c r="I168" s="179"/>
      <c r="J168" s="344"/>
      <c r="K168" s="345"/>
      <c r="L168" s="346"/>
      <c r="M168" s="347"/>
      <c r="N168" s="347"/>
      <c r="O168" s="132"/>
    </row>
    <row r="169" spans="2:15" ht="26.25" customHeight="1" x14ac:dyDescent="0.25">
      <c r="B169" s="130"/>
      <c r="C169" s="135"/>
      <c r="D169" s="177"/>
      <c r="E169" s="178"/>
      <c r="F169" s="178"/>
      <c r="G169" s="340"/>
      <c r="H169" s="340"/>
      <c r="I169" s="179"/>
      <c r="J169" s="344"/>
      <c r="K169" s="345"/>
      <c r="L169" s="346"/>
      <c r="M169" s="347"/>
      <c r="N169" s="347"/>
      <c r="O169" s="132"/>
    </row>
    <row r="170" spans="2:15" ht="26.25" customHeight="1" x14ac:dyDescent="0.25">
      <c r="B170" s="130"/>
      <c r="C170" s="135"/>
      <c r="D170" s="177"/>
      <c r="E170" s="178"/>
      <c r="F170" s="178"/>
      <c r="G170" s="340"/>
      <c r="H170" s="340"/>
      <c r="I170" s="179"/>
      <c r="J170" s="344"/>
      <c r="K170" s="345"/>
      <c r="L170" s="346"/>
      <c r="M170" s="347"/>
      <c r="N170" s="347"/>
      <c r="O170" s="132"/>
    </row>
    <row r="171" spans="2:15" ht="26.25" customHeight="1" x14ac:dyDescent="0.25">
      <c r="B171" s="130"/>
      <c r="C171" s="135"/>
      <c r="D171" s="177"/>
      <c r="E171" s="178"/>
      <c r="F171" s="178"/>
      <c r="G171" s="340"/>
      <c r="H171" s="340"/>
      <c r="I171" s="179"/>
      <c r="J171" s="344"/>
      <c r="K171" s="345"/>
      <c r="L171" s="346"/>
      <c r="M171" s="347"/>
      <c r="N171" s="347"/>
      <c r="O171" s="132"/>
    </row>
    <row r="172" spans="2:15" ht="26.25" customHeight="1" x14ac:dyDescent="0.25">
      <c r="B172" s="130"/>
      <c r="C172" s="135"/>
      <c r="D172" s="177"/>
      <c r="E172" s="178"/>
      <c r="F172" s="178"/>
      <c r="G172" s="340"/>
      <c r="H172" s="340"/>
      <c r="I172" s="179"/>
      <c r="J172" s="344"/>
      <c r="K172" s="345"/>
      <c r="L172" s="346"/>
      <c r="M172" s="347"/>
      <c r="N172" s="347"/>
      <c r="O172" s="132"/>
    </row>
    <row r="173" spans="2:15" ht="26.25" customHeight="1" x14ac:dyDescent="0.25">
      <c r="B173" s="130"/>
      <c r="C173" s="135"/>
      <c r="D173" s="177"/>
      <c r="E173" s="178"/>
      <c r="F173" s="178"/>
      <c r="G173" s="340"/>
      <c r="H173" s="340"/>
      <c r="I173" s="179"/>
      <c r="J173" s="344"/>
      <c r="K173" s="345"/>
      <c r="L173" s="346"/>
      <c r="M173" s="347"/>
      <c r="N173" s="347"/>
      <c r="O173" s="132"/>
    </row>
    <row r="174" spans="2:15" ht="26.25" customHeight="1" x14ac:dyDescent="0.25">
      <c r="B174" s="130"/>
      <c r="C174" s="135"/>
      <c r="D174" s="177"/>
      <c r="E174" s="178"/>
      <c r="F174" s="178"/>
      <c r="G174" s="340"/>
      <c r="H174" s="340"/>
      <c r="I174" s="179"/>
      <c r="J174" s="344"/>
      <c r="K174" s="345"/>
      <c r="L174" s="346"/>
      <c r="M174" s="347"/>
      <c r="N174" s="347"/>
      <c r="O174" s="132"/>
    </row>
    <row r="175" spans="2:15" ht="26.25" customHeight="1" x14ac:dyDescent="0.25">
      <c r="B175" s="130"/>
      <c r="C175" s="135"/>
      <c r="D175" s="177"/>
      <c r="E175" s="178"/>
      <c r="F175" s="178"/>
      <c r="G175" s="340"/>
      <c r="H175" s="340"/>
      <c r="I175" s="179"/>
      <c r="J175" s="344"/>
      <c r="K175" s="345"/>
      <c r="L175" s="346"/>
      <c r="M175" s="347"/>
      <c r="N175" s="347"/>
      <c r="O175" s="132"/>
    </row>
    <row r="176" spans="2:15" ht="26.25" customHeight="1" x14ac:dyDescent="0.25">
      <c r="B176" s="130"/>
      <c r="C176" s="135"/>
      <c r="D176" s="177"/>
      <c r="E176" s="178"/>
      <c r="F176" s="178"/>
      <c r="G176" s="340"/>
      <c r="H176" s="340"/>
      <c r="I176" s="179"/>
      <c r="J176" s="344"/>
      <c r="K176" s="345"/>
      <c r="L176" s="346"/>
      <c r="M176" s="347"/>
      <c r="N176" s="347"/>
      <c r="O176" s="132"/>
    </row>
    <row r="177" spans="2:15" ht="26.25" customHeight="1" x14ac:dyDescent="0.25">
      <c r="B177" s="130"/>
      <c r="C177" s="135"/>
      <c r="D177" s="177"/>
      <c r="E177" s="178"/>
      <c r="F177" s="178"/>
      <c r="G177" s="340"/>
      <c r="H177" s="340"/>
      <c r="I177" s="179"/>
      <c r="J177" s="344"/>
      <c r="K177" s="345"/>
      <c r="L177" s="346"/>
      <c r="M177" s="347"/>
      <c r="N177" s="347"/>
      <c r="O177" s="132"/>
    </row>
    <row r="178" spans="2:15" ht="26.25" customHeight="1" x14ac:dyDescent="0.25">
      <c r="B178" s="130"/>
      <c r="C178" s="135"/>
      <c r="D178" s="177"/>
      <c r="E178" s="178"/>
      <c r="F178" s="178"/>
      <c r="G178" s="340"/>
      <c r="H178" s="340"/>
      <c r="I178" s="179"/>
      <c r="J178" s="344"/>
      <c r="K178" s="345"/>
      <c r="L178" s="346"/>
      <c r="M178" s="347"/>
      <c r="N178" s="347"/>
      <c r="O178" s="132"/>
    </row>
    <row r="179" spans="2:15" ht="26.25" customHeight="1" x14ac:dyDescent="0.25">
      <c r="B179" s="130"/>
      <c r="C179" s="135"/>
      <c r="D179" s="177"/>
      <c r="E179" s="178"/>
      <c r="F179" s="178"/>
      <c r="G179" s="340"/>
      <c r="H179" s="340"/>
      <c r="I179" s="179"/>
      <c r="J179" s="344"/>
      <c r="K179" s="345"/>
      <c r="L179" s="346"/>
      <c r="M179" s="347"/>
      <c r="N179" s="347"/>
      <c r="O179" s="132"/>
    </row>
    <row r="180" spans="2:15" ht="26.25" customHeight="1" x14ac:dyDescent="0.25">
      <c r="B180" s="130"/>
      <c r="C180" s="135"/>
      <c r="D180" s="177"/>
      <c r="E180" s="178"/>
      <c r="F180" s="178"/>
      <c r="G180" s="340"/>
      <c r="H180" s="340"/>
      <c r="I180" s="179"/>
      <c r="J180" s="344"/>
      <c r="K180" s="345"/>
      <c r="L180" s="346"/>
      <c r="M180" s="347"/>
      <c r="N180" s="347"/>
      <c r="O180" s="132"/>
    </row>
    <row r="181" spans="2:15" ht="26.25" customHeight="1" x14ac:dyDescent="0.25">
      <c r="B181" s="130"/>
      <c r="C181" s="135"/>
      <c r="D181" s="177"/>
      <c r="E181" s="178"/>
      <c r="F181" s="178"/>
      <c r="G181" s="340"/>
      <c r="H181" s="340"/>
      <c r="I181" s="179"/>
      <c r="J181" s="344"/>
      <c r="K181" s="345"/>
      <c r="L181" s="346"/>
      <c r="M181" s="347"/>
      <c r="N181" s="347"/>
      <c r="O181" s="132"/>
    </row>
    <row r="182" spans="2:15" ht="26.25" customHeight="1" x14ac:dyDescent="0.25">
      <c r="B182" s="130"/>
      <c r="C182" s="135"/>
      <c r="D182" s="177"/>
      <c r="E182" s="178"/>
      <c r="F182" s="178"/>
      <c r="G182" s="340"/>
      <c r="H182" s="340"/>
      <c r="I182" s="179"/>
      <c r="J182" s="344"/>
      <c r="K182" s="345"/>
      <c r="L182" s="346"/>
      <c r="M182" s="347"/>
      <c r="N182" s="347"/>
      <c r="O182" s="132"/>
    </row>
    <row r="183" spans="2:15" ht="26.25" customHeight="1" x14ac:dyDescent="0.25">
      <c r="B183" s="130"/>
      <c r="C183" s="135"/>
      <c r="D183" s="177"/>
      <c r="E183" s="178"/>
      <c r="F183" s="178"/>
      <c r="G183" s="340"/>
      <c r="H183" s="340"/>
      <c r="I183" s="179"/>
      <c r="J183" s="344"/>
      <c r="K183" s="345"/>
      <c r="L183" s="346"/>
      <c r="M183" s="347"/>
      <c r="N183" s="347"/>
      <c r="O183" s="132"/>
    </row>
    <row r="184" spans="2:15" ht="26.25" customHeight="1" x14ac:dyDescent="0.25">
      <c r="B184" s="130"/>
      <c r="C184" s="135"/>
      <c r="D184" s="177"/>
      <c r="E184" s="178"/>
      <c r="F184" s="178"/>
      <c r="G184" s="340"/>
      <c r="H184" s="340"/>
      <c r="I184" s="179"/>
      <c r="J184" s="344"/>
      <c r="K184" s="345"/>
      <c r="L184" s="346"/>
      <c r="M184" s="347"/>
      <c r="N184" s="347"/>
      <c r="O184" s="132"/>
    </row>
    <row r="185" spans="2:15" ht="26.25" customHeight="1" x14ac:dyDescent="0.25">
      <c r="B185" s="130"/>
      <c r="C185" s="135"/>
      <c r="D185" s="177"/>
      <c r="E185" s="178"/>
      <c r="F185" s="178"/>
      <c r="G185" s="340"/>
      <c r="H185" s="340"/>
      <c r="I185" s="179"/>
      <c r="J185" s="344"/>
      <c r="K185" s="345"/>
      <c r="L185" s="346"/>
      <c r="M185" s="347"/>
      <c r="N185" s="347"/>
      <c r="O185" s="132"/>
    </row>
    <row r="186" spans="2:15" ht="26.25" customHeight="1" x14ac:dyDescent="0.25">
      <c r="B186" s="130"/>
      <c r="C186" s="135"/>
      <c r="D186" s="177"/>
      <c r="E186" s="178"/>
      <c r="F186" s="178"/>
      <c r="G186" s="340"/>
      <c r="H186" s="340"/>
      <c r="I186" s="179"/>
      <c r="J186" s="344"/>
      <c r="K186" s="345"/>
      <c r="L186" s="346"/>
      <c r="M186" s="347"/>
      <c r="N186" s="347"/>
      <c r="O186" s="132"/>
    </row>
    <row r="187" spans="2:15" ht="26.25" customHeight="1" x14ac:dyDescent="0.25">
      <c r="B187" s="130"/>
      <c r="C187" s="135"/>
      <c r="D187" s="177"/>
      <c r="E187" s="178"/>
      <c r="F187" s="178"/>
      <c r="G187" s="340"/>
      <c r="H187" s="340"/>
      <c r="I187" s="179"/>
      <c r="J187" s="344"/>
      <c r="K187" s="345"/>
      <c r="L187" s="346"/>
      <c r="M187" s="347"/>
      <c r="N187" s="347"/>
      <c r="O187" s="132"/>
    </row>
    <row r="188" spans="2:15" ht="26.25" customHeight="1" x14ac:dyDescent="0.25">
      <c r="B188" s="130"/>
      <c r="C188" s="135"/>
      <c r="D188" s="177"/>
      <c r="E188" s="178"/>
      <c r="F188" s="178"/>
      <c r="G188" s="340"/>
      <c r="H188" s="340"/>
      <c r="I188" s="179"/>
      <c r="J188" s="344"/>
      <c r="K188" s="345"/>
      <c r="L188" s="346"/>
      <c r="M188" s="347"/>
      <c r="N188" s="347"/>
      <c r="O188" s="132"/>
    </row>
    <row r="189" spans="2:15" ht="26.25" customHeight="1" x14ac:dyDescent="0.25">
      <c r="B189" s="130"/>
      <c r="C189" s="135"/>
      <c r="D189" s="177"/>
      <c r="E189" s="178"/>
      <c r="F189" s="178"/>
      <c r="G189" s="340"/>
      <c r="H189" s="340"/>
      <c r="I189" s="179"/>
      <c r="J189" s="344"/>
      <c r="K189" s="345"/>
      <c r="L189" s="346"/>
      <c r="M189" s="347"/>
      <c r="N189" s="347"/>
      <c r="O189" s="132"/>
    </row>
    <row r="190" spans="2:15" ht="26.25" customHeight="1" x14ac:dyDescent="0.25">
      <c r="B190" s="130"/>
      <c r="C190" s="135"/>
      <c r="D190" s="177"/>
      <c r="E190" s="178"/>
      <c r="F190" s="178"/>
      <c r="G190" s="340"/>
      <c r="H190" s="340"/>
      <c r="I190" s="179"/>
      <c r="J190" s="344"/>
      <c r="K190" s="345"/>
      <c r="L190" s="346"/>
      <c r="M190" s="347"/>
      <c r="N190" s="347"/>
      <c r="O190" s="132"/>
    </row>
    <row r="191" spans="2:15" ht="26.25" customHeight="1" x14ac:dyDescent="0.25">
      <c r="B191" s="130"/>
      <c r="C191" s="135"/>
      <c r="D191" s="177"/>
      <c r="E191" s="178"/>
      <c r="F191" s="178"/>
      <c r="G191" s="340"/>
      <c r="H191" s="340"/>
      <c r="I191" s="179"/>
      <c r="J191" s="344"/>
      <c r="K191" s="345"/>
      <c r="L191" s="346"/>
      <c r="M191" s="347"/>
      <c r="N191" s="347"/>
      <c r="O191" s="132"/>
    </row>
    <row r="192" spans="2:15" ht="26.25" customHeight="1" x14ac:dyDescent="0.25">
      <c r="B192" s="130"/>
      <c r="C192" s="135"/>
      <c r="D192" s="177"/>
      <c r="E192" s="178"/>
      <c r="F192" s="178"/>
      <c r="G192" s="340"/>
      <c r="H192" s="340"/>
      <c r="I192" s="179"/>
      <c r="J192" s="344"/>
      <c r="K192" s="345"/>
      <c r="L192" s="346"/>
      <c r="M192" s="347"/>
      <c r="N192" s="347"/>
      <c r="O192" s="132"/>
    </row>
    <row r="193" spans="2:15" ht="26.25" customHeight="1" x14ac:dyDescent="0.25">
      <c r="B193" s="130"/>
      <c r="C193" s="135"/>
      <c r="D193" s="177"/>
      <c r="E193" s="178"/>
      <c r="F193" s="178"/>
      <c r="G193" s="340"/>
      <c r="H193" s="340"/>
      <c r="I193" s="179"/>
      <c r="J193" s="344"/>
      <c r="K193" s="345"/>
      <c r="L193" s="346"/>
      <c r="M193" s="347"/>
      <c r="N193" s="347"/>
      <c r="O193" s="132"/>
    </row>
    <row r="194" spans="2:15" ht="26.25" customHeight="1" x14ac:dyDescent="0.25">
      <c r="B194" s="130"/>
      <c r="C194" s="135"/>
      <c r="D194" s="177"/>
      <c r="E194" s="178"/>
      <c r="F194" s="178"/>
      <c r="G194" s="340"/>
      <c r="H194" s="340"/>
      <c r="I194" s="179"/>
      <c r="J194" s="344"/>
      <c r="K194" s="345"/>
      <c r="L194" s="346"/>
      <c r="M194" s="347"/>
      <c r="N194" s="347"/>
      <c r="O194" s="132"/>
    </row>
    <row r="195" spans="2:15" ht="26.25" customHeight="1" x14ac:dyDescent="0.25">
      <c r="B195" s="130"/>
      <c r="C195" s="135"/>
      <c r="D195" s="177"/>
      <c r="E195" s="178"/>
      <c r="F195" s="178"/>
      <c r="G195" s="340"/>
      <c r="H195" s="340"/>
      <c r="I195" s="179"/>
      <c r="J195" s="344"/>
      <c r="K195" s="345"/>
      <c r="L195" s="346"/>
      <c r="M195" s="347"/>
      <c r="N195" s="347"/>
      <c r="O195" s="132"/>
    </row>
    <row r="196" spans="2:15" ht="26.25" customHeight="1" x14ac:dyDescent="0.25">
      <c r="B196" s="130"/>
      <c r="C196" s="135"/>
      <c r="D196" s="177"/>
      <c r="E196" s="178"/>
      <c r="F196" s="178"/>
      <c r="G196" s="340"/>
      <c r="H196" s="340"/>
      <c r="I196" s="179"/>
      <c r="J196" s="344"/>
      <c r="K196" s="345"/>
      <c r="L196" s="346"/>
      <c r="M196" s="347"/>
      <c r="N196" s="347"/>
      <c r="O196" s="132"/>
    </row>
    <row r="197" spans="2:15" ht="26.25" customHeight="1" x14ac:dyDescent="0.25">
      <c r="B197" s="130"/>
      <c r="C197" s="135"/>
      <c r="D197" s="177"/>
      <c r="E197" s="178"/>
      <c r="F197" s="178"/>
      <c r="G197" s="340"/>
      <c r="H197" s="340"/>
      <c r="I197" s="179"/>
      <c r="J197" s="344"/>
      <c r="K197" s="345"/>
      <c r="L197" s="346"/>
      <c r="M197" s="347"/>
      <c r="N197" s="347"/>
      <c r="O197" s="132"/>
    </row>
    <row r="198" spans="2:15" ht="26.25" customHeight="1" x14ac:dyDescent="0.25">
      <c r="B198" s="130"/>
      <c r="C198" s="135"/>
      <c r="D198" s="177"/>
      <c r="E198" s="178"/>
      <c r="F198" s="178"/>
      <c r="G198" s="340"/>
      <c r="H198" s="340"/>
      <c r="I198" s="179"/>
      <c r="J198" s="344"/>
      <c r="K198" s="345"/>
      <c r="L198" s="346"/>
      <c r="M198" s="347"/>
      <c r="N198" s="347"/>
      <c r="O198" s="132"/>
    </row>
    <row r="199" spans="2:15" ht="26.25" customHeight="1" x14ac:dyDescent="0.25">
      <c r="B199" s="130"/>
      <c r="C199" s="135"/>
      <c r="D199" s="177"/>
      <c r="E199" s="178"/>
      <c r="F199" s="178"/>
      <c r="G199" s="340"/>
      <c r="H199" s="340"/>
      <c r="I199" s="179"/>
      <c r="J199" s="344"/>
      <c r="K199" s="345"/>
      <c r="L199" s="346"/>
      <c r="M199" s="347"/>
      <c r="N199" s="347"/>
      <c r="O199" s="132"/>
    </row>
    <row r="200" spans="2:15" ht="26.25" customHeight="1" x14ac:dyDescent="0.25">
      <c r="B200" s="130"/>
      <c r="C200" s="135"/>
      <c r="D200" s="177"/>
      <c r="E200" s="178"/>
      <c r="F200" s="178"/>
      <c r="G200" s="340"/>
      <c r="H200" s="340"/>
      <c r="I200" s="179"/>
      <c r="J200" s="344"/>
      <c r="K200" s="345"/>
      <c r="L200" s="346"/>
      <c r="M200" s="347"/>
      <c r="N200" s="347"/>
      <c r="O200" s="132"/>
    </row>
    <row r="201" spans="2:15" ht="26.25" customHeight="1" x14ac:dyDescent="0.25">
      <c r="B201" s="130"/>
      <c r="C201" s="135"/>
      <c r="D201" s="177"/>
      <c r="E201" s="178"/>
      <c r="F201" s="178"/>
      <c r="G201" s="340"/>
      <c r="H201" s="340"/>
      <c r="I201" s="179"/>
      <c r="J201" s="344"/>
      <c r="K201" s="345"/>
      <c r="L201" s="346"/>
      <c r="M201" s="347"/>
      <c r="N201" s="347"/>
      <c r="O201" s="132"/>
    </row>
    <row r="202" spans="2:15" ht="26.25" customHeight="1" x14ac:dyDescent="0.25">
      <c r="B202" s="130"/>
      <c r="C202" s="135"/>
      <c r="D202" s="177"/>
      <c r="E202" s="178"/>
      <c r="F202" s="178"/>
      <c r="G202" s="340"/>
      <c r="H202" s="340"/>
      <c r="I202" s="179"/>
      <c r="J202" s="344"/>
      <c r="K202" s="345"/>
      <c r="L202" s="346"/>
      <c r="M202" s="347"/>
      <c r="N202" s="347"/>
      <c r="O202" s="132"/>
    </row>
    <row r="203" spans="2:15" ht="26.25" customHeight="1" x14ac:dyDescent="0.25">
      <c r="B203" s="130"/>
      <c r="C203" s="135"/>
      <c r="D203" s="177"/>
      <c r="E203" s="178"/>
      <c r="F203" s="178"/>
      <c r="G203" s="340"/>
      <c r="H203" s="340"/>
      <c r="I203" s="179"/>
      <c r="J203" s="344"/>
      <c r="K203" s="345"/>
      <c r="L203" s="346"/>
      <c r="M203" s="347"/>
      <c r="N203" s="347"/>
      <c r="O203" s="132"/>
    </row>
    <row r="204" spans="2:15" ht="26.25" customHeight="1" x14ac:dyDescent="0.25">
      <c r="B204" s="130"/>
      <c r="C204" s="135"/>
      <c r="D204" s="177"/>
      <c r="E204" s="178"/>
      <c r="F204" s="178"/>
      <c r="G204" s="340"/>
      <c r="H204" s="340"/>
      <c r="I204" s="179"/>
      <c r="J204" s="344"/>
      <c r="K204" s="345"/>
      <c r="L204" s="346"/>
      <c r="M204" s="347"/>
      <c r="N204" s="347"/>
      <c r="O204" s="132"/>
    </row>
    <row r="205" spans="2:15" ht="26.25" customHeight="1" x14ac:dyDescent="0.25">
      <c r="B205" s="130"/>
      <c r="C205" s="135"/>
      <c r="D205" s="177"/>
      <c r="E205" s="178"/>
      <c r="F205" s="178"/>
      <c r="G205" s="340"/>
      <c r="H205" s="340"/>
      <c r="I205" s="179"/>
      <c r="J205" s="344"/>
      <c r="K205" s="345"/>
      <c r="L205" s="346"/>
      <c r="M205" s="347"/>
      <c r="N205" s="347"/>
      <c r="O205" s="132"/>
    </row>
    <row r="206" spans="2:15" ht="26.25" customHeight="1" x14ac:dyDescent="0.25">
      <c r="B206" s="130"/>
      <c r="C206" s="135"/>
      <c r="D206" s="177"/>
      <c r="E206" s="178"/>
      <c r="F206" s="178"/>
      <c r="G206" s="340"/>
      <c r="H206" s="340"/>
      <c r="I206" s="179"/>
      <c r="J206" s="344"/>
      <c r="K206" s="345"/>
      <c r="L206" s="346"/>
      <c r="M206" s="347"/>
      <c r="N206" s="347"/>
      <c r="O206" s="132"/>
    </row>
    <row r="207" spans="2:15" ht="26.25" customHeight="1" x14ac:dyDescent="0.25">
      <c r="B207" s="130"/>
      <c r="C207" s="135"/>
      <c r="D207" s="177"/>
      <c r="E207" s="178"/>
      <c r="F207" s="178"/>
      <c r="G207" s="340"/>
      <c r="H207" s="340"/>
      <c r="I207" s="179"/>
      <c r="J207" s="344"/>
      <c r="K207" s="345"/>
      <c r="L207" s="346"/>
      <c r="M207" s="347"/>
      <c r="N207" s="347"/>
      <c r="O207" s="132"/>
    </row>
    <row r="208" spans="2:15" ht="26.25" customHeight="1" x14ac:dyDescent="0.25">
      <c r="B208" s="130"/>
      <c r="C208" s="135"/>
      <c r="D208" s="177"/>
      <c r="E208" s="178"/>
      <c r="F208" s="178"/>
      <c r="G208" s="340"/>
      <c r="H208" s="340"/>
      <c r="I208" s="179"/>
      <c r="J208" s="344"/>
      <c r="K208" s="345"/>
      <c r="L208" s="346"/>
      <c r="M208" s="347"/>
      <c r="N208" s="347"/>
      <c r="O208" s="132"/>
    </row>
    <row r="209" spans="2:15" ht="26.25" customHeight="1" x14ac:dyDescent="0.25">
      <c r="B209" s="130"/>
      <c r="C209" s="135"/>
      <c r="D209" s="177"/>
      <c r="E209" s="178"/>
      <c r="F209" s="178"/>
      <c r="G209" s="340"/>
      <c r="H209" s="340"/>
      <c r="I209" s="179"/>
      <c r="J209" s="344"/>
      <c r="K209" s="345"/>
      <c r="L209" s="346"/>
      <c r="M209" s="347"/>
      <c r="N209" s="347"/>
      <c r="O209" s="132"/>
    </row>
    <row r="210" spans="2:15" ht="26.25" customHeight="1" x14ac:dyDescent="0.25">
      <c r="B210" s="130"/>
      <c r="C210" s="135"/>
      <c r="D210" s="177"/>
      <c r="E210" s="178"/>
      <c r="F210" s="178"/>
      <c r="G210" s="340"/>
      <c r="H210" s="340"/>
      <c r="I210" s="179"/>
      <c r="J210" s="344"/>
      <c r="K210" s="345"/>
      <c r="L210" s="346"/>
      <c r="M210" s="347"/>
      <c r="N210" s="347"/>
      <c r="O210" s="132"/>
    </row>
    <row r="211" spans="2:15" ht="26.25" customHeight="1" x14ac:dyDescent="0.25">
      <c r="B211" s="130"/>
      <c r="C211" s="135"/>
      <c r="D211" s="177"/>
      <c r="E211" s="178"/>
      <c r="F211" s="178"/>
      <c r="G211" s="340"/>
      <c r="H211" s="340"/>
      <c r="I211" s="179"/>
      <c r="J211" s="344"/>
      <c r="K211" s="345"/>
      <c r="L211" s="346"/>
      <c r="M211" s="347"/>
      <c r="N211" s="347"/>
      <c r="O211" s="132"/>
    </row>
    <row r="212" spans="2:15" ht="26.25" customHeight="1" x14ac:dyDescent="0.25">
      <c r="B212" s="130"/>
      <c r="C212" s="135"/>
      <c r="D212" s="177"/>
      <c r="E212" s="178"/>
      <c r="F212" s="178"/>
      <c r="G212" s="340"/>
      <c r="H212" s="340"/>
      <c r="I212" s="179"/>
      <c r="J212" s="344"/>
      <c r="K212" s="345"/>
      <c r="L212" s="346"/>
      <c r="M212" s="347"/>
      <c r="N212" s="347"/>
      <c r="O212" s="132"/>
    </row>
    <row r="213" spans="2:15" ht="26.25" customHeight="1" x14ac:dyDescent="0.25">
      <c r="B213" s="130"/>
      <c r="C213" s="135"/>
      <c r="D213" s="177"/>
      <c r="E213" s="178"/>
      <c r="F213" s="178"/>
      <c r="G213" s="340"/>
      <c r="H213" s="340"/>
      <c r="I213" s="179"/>
      <c r="J213" s="344"/>
      <c r="K213" s="345"/>
      <c r="L213" s="346"/>
      <c r="M213" s="347"/>
      <c r="N213" s="347"/>
      <c r="O213" s="132"/>
    </row>
    <row r="214" spans="2:15" ht="26.25" customHeight="1" x14ac:dyDescent="0.25">
      <c r="B214" s="130"/>
      <c r="C214" s="135"/>
      <c r="D214" s="177"/>
      <c r="E214" s="178"/>
      <c r="F214" s="178"/>
      <c r="G214" s="340"/>
      <c r="H214" s="340"/>
      <c r="I214" s="179"/>
      <c r="J214" s="344"/>
      <c r="K214" s="345"/>
      <c r="L214" s="346"/>
      <c r="M214" s="347"/>
      <c r="N214" s="347"/>
      <c r="O214" s="132"/>
    </row>
    <row r="215" spans="2:15" ht="26.25" customHeight="1" x14ac:dyDescent="0.25">
      <c r="B215" s="130"/>
      <c r="C215" s="135"/>
      <c r="D215" s="177"/>
      <c r="E215" s="178"/>
      <c r="F215" s="178"/>
      <c r="G215" s="340"/>
      <c r="H215" s="340"/>
      <c r="I215" s="179"/>
      <c r="J215" s="344"/>
      <c r="K215" s="345"/>
      <c r="L215" s="346"/>
      <c r="M215" s="347"/>
      <c r="N215" s="347"/>
      <c r="O215" s="132"/>
    </row>
    <row r="216" spans="2:15" ht="26.25" customHeight="1" x14ac:dyDescent="0.25">
      <c r="B216" s="130"/>
      <c r="C216" s="135"/>
      <c r="D216" s="177"/>
      <c r="E216" s="178"/>
      <c r="F216" s="178"/>
      <c r="G216" s="340"/>
      <c r="H216" s="340"/>
      <c r="I216" s="179"/>
      <c r="J216" s="344"/>
      <c r="K216" s="345"/>
      <c r="L216" s="346"/>
      <c r="M216" s="347"/>
      <c r="N216" s="347"/>
      <c r="O216" s="132"/>
    </row>
    <row r="217" spans="2:15" ht="26.25" customHeight="1" x14ac:dyDescent="0.25">
      <c r="B217" s="130"/>
      <c r="C217" s="135"/>
      <c r="D217" s="177"/>
      <c r="E217" s="178"/>
      <c r="F217" s="178"/>
      <c r="G217" s="340"/>
      <c r="H217" s="340"/>
      <c r="I217" s="179"/>
      <c r="J217" s="344"/>
      <c r="K217" s="345"/>
      <c r="L217" s="346"/>
      <c r="M217" s="347"/>
      <c r="N217" s="347"/>
      <c r="O217" s="132"/>
    </row>
    <row r="218" spans="2:15" ht="26.25" customHeight="1" x14ac:dyDescent="0.25">
      <c r="B218" s="130"/>
      <c r="C218" s="135"/>
      <c r="D218" s="177"/>
      <c r="E218" s="178"/>
      <c r="F218" s="178"/>
      <c r="G218" s="340"/>
      <c r="H218" s="340"/>
      <c r="I218" s="179"/>
      <c r="J218" s="344"/>
      <c r="K218" s="345"/>
      <c r="L218" s="346"/>
      <c r="M218" s="347"/>
      <c r="N218" s="347"/>
      <c r="O218" s="132"/>
    </row>
    <row r="219" spans="2:15" ht="26.25" customHeight="1" x14ac:dyDescent="0.25">
      <c r="B219" s="130"/>
      <c r="C219" s="135"/>
      <c r="D219" s="177"/>
      <c r="E219" s="178"/>
      <c r="F219" s="178"/>
      <c r="G219" s="340"/>
      <c r="H219" s="340"/>
      <c r="I219" s="179"/>
      <c r="J219" s="344"/>
      <c r="K219" s="345"/>
      <c r="L219" s="346"/>
      <c r="M219" s="347"/>
      <c r="N219" s="347"/>
      <c r="O219" s="132"/>
    </row>
    <row r="220" spans="2:15" ht="26.25" customHeight="1" x14ac:dyDescent="0.25">
      <c r="B220" s="130"/>
      <c r="C220" s="135"/>
      <c r="D220" s="177"/>
      <c r="E220" s="178"/>
      <c r="F220" s="178"/>
      <c r="G220" s="340"/>
      <c r="H220" s="340"/>
      <c r="I220" s="179"/>
      <c r="J220" s="344"/>
      <c r="K220" s="345"/>
      <c r="L220" s="346"/>
      <c r="M220" s="347"/>
      <c r="N220" s="347"/>
      <c r="O220" s="132"/>
    </row>
    <row r="221" spans="2:15" ht="26.25" customHeight="1" x14ac:dyDescent="0.25">
      <c r="B221" s="130"/>
      <c r="C221" s="135"/>
      <c r="D221" s="177"/>
      <c r="E221" s="178"/>
      <c r="F221" s="178"/>
      <c r="G221" s="340"/>
      <c r="H221" s="340"/>
      <c r="I221" s="179"/>
      <c r="J221" s="344"/>
      <c r="K221" s="345"/>
      <c r="L221" s="346"/>
      <c r="M221" s="347"/>
      <c r="N221" s="347"/>
      <c r="O221" s="132"/>
    </row>
    <row r="222" spans="2:15" ht="26.25" customHeight="1" x14ac:dyDescent="0.25">
      <c r="B222" s="130"/>
      <c r="C222" s="135"/>
      <c r="D222" s="177"/>
      <c r="E222" s="178"/>
      <c r="F222" s="178"/>
      <c r="G222" s="340"/>
      <c r="H222" s="340"/>
      <c r="I222" s="179"/>
      <c r="J222" s="344"/>
      <c r="K222" s="345"/>
      <c r="L222" s="346"/>
      <c r="M222" s="347"/>
      <c r="N222" s="347"/>
      <c r="O222" s="132"/>
    </row>
    <row r="223" spans="2:15" ht="26.25" customHeight="1" x14ac:dyDescent="0.25">
      <c r="B223" s="130"/>
      <c r="C223" s="135"/>
      <c r="D223" s="177"/>
      <c r="E223" s="178"/>
      <c r="F223" s="178"/>
      <c r="G223" s="340"/>
      <c r="H223" s="340"/>
      <c r="I223" s="179"/>
      <c r="J223" s="344"/>
      <c r="K223" s="345"/>
      <c r="L223" s="346"/>
      <c r="M223" s="347"/>
      <c r="N223" s="347"/>
      <c r="O223" s="132"/>
    </row>
    <row r="224" spans="2:15" ht="26.25" customHeight="1" x14ac:dyDescent="0.25">
      <c r="B224" s="130"/>
      <c r="C224" s="135"/>
      <c r="D224" s="177"/>
      <c r="E224" s="178"/>
      <c r="F224" s="178"/>
      <c r="G224" s="340"/>
      <c r="H224" s="340"/>
      <c r="I224" s="179"/>
      <c r="J224" s="344"/>
      <c r="K224" s="345"/>
      <c r="L224" s="346"/>
      <c r="M224" s="347"/>
      <c r="N224" s="347"/>
      <c r="O224" s="132"/>
    </row>
    <row r="225" spans="2:15" ht="26.25" customHeight="1" x14ac:dyDescent="0.25">
      <c r="B225" s="130"/>
      <c r="C225" s="135"/>
      <c r="D225" s="177"/>
      <c r="E225" s="178"/>
      <c r="F225" s="178"/>
      <c r="G225" s="340"/>
      <c r="H225" s="340"/>
      <c r="I225" s="179"/>
      <c r="J225" s="344"/>
      <c r="K225" s="345"/>
      <c r="L225" s="346"/>
      <c r="M225" s="347"/>
      <c r="N225" s="347"/>
      <c r="O225" s="132"/>
    </row>
    <row r="226" spans="2:15" ht="26.25" customHeight="1" x14ac:dyDescent="0.25">
      <c r="B226" s="130"/>
      <c r="C226" s="135"/>
      <c r="D226" s="177"/>
      <c r="E226" s="178"/>
      <c r="F226" s="178"/>
      <c r="G226" s="340"/>
      <c r="H226" s="340"/>
      <c r="I226" s="179"/>
      <c r="J226" s="344"/>
      <c r="K226" s="345"/>
      <c r="L226" s="346"/>
      <c r="M226" s="347"/>
      <c r="N226" s="347"/>
      <c r="O226" s="132"/>
    </row>
    <row r="227" spans="2:15" ht="26.25" customHeight="1" x14ac:dyDescent="0.25">
      <c r="B227" s="130"/>
      <c r="C227" s="135"/>
      <c r="D227" s="177"/>
      <c r="E227" s="178"/>
      <c r="F227" s="178"/>
      <c r="G227" s="340"/>
      <c r="H227" s="340"/>
      <c r="I227" s="179"/>
      <c r="J227" s="344"/>
      <c r="K227" s="345"/>
      <c r="L227" s="346"/>
      <c r="M227" s="347"/>
      <c r="N227" s="347"/>
      <c r="O227" s="132"/>
    </row>
    <row r="228" spans="2:15" ht="26.25" customHeight="1" x14ac:dyDescent="0.25">
      <c r="B228" s="130"/>
      <c r="C228" s="135"/>
      <c r="D228" s="177"/>
      <c r="E228" s="178"/>
      <c r="F228" s="178"/>
      <c r="G228" s="340"/>
      <c r="H228" s="340"/>
      <c r="I228" s="179"/>
      <c r="J228" s="344"/>
      <c r="K228" s="345"/>
      <c r="L228" s="346"/>
      <c r="M228" s="347"/>
      <c r="N228" s="347"/>
      <c r="O228" s="132"/>
    </row>
    <row r="229" spans="2:15" ht="26.25" customHeight="1" x14ac:dyDescent="0.25">
      <c r="B229" s="130"/>
      <c r="C229" s="135"/>
      <c r="D229" s="177"/>
      <c r="E229" s="178"/>
      <c r="F229" s="178"/>
      <c r="G229" s="340"/>
      <c r="H229" s="340"/>
      <c r="I229" s="179"/>
      <c r="J229" s="344"/>
      <c r="K229" s="345"/>
      <c r="L229" s="346"/>
      <c r="M229" s="347"/>
      <c r="N229" s="347"/>
      <c r="O229" s="132"/>
    </row>
    <row r="230" spans="2:15" ht="26.25" customHeight="1" x14ac:dyDescent="0.25">
      <c r="B230" s="130"/>
      <c r="C230" s="135"/>
      <c r="D230" s="177"/>
      <c r="E230" s="178"/>
      <c r="F230" s="178"/>
      <c r="G230" s="340"/>
      <c r="H230" s="340"/>
      <c r="I230" s="179"/>
      <c r="J230" s="344"/>
      <c r="K230" s="345"/>
      <c r="L230" s="346"/>
      <c r="M230" s="347"/>
      <c r="N230" s="347"/>
      <c r="O230" s="132"/>
    </row>
    <row r="231" spans="2:15" ht="26.25" customHeight="1" x14ac:dyDescent="0.25">
      <c r="B231" s="130"/>
      <c r="C231" s="135"/>
      <c r="D231" s="177"/>
      <c r="E231" s="178"/>
      <c r="F231" s="178"/>
      <c r="G231" s="340"/>
      <c r="H231" s="340"/>
      <c r="I231" s="179"/>
      <c r="J231" s="344"/>
      <c r="K231" s="345"/>
      <c r="L231" s="346"/>
      <c r="M231" s="347"/>
      <c r="N231" s="347"/>
      <c r="O231" s="132"/>
    </row>
    <row r="232" spans="2:15" ht="26.25" customHeight="1" x14ac:dyDescent="0.25">
      <c r="B232" s="130"/>
      <c r="C232" s="135"/>
      <c r="D232" s="177"/>
      <c r="E232" s="178"/>
      <c r="F232" s="178"/>
      <c r="G232" s="340"/>
      <c r="H232" s="340"/>
      <c r="I232" s="179"/>
      <c r="J232" s="344"/>
      <c r="K232" s="345"/>
      <c r="L232" s="346"/>
      <c r="M232" s="347"/>
      <c r="N232" s="347"/>
      <c r="O232" s="132"/>
    </row>
    <row r="233" spans="2:15" ht="26.25" customHeight="1" x14ac:dyDescent="0.25">
      <c r="B233" s="130"/>
      <c r="C233" s="135"/>
      <c r="D233" s="177"/>
      <c r="E233" s="178"/>
      <c r="F233" s="178"/>
      <c r="G233" s="340"/>
      <c r="H233" s="340"/>
      <c r="I233" s="179"/>
      <c r="J233" s="344"/>
      <c r="K233" s="345"/>
      <c r="L233" s="346"/>
      <c r="M233" s="347"/>
      <c r="N233" s="347"/>
      <c r="O233" s="132"/>
    </row>
    <row r="234" spans="2:15" ht="26.25" customHeight="1" x14ac:dyDescent="0.25">
      <c r="B234" s="130"/>
      <c r="C234" s="135"/>
      <c r="D234" s="177"/>
      <c r="E234" s="178"/>
      <c r="F234" s="178"/>
      <c r="G234" s="340"/>
      <c r="H234" s="340"/>
      <c r="I234" s="179"/>
      <c r="J234" s="344"/>
      <c r="K234" s="345"/>
      <c r="L234" s="346"/>
      <c r="M234" s="347"/>
      <c r="N234" s="347"/>
      <c r="O234" s="132"/>
    </row>
    <row r="235" spans="2:15" ht="26.25" customHeight="1" x14ac:dyDescent="0.25">
      <c r="B235" s="130"/>
      <c r="C235" s="135"/>
      <c r="D235" s="177"/>
      <c r="E235" s="178"/>
      <c r="F235" s="178"/>
      <c r="G235" s="340"/>
      <c r="H235" s="340"/>
      <c r="I235" s="179"/>
      <c r="J235" s="344"/>
      <c r="K235" s="345"/>
      <c r="L235" s="346"/>
      <c r="M235" s="347"/>
      <c r="N235" s="347"/>
      <c r="O235" s="132"/>
    </row>
    <row r="236" spans="2:15" ht="26.25" customHeight="1" x14ac:dyDescent="0.25">
      <c r="B236" s="130"/>
      <c r="C236" s="135"/>
      <c r="D236" s="177"/>
      <c r="E236" s="178"/>
      <c r="F236" s="178"/>
      <c r="G236" s="340"/>
      <c r="H236" s="340"/>
      <c r="I236" s="179"/>
      <c r="J236" s="344"/>
      <c r="K236" s="345"/>
      <c r="L236" s="346"/>
      <c r="M236" s="347"/>
      <c r="N236" s="347"/>
      <c r="O236" s="132"/>
    </row>
    <row r="237" spans="2:15" ht="26.25" customHeight="1" x14ac:dyDescent="0.25">
      <c r="B237" s="130"/>
      <c r="C237" s="135"/>
      <c r="D237" s="177"/>
      <c r="E237" s="178"/>
      <c r="F237" s="178"/>
      <c r="G237" s="340"/>
      <c r="H237" s="340"/>
      <c r="I237" s="179"/>
      <c r="J237" s="344"/>
      <c r="K237" s="345"/>
      <c r="L237" s="346"/>
      <c r="M237" s="347"/>
      <c r="N237" s="347"/>
      <c r="O237" s="132"/>
    </row>
    <row r="238" spans="2:15" ht="26.25" customHeight="1" x14ac:dyDescent="0.25">
      <c r="B238" s="130"/>
      <c r="C238" s="135"/>
      <c r="D238" s="177"/>
      <c r="E238" s="178"/>
      <c r="F238" s="178"/>
      <c r="G238" s="340"/>
      <c r="H238" s="340"/>
      <c r="I238" s="179"/>
      <c r="J238" s="344"/>
      <c r="K238" s="345"/>
      <c r="L238" s="346"/>
      <c r="M238" s="347"/>
      <c r="N238" s="347"/>
      <c r="O238" s="132"/>
    </row>
    <row r="239" spans="2:15" ht="26.25" customHeight="1" x14ac:dyDescent="0.25">
      <c r="B239" s="130"/>
      <c r="C239" s="135"/>
      <c r="D239" s="177"/>
      <c r="E239" s="178"/>
      <c r="F239" s="178"/>
      <c r="G239" s="340"/>
      <c r="H239" s="340"/>
      <c r="I239" s="179"/>
      <c r="J239" s="344"/>
      <c r="K239" s="345"/>
      <c r="L239" s="346"/>
      <c r="M239" s="347"/>
      <c r="N239" s="347"/>
      <c r="O239" s="132"/>
    </row>
    <row r="240" spans="2:15" ht="26.25" customHeight="1" x14ac:dyDescent="0.25">
      <c r="B240" s="130"/>
      <c r="C240" s="135"/>
      <c r="D240" s="177"/>
      <c r="E240" s="178"/>
      <c r="F240" s="178"/>
      <c r="G240" s="340"/>
      <c r="H240" s="340"/>
      <c r="I240" s="179"/>
      <c r="J240" s="344"/>
      <c r="K240" s="345"/>
      <c r="L240" s="346"/>
      <c r="M240" s="347"/>
      <c r="N240" s="347"/>
      <c r="O240" s="132"/>
    </row>
    <row r="241" spans="2:15" ht="26.25" customHeight="1" x14ac:dyDescent="0.25">
      <c r="B241" s="130"/>
      <c r="C241" s="135"/>
      <c r="D241" s="177"/>
      <c r="E241" s="178"/>
      <c r="F241" s="178"/>
      <c r="G241" s="340"/>
      <c r="H241" s="340"/>
      <c r="I241" s="179"/>
      <c r="J241" s="344"/>
      <c r="K241" s="345"/>
      <c r="L241" s="346"/>
      <c r="M241" s="347"/>
      <c r="N241" s="347"/>
      <c r="O241" s="132"/>
    </row>
    <row r="242" spans="2:15" ht="26.25" customHeight="1" x14ac:dyDescent="0.25">
      <c r="B242" s="130"/>
      <c r="C242" s="135"/>
      <c r="D242" s="177"/>
      <c r="E242" s="178"/>
      <c r="F242" s="178"/>
      <c r="G242" s="340"/>
      <c r="H242" s="340"/>
      <c r="I242" s="179"/>
      <c r="J242" s="344"/>
      <c r="K242" s="345"/>
      <c r="L242" s="346"/>
      <c r="M242" s="347"/>
      <c r="N242" s="347"/>
      <c r="O242" s="132"/>
    </row>
    <row r="243" spans="2:15" ht="26.25" customHeight="1" x14ac:dyDescent="0.25">
      <c r="B243" s="130"/>
      <c r="C243" s="135"/>
      <c r="D243" s="177"/>
      <c r="E243" s="178"/>
      <c r="F243" s="178"/>
      <c r="G243" s="340"/>
      <c r="H243" s="340"/>
      <c r="I243" s="179"/>
      <c r="J243" s="344"/>
      <c r="K243" s="345"/>
      <c r="L243" s="346"/>
      <c r="M243" s="347"/>
      <c r="N243" s="347"/>
      <c r="O243" s="132"/>
    </row>
    <row r="244" spans="2:15" ht="26.25" customHeight="1" x14ac:dyDescent="0.25">
      <c r="B244" s="130"/>
      <c r="C244" s="135"/>
      <c r="D244" s="177"/>
      <c r="E244" s="178"/>
      <c r="F244" s="178"/>
      <c r="G244" s="340"/>
      <c r="H244" s="340"/>
      <c r="I244" s="179"/>
      <c r="J244" s="344"/>
      <c r="K244" s="345"/>
      <c r="L244" s="346"/>
      <c r="M244" s="347"/>
      <c r="N244" s="347"/>
      <c r="O244" s="132"/>
    </row>
    <row r="245" spans="2:15" ht="26.25" customHeight="1" x14ac:dyDescent="0.25">
      <c r="B245" s="130"/>
      <c r="C245" s="135"/>
      <c r="D245" s="177"/>
      <c r="E245" s="178"/>
      <c r="F245" s="178"/>
      <c r="G245" s="340"/>
      <c r="H245" s="340"/>
      <c r="I245" s="179"/>
      <c r="J245" s="344"/>
      <c r="K245" s="345"/>
      <c r="L245" s="346"/>
      <c r="M245" s="347"/>
      <c r="N245" s="347"/>
      <c r="O245" s="132"/>
    </row>
    <row r="246" spans="2:15" ht="26.25" customHeight="1" x14ac:dyDescent="0.25">
      <c r="B246" s="130"/>
      <c r="C246" s="135"/>
      <c r="D246" s="177"/>
      <c r="E246" s="178"/>
      <c r="F246" s="178"/>
      <c r="G246" s="340"/>
      <c r="H246" s="340"/>
      <c r="I246" s="179"/>
      <c r="J246" s="344"/>
      <c r="K246" s="345"/>
      <c r="L246" s="346"/>
      <c r="M246" s="347"/>
      <c r="N246" s="347"/>
      <c r="O246" s="132"/>
    </row>
    <row r="247" spans="2:15" ht="26.25" customHeight="1" x14ac:dyDescent="0.25">
      <c r="B247" s="130"/>
      <c r="C247" s="135"/>
      <c r="D247" s="177"/>
      <c r="E247" s="178"/>
      <c r="F247" s="178"/>
      <c r="G247" s="340"/>
      <c r="H247" s="340"/>
      <c r="I247" s="179"/>
      <c r="J247" s="344"/>
      <c r="K247" s="345"/>
      <c r="L247" s="346"/>
      <c r="M247" s="347"/>
      <c r="N247" s="347"/>
      <c r="O247" s="132"/>
    </row>
    <row r="248" spans="2:15" ht="26.25" customHeight="1" x14ac:dyDescent="0.25">
      <c r="B248" s="130"/>
      <c r="C248" s="135"/>
      <c r="D248" s="177"/>
      <c r="E248" s="178"/>
      <c r="F248" s="178"/>
      <c r="G248" s="340"/>
      <c r="H248" s="340"/>
      <c r="I248" s="179"/>
      <c r="J248" s="344"/>
      <c r="K248" s="345"/>
      <c r="L248" s="346"/>
      <c r="M248" s="347"/>
      <c r="N248" s="347"/>
      <c r="O248" s="132"/>
    </row>
    <row r="249" spans="2:15" ht="26.25" customHeight="1" x14ac:dyDescent="0.25">
      <c r="B249" s="130"/>
      <c r="C249" s="135"/>
      <c r="D249" s="177"/>
      <c r="E249" s="178"/>
      <c r="F249" s="178"/>
      <c r="G249" s="340"/>
      <c r="H249" s="340"/>
      <c r="I249" s="179"/>
      <c r="J249" s="344"/>
      <c r="K249" s="345"/>
      <c r="L249" s="346"/>
      <c r="M249" s="347"/>
      <c r="N249" s="347"/>
      <c r="O249" s="132"/>
    </row>
    <row r="250" spans="2:15" ht="26.25" customHeight="1" x14ac:dyDescent="0.25">
      <c r="B250" s="130"/>
      <c r="C250" s="135"/>
      <c r="D250" s="177"/>
      <c r="E250" s="178"/>
      <c r="F250" s="178"/>
      <c r="G250" s="340"/>
      <c r="H250" s="340"/>
      <c r="I250" s="179"/>
      <c r="J250" s="344"/>
      <c r="K250" s="345"/>
      <c r="L250" s="346"/>
      <c r="M250" s="347"/>
      <c r="N250" s="347"/>
      <c r="O250" s="132"/>
    </row>
    <row r="251" spans="2:15" ht="26.25" customHeight="1" x14ac:dyDescent="0.25">
      <c r="B251" s="130"/>
      <c r="C251" s="135"/>
      <c r="D251" s="177"/>
      <c r="E251" s="178"/>
      <c r="F251" s="178"/>
      <c r="G251" s="340"/>
      <c r="H251" s="340"/>
      <c r="I251" s="179"/>
      <c r="J251" s="344"/>
      <c r="K251" s="345"/>
      <c r="L251" s="346"/>
      <c r="M251" s="347"/>
      <c r="N251" s="347"/>
      <c r="O251" s="132"/>
    </row>
    <row r="252" spans="2:15" ht="26.25" customHeight="1" x14ac:dyDescent="0.25">
      <c r="B252" s="130"/>
      <c r="C252" s="135"/>
      <c r="D252" s="177"/>
      <c r="E252" s="178"/>
      <c r="F252" s="178"/>
      <c r="G252" s="340"/>
      <c r="H252" s="340"/>
      <c r="I252" s="179"/>
      <c r="J252" s="344"/>
      <c r="K252" s="345"/>
      <c r="L252" s="346"/>
      <c r="M252" s="347"/>
      <c r="N252" s="347"/>
      <c r="O252" s="132"/>
    </row>
    <row r="253" spans="2:15" ht="26.25" customHeight="1" x14ac:dyDescent="0.25">
      <c r="B253" s="130"/>
      <c r="C253" s="135"/>
      <c r="D253" s="177"/>
      <c r="E253" s="178"/>
      <c r="F253" s="178"/>
      <c r="G253" s="340"/>
      <c r="H253" s="340"/>
      <c r="I253" s="179"/>
      <c r="J253" s="344"/>
      <c r="K253" s="345"/>
      <c r="L253" s="346"/>
      <c r="M253" s="347"/>
      <c r="N253" s="347"/>
      <c r="O253" s="132"/>
    </row>
    <row r="254" spans="2:15" ht="26.25" customHeight="1" x14ac:dyDescent="0.25">
      <c r="B254" s="130"/>
      <c r="C254" s="135"/>
      <c r="D254" s="177"/>
      <c r="E254" s="178"/>
      <c r="F254" s="178"/>
      <c r="G254" s="340"/>
      <c r="H254" s="340"/>
      <c r="I254" s="179"/>
      <c r="J254" s="344"/>
      <c r="K254" s="345"/>
      <c r="L254" s="346"/>
      <c r="M254" s="347"/>
      <c r="N254" s="347"/>
      <c r="O254" s="132"/>
    </row>
    <row r="255" spans="2:15" ht="26.25" customHeight="1" x14ac:dyDescent="0.25">
      <c r="B255" s="130"/>
      <c r="C255" s="135"/>
      <c r="D255" s="177"/>
      <c r="E255" s="178"/>
      <c r="F255" s="178"/>
      <c r="G255" s="340"/>
      <c r="H255" s="340"/>
      <c r="I255" s="179"/>
      <c r="J255" s="344"/>
      <c r="K255" s="345"/>
      <c r="L255" s="346"/>
      <c r="M255" s="347"/>
      <c r="N255" s="347"/>
      <c r="O255" s="132"/>
    </row>
    <row r="256" spans="2:15" ht="26.25" customHeight="1" x14ac:dyDescent="0.25">
      <c r="B256" s="130"/>
      <c r="C256" s="135"/>
      <c r="D256" s="177"/>
      <c r="E256" s="178"/>
      <c r="F256" s="178"/>
      <c r="G256" s="340"/>
      <c r="H256" s="340"/>
      <c r="I256" s="179"/>
      <c r="J256" s="344"/>
      <c r="K256" s="345"/>
      <c r="L256" s="346"/>
      <c r="M256" s="347"/>
      <c r="N256" s="347"/>
      <c r="O256" s="132"/>
    </row>
    <row r="257" spans="2:15" ht="26.25" customHeight="1" x14ac:dyDescent="0.25">
      <c r="B257" s="130"/>
      <c r="C257" s="135"/>
      <c r="D257" s="177"/>
      <c r="E257" s="178"/>
      <c r="F257" s="178"/>
      <c r="G257" s="340"/>
      <c r="H257" s="340"/>
      <c r="I257" s="179"/>
      <c r="J257" s="344"/>
      <c r="K257" s="345"/>
      <c r="L257" s="346"/>
      <c r="M257" s="347"/>
      <c r="N257" s="347"/>
      <c r="O257" s="132"/>
    </row>
    <row r="258" spans="2:15" ht="26.25" customHeight="1" x14ac:dyDescent="0.25">
      <c r="B258" s="130"/>
      <c r="C258" s="135"/>
      <c r="D258" s="177"/>
      <c r="E258" s="178"/>
      <c r="F258" s="178"/>
      <c r="G258" s="340"/>
      <c r="H258" s="340"/>
      <c r="I258" s="179"/>
      <c r="J258" s="344"/>
      <c r="K258" s="345"/>
      <c r="L258" s="346"/>
      <c r="M258" s="347"/>
      <c r="N258" s="347"/>
      <c r="O258" s="132"/>
    </row>
    <row r="259" spans="2:15" ht="26.25" customHeight="1" x14ac:dyDescent="0.25">
      <c r="B259" s="130"/>
      <c r="C259" s="135"/>
      <c r="D259" s="177"/>
      <c r="E259" s="178"/>
      <c r="F259" s="178"/>
      <c r="G259" s="340"/>
      <c r="H259" s="340"/>
      <c r="I259" s="179"/>
      <c r="J259" s="344"/>
      <c r="K259" s="345"/>
      <c r="L259" s="346"/>
      <c r="M259" s="347"/>
      <c r="N259" s="347"/>
      <c r="O259" s="132"/>
    </row>
    <row r="260" spans="2:15" ht="26.25" customHeight="1" x14ac:dyDescent="0.25">
      <c r="B260" s="130"/>
      <c r="C260" s="135"/>
      <c r="D260" s="177"/>
      <c r="E260" s="178"/>
      <c r="F260" s="178"/>
      <c r="G260" s="340"/>
      <c r="H260" s="340"/>
      <c r="I260" s="179"/>
      <c r="J260" s="344"/>
      <c r="K260" s="345"/>
      <c r="L260" s="346"/>
      <c r="M260" s="347"/>
      <c r="N260" s="347"/>
      <c r="O260" s="132"/>
    </row>
    <row r="261" spans="2:15" ht="26.25" customHeight="1" x14ac:dyDescent="0.25">
      <c r="B261" s="130"/>
      <c r="C261" s="135"/>
      <c r="D261" s="177"/>
      <c r="E261" s="178"/>
      <c r="F261" s="178"/>
      <c r="G261" s="340"/>
      <c r="H261" s="340"/>
      <c r="I261" s="179"/>
      <c r="J261" s="344"/>
      <c r="K261" s="345"/>
      <c r="L261" s="346"/>
      <c r="M261" s="347"/>
      <c r="N261" s="347"/>
      <c r="O261" s="132"/>
    </row>
    <row r="262" spans="2:15" ht="26.25" customHeight="1" x14ac:dyDescent="0.25">
      <c r="B262" s="130"/>
      <c r="C262" s="135"/>
      <c r="D262" s="177"/>
      <c r="E262" s="178"/>
      <c r="F262" s="178"/>
      <c r="G262" s="340"/>
      <c r="H262" s="340"/>
      <c r="I262" s="179"/>
      <c r="J262" s="344"/>
      <c r="K262" s="345"/>
      <c r="L262" s="346"/>
      <c r="M262" s="347"/>
      <c r="N262" s="347"/>
      <c r="O262" s="132"/>
    </row>
    <row r="263" spans="2:15" ht="26.25" customHeight="1" x14ac:dyDescent="0.25">
      <c r="B263" s="130"/>
      <c r="C263" s="135"/>
      <c r="D263" s="177"/>
      <c r="E263" s="178"/>
      <c r="F263" s="178"/>
      <c r="G263" s="340"/>
      <c r="H263" s="340"/>
      <c r="I263" s="179"/>
      <c r="J263" s="344"/>
      <c r="K263" s="345"/>
      <c r="L263" s="346"/>
      <c r="M263" s="347"/>
      <c r="N263" s="347"/>
      <c r="O263" s="132"/>
    </row>
    <row r="264" spans="2:15" ht="26.25" customHeight="1" x14ac:dyDescent="0.25">
      <c r="B264" s="130"/>
      <c r="C264" s="135"/>
      <c r="D264" s="177"/>
      <c r="E264" s="178"/>
      <c r="F264" s="178"/>
      <c r="G264" s="340"/>
      <c r="H264" s="340"/>
      <c r="I264" s="179"/>
      <c r="J264" s="344"/>
      <c r="K264" s="345"/>
      <c r="L264" s="346"/>
      <c r="M264" s="347"/>
      <c r="N264" s="347"/>
      <c r="O264" s="132"/>
    </row>
    <row r="265" spans="2:15" ht="26.25" customHeight="1" x14ac:dyDescent="0.25">
      <c r="B265" s="130"/>
      <c r="C265" s="135"/>
      <c r="D265" s="177"/>
      <c r="E265" s="178"/>
      <c r="F265" s="178"/>
      <c r="G265" s="340"/>
      <c r="H265" s="340"/>
      <c r="I265" s="179"/>
      <c r="J265" s="344"/>
      <c r="K265" s="345"/>
      <c r="L265" s="346"/>
      <c r="M265" s="347"/>
      <c r="N265" s="347"/>
      <c r="O265" s="132"/>
    </row>
    <row r="266" spans="2:15" ht="26.25" customHeight="1" x14ac:dyDescent="0.25">
      <c r="B266" s="130"/>
      <c r="C266" s="135"/>
      <c r="D266" s="177"/>
      <c r="E266" s="178"/>
      <c r="F266" s="178"/>
      <c r="G266" s="340"/>
      <c r="H266" s="340"/>
      <c r="I266" s="179"/>
      <c r="J266" s="344"/>
      <c r="K266" s="345"/>
      <c r="L266" s="346"/>
      <c r="M266" s="347"/>
      <c r="N266" s="347"/>
      <c r="O266" s="132"/>
    </row>
    <row r="267" spans="2:15" ht="26.25" customHeight="1" x14ac:dyDescent="0.25">
      <c r="B267" s="130"/>
      <c r="C267" s="135"/>
      <c r="D267" s="177"/>
      <c r="E267" s="178"/>
      <c r="F267" s="178"/>
      <c r="G267" s="340"/>
      <c r="H267" s="340"/>
      <c r="I267" s="179"/>
      <c r="J267" s="344"/>
      <c r="K267" s="345"/>
      <c r="L267" s="346"/>
      <c r="M267" s="347"/>
      <c r="N267" s="347"/>
      <c r="O267" s="132"/>
    </row>
    <row r="268" spans="2:15" ht="26.25" customHeight="1" x14ac:dyDescent="0.25">
      <c r="B268" s="130"/>
      <c r="C268" s="135"/>
      <c r="D268" s="177"/>
      <c r="E268" s="178"/>
      <c r="F268" s="178"/>
      <c r="G268" s="340"/>
      <c r="H268" s="340"/>
      <c r="I268" s="179"/>
      <c r="J268" s="344"/>
      <c r="K268" s="345"/>
      <c r="L268" s="346"/>
      <c r="M268" s="347"/>
      <c r="N268" s="347"/>
      <c r="O268" s="132"/>
    </row>
    <row r="269" spans="2:15" ht="26.25" customHeight="1" x14ac:dyDescent="0.25">
      <c r="B269" s="130"/>
      <c r="C269" s="135"/>
      <c r="D269" s="177"/>
      <c r="E269" s="178"/>
      <c r="F269" s="178"/>
      <c r="G269" s="340"/>
      <c r="H269" s="340"/>
      <c r="I269" s="179"/>
      <c r="J269" s="344"/>
      <c r="K269" s="345"/>
      <c r="L269" s="346"/>
      <c r="M269" s="347"/>
      <c r="N269" s="347"/>
      <c r="O269" s="132"/>
    </row>
    <row r="270" spans="2:15" ht="26.25" customHeight="1" x14ac:dyDescent="0.25">
      <c r="B270" s="130"/>
      <c r="C270" s="135"/>
      <c r="D270" s="177"/>
      <c r="E270" s="178"/>
      <c r="F270" s="178"/>
      <c r="G270" s="340"/>
      <c r="H270" s="340"/>
      <c r="I270" s="179"/>
      <c r="J270" s="344"/>
      <c r="K270" s="345"/>
      <c r="L270" s="346"/>
      <c r="M270" s="347"/>
      <c r="N270" s="347"/>
      <c r="O270" s="132"/>
    </row>
    <row r="271" spans="2:15" ht="26.25" customHeight="1" x14ac:dyDescent="0.25">
      <c r="B271" s="130"/>
      <c r="C271" s="135"/>
      <c r="D271" s="177"/>
      <c r="E271" s="178"/>
      <c r="F271" s="178"/>
      <c r="G271" s="340"/>
      <c r="H271" s="340"/>
      <c r="I271" s="179"/>
      <c r="J271" s="344"/>
      <c r="K271" s="345"/>
      <c r="L271" s="346"/>
      <c r="M271" s="347"/>
      <c r="N271" s="347"/>
      <c r="O271" s="132"/>
    </row>
    <row r="272" spans="2:15" ht="26.25" customHeight="1" x14ac:dyDescent="0.25">
      <c r="B272" s="130"/>
      <c r="C272" s="135"/>
      <c r="D272" s="177"/>
      <c r="E272" s="178"/>
      <c r="F272" s="178"/>
      <c r="G272" s="340"/>
      <c r="H272" s="340"/>
      <c r="I272" s="179"/>
      <c r="J272" s="344"/>
      <c r="K272" s="345"/>
      <c r="L272" s="346"/>
      <c r="M272" s="347"/>
      <c r="N272" s="347"/>
      <c r="O272" s="132"/>
    </row>
    <row r="273" spans="2:15" ht="26.25" customHeight="1" x14ac:dyDescent="0.25">
      <c r="B273" s="130"/>
      <c r="C273" s="135"/>
      <c r="D273" s="177"/>
      <c r="E273" s="178"/>
      <c r="F273" s="178"/>
      <c r="G273" s="340"/>
      <c r="H273" s="340"/>
      <c r="I273" s="179"/>
      <c r="J273" s="344"/>
      <c r="K273" s="345"/>
      <c r="L273" s="346"/>
      <c r="M273" s="347"/>
      <c r="N273" s="347"/>
      <c r="O273" s="132"/>
    </row>
    <row r="274" spans="2:15" ht="26.25" customHeight="1" x14ac:dyDescent="0.25">
      <c r="B274" s="130"/>
      <c r="C274" s="135"/>
      <c r="D274" s="177"/>
      <c r="E274" s="178"/>
      <c r="F274" s="178"/>
      <c r="G274" s="340"/>
      <c r="H274" s="340"/>
      <c r="I274" s="179"/>
      <c r="J274" s="344"/>
      <c r="K274" s="345"/>
      <c r="L274" s="346"/>
      <c r="M274" s="347"/>
      <c r="N274" s="347"/>
      <c r="O274" s="132"/>
    </row>
    <row r="275" spans="2:15" ht="26.25" customHeight="1" x14ac:dyDescent="0.25">
      <c r="B275" s="130"/>
      <c r="C275" s="135"/>
      <c r="D275" s="177"/>
      <c r="E275" s="178"/>
      <c r="F275" s="178"/>
      <c r="G275" s="340"/>
      <c r="H275" s="340"/>
      <c r="I275" s="179"/>
      <c r="J275" s="344"/>
      <c r="K275" s="345"/>
      <c r="L275" s="346"/>
      <c r="M275" s="347"/>
      <c r="N275" s="347"/>
      <c r="O275" s="132"/>
    </row>
    <row r="276" spans="2:15" ht="26.25" customHeight="1" x14ac:dyDescent="0.25">
      <c r="B276" s="130"/>
      <c r="C276" s="135"/>
      <c r="D276" s="177"/>
      <c r="E276" s="178"/>
      <c r="F276" s="178"/>
      <c r="G276" s="340"/>
      <c r="H276" s="340"/>
      <c r="I276" s="179"/>
      <c r="J276" s="344"/>
      <c r="K276" s="345"/>
      <c r="L276" s="346"/>
      <c r="M276" s="347"/>
      <c r="N276" s="347"/>
      <c r="O276" s="132"/>
    </row>
    <row r="277" spans="2:15" ht="26.25" customHeight="1" x14ac:dyDescent="0.25">
      <c r="B277" s="130"/>
      <c r="C277" s="135"/>
      <c r="D277" s="177"/>
      <c r="E277" s="178"/>
      <c r="F277" s="178"/>
      <c r="G277" s="340"/>
      <c r="H277" s="340"/>
      <c r="I277" s="179"/>
      <c r="J277" s="344"/>
      <c r="K277" s="345"/>
      <c r="L277" s="346"/>
      <c r="M277" s="347"/>
      <c r="N277" s="347"/>
      <c r="O277" s="132"/>
    </row>
    <row r="278" spans="2:15" ht="26.25" customHeight="1" x14ac:dyDescent="0.25">
      <c r="B278" s="130"/>
      <c r="C278" s="135"/>
      <c r="D278" s="177"/>
      <c r="E278" s="178"/>
      <c r="F278" s="178"/>
      <c r="G278" s="340"/>
      <c r="H278" s="340"/>
      <c r="I278" s="179"/>
      <c r="J278" s="344"/>
      <c r="K278" s="345"/>
      <c r="L278" s="346"/>
      <c r="M278" s="347"/>
      <c r="N278" s="347"/>
      <c r="O278" s="132"/>
    </row>
    <row r="279" spans="2:15" ht="26.25" customHeight="1" x14ac:dyDescent="0.25">
      <c r="B279" s="130"/>
      <c r="C279" s="135"/>
      <c r="D279" s="177"/>
      <c r="E279" s="178"/>
      <c r="F279" s="178"/>
      <c r="G279" s="340"/>
      <c r="H279" s="340"/>
      <c r="I279" s="179"/>
      <c r="J279" s="344"/>
      <c r="K279" s="345"/>
      <c r="L279" s="346"/>
      <c r="M279" s="347"/>
      <c r="N279" s="347"/>
      <c r="O279" s="132"/>
    </row>
    <row r="280" spans="2:15" ht="26.25" customHeight="1" x14ac:dyDescent="0.25">
      <c r="B280" s="130"/>
      <c r="C280" s="135"/>
      <c r="D280" s="177"/>
      <c r="E280" s="178"/>
      <c r="F280" s="178"/>
      <c r="G280" s="340"/>
      <c r="H280" s="340"/>
      <c r="I280" s="179"/>
      <c r="J280" s="344"/>
      <c r="K280" s="345"/>
      <c r="L280" s="346"/>
      <c r="M280" s="347"/>
      <c r="N280" s="347"/>
      <c r="O280" s="132"/>
    </row>
    <row r="281" spans="2:15" ht="26.25" customHeight="1" x14ac:dyDescent="0.25">
      <c r="B281" s="130"/>
      <c r="C281" s="135"/>
      <c r="D281" s="177"/>
      <c r="E281" s="178"/>
      <c r="F281" s="178"/>
      <c r="G281" s="340"/>
      <c r="H281" s="340"/>
      <c r="I281" s="179"/>
      <c r="J281" s="344"/>
      <c r="K281" s="345"/>
      <c r="L281" s="346"/>
      <c r="M281" s="347"/>
      <c r="N281" s="347"/>
      <c r="O281" s="132"/>
    </row>
    <row r="282" spans="2:15" ht="26.25" customHeight="1" x14ac:dyDescent="0.25">
      <c r="B282" s="130"/>
      <c r="C282" s="135"/>
      <c r="D282" s="177"/>
      <c r="E282" s="178"/>
      <c r="F282" s="178"/>
      <c r="G282" s="340"/>
      <c r="H282" s="340"/>
      <c r="I282" s="179"/>
      <c r="J282" s="344"/>
      <c r="K282" s="345"/>
      <c r="L282" s="346"/>
      <c r="M282" s="347"/>
      <c r="N282" s="347"/>
      <c r="O282" s="132"/>
    </row>
    <row r="283" spans="2:15" ht="26.25" customHeight="1" x14ac:dyDescent="0.25">
      <c r="B283" s="130"/>
      <c r="C283" s="135"/>
      <c r="D283" s="177"/>
      <c r="E283" s="178"/>
      <c r="F283" s="178"/>
      <c r="G283" s="340"/>
      <c r="H283" s="340"/>
      <c r="I283" s="179"/>
      <c r="J283" s="344"/>
      <c r="K283" s="345"/>
      <c r="L283" s="346"/>
      <c r="M283" s="347"/>
      <c r="N283" s="347"/>
      <c r="O283" s="132"/>
    </row>
    <row r="284" spans="2:15" ht="26.25" customHeight="1" x14ac:dyDescent="0.25">
      <c r="B284" s="130"/>
      <c r="C284" s="135"/>
      <c r="D284" s="177"/>
      <c r="E284" s="178"/>
      <c r="F284" s="178"/>
      <c r="G284" s="340"/>
      <c r="H284" s="340"/>
      <c r="I284" s="179"/>
      <c r="J284" s="344"/>
      <c r="K284" s="345"/>
      <c r="L284" s="346"/>
      <c r="M284" s="347"/>
      <c r="N284" s="347"/>
      <c r="O284" s="132"/>
    </row>
    <row r="285" spans="2:15" ht="26.25" customHeight="1" x14ac:dyDescent="0.25">
      <c r="B285" s="130"/>
      <c r="C285" s="135"/>
      <c r="D285" s="177"/>
      <c r="E285" s="178"/>
      <c r="F285" s="178"/>
      <c r="G285" s="340"/>
      <c r="H285" s="340"/>
      <c r="I285" s="179"/>
      <c r="J285" s="344"/>
      <c r="K285" s="345"/>
      <c r="L285" s="346"/>
      <c r="M285" s="347"/>
      <c r="N285" s="347"/>
      <c r="O285" s="132"/>
    </row>
    <row r="286" spans="2:15" ht="26.25" customHeight="1" x14ac:dyDescent="0.25">
      <c r="B286" s="130"/>
      <c r="C286" s="135"/>
      <c r="D286" s="177"/>
      <c r="E286" s="178"/>
      <c r="F286" s="178"/>
      <c r="G286" s="340"/>
      <c r="H286" s="340"/>
      <c r="I286" s="179"/>
      <c r="J286" s="344"/>
      <c r="K286" s="345"/>
      <c r="L286" s="346"/>
      <c r="M286" s="347"/>
      <c r="N286" s="347"/>
      <c r="O286" s="132"/>
    </row>
    <row r="287" spans="2:15" ht="26.25" customHeight="1" x14ac:dyDescent="0.25">
      <c r="B287" s="130"/>
      <c r="C287" s="135"/>
      <c r="D287" s="177"/>
      <c r="E287" s="178"/>
      <c r="F287" s="178"/>
      <c r="G287" s="340"/>
      <c r="H287" s="340"/>
      <c r="I287" s="179"/>
      <c r="J287" s="344"/>
      <c r="K287" s="345"/>
      <c r="L287" s="346"/>
      <c r="M287" s="347"/>
      <c r="N287" s="347"/>
      <c r="O287" s="132"/>
    </row>
    <row r="288" spans="2:15" ht="26.25" customHeight="1" x14ac:dyDescent="0.25">
      <c r="B288" s="130"/>
      <c r="C288" s="135"/>
      <c r="D288" s="177"/>
      <c r="E288" s="178"/>
      <c r="F288" s="178"/>
      <c r="G288" s="340"/>
      <c r="H288" s="340"/>
      <c r="I288" s="179"/>
      <c r="J288" s="344"/>
      <c r="K288" s="345"/>
      <c r="L288" s="346"/>
      <c r="M288" s="347"/>
      <c r="N288" s="347"/>
      <c r="O288" s="132"/>
    </row>
    <row r="289" spans="2:15" ht="26.25" customHeight="1" x14ac:dyDescent="0.25">
      <c r="B289" s="130"/>
      <c r="C289" s="135"/>
      <c r="D289" s="177"/>
      <c r="E289" s="178"/>
      <c r="F289" s="178"/>
      <c r="G289" s="340"/>
      <c r="H289" s="340"/>
      <c r="I289" s="179"/>
      <c r="J289" s="344"/>
      <c r="K289" s="345"/>
      <c r="L289" s="346"/>
      <c r="M289" s="347"/>
      <c r="N289" s="347"/>
      <c r="O289" s="132"/>
    </row>
    <row r="290" spans="2:15" ht="26.25" customHeight="1" x14ac:dyDescent="0.25">
      <c r="B290" s="130"/>
      <c r="C290" s="135"/>
      <c r="D290" s="177"/>
      <c r="E290" s="178"/>
      <c r="F290" s="178"/>
      <c r="G290" s="340"/>
      <c r="H290" s="340"/>
      <c r="I290" s="179"/>
      <c r="J290" s="344"/>
      <c r="K290" s="345"/>
      <c r="L290" s="346"/>
      <c r="M290" s="347"/>
      <c r="N290" s="347"/>
      <c r="O290" s="132"/>
    </row>
    <row r="291" spans="2:15" ht="26.25" customHeight="1" x14ac:dyDescent="0.25">
      <c r="B291" s="130"/>
      <c r="C291" s="135"/>
      <c r="D291" s="177"/>
      <c r="E291" s="178"/>
      <c r="F291" s="178"/>
      <c r="G291" s="340"/>
      <c r="H291" s="340"/>
      <c r="I291" s="179"/>
      <c r="J291" s="344"/>
      <c r="K291" s="345"/>
      <c r="L291" s="346"/>
      <c r="M291" s="347"/>
      <c r="N291" s="347"/>
      <c r="O291" s="132"/>
    </row>
    <row r="292" spans="2:15" ht="26.25" customHeight="1" x14ac:dyDescent="0.25">
      <c r="B292" s="130"/>
      <c r="C292" s="135"/>
      <c r="D292" s="177"/>
      <c r="E292" s="178"/>
      <c r="F292" s="178"/>
      <c r="G292" s="340"/>
      <c r="H292" s="340"/>
      <c r="I292" s="179"/>
      <c r="J292" s="344"/>
      <c r="K292" s="345"/>
      <c r="L292" s="346"/>
      <c r="M292" s="347"/>
      <c r="N292" s="347"/>
      <c r="O292" s="132"/>
    </row>
    <row r="293" spans="2:15" ht="26.25" customHeight="1" x14ac:dyDescent="0.25">
      <c r="B293" s="130"/>
      <c r="C293" s="135"/>
      <c r="D293" s="177"/>
      <c r="E293" s="178"/>
      <c r="F293" s="178"/>
      <c r="G293" s="340"/>
      <c r="H293" s="340"/>
      <c r="I293" s="179"/>
      <c r="J293" s="344"/>
      <c r="K293" s="345"/>
      <c r="L293" s="346"/>
      <c r="M293" s="347"/>
      <c r="N293" s="347"/>
      <c r="O293" s="132"/>
    </row>
    <row r="294" spans="2:15" ht="26.25" customHeight="1" x14ac:dyDescent="0.25">
      <c r="B294" s="130"/>
      <c r="C294" s="135"/>
      <c r="D294" s="177"/>
      <c r="E294" s="178"/>
      <c r="F294" s="178"/>
      <c r="G294" s="340"/>
      <c r="H294" s="340"/>
      <c r="I294" s="179"/>
      <c r="J294" s="344"/>
      <c r="K294" s="345"/>
      <c r="L294" s="346"/>
      <c r="M294" s="347"/>
      <c r="N294" s="347"/>
      <c r="O294" s="132"/>
    </row>
    <row r="295" spans="2:15" ht="26.25" customHeight="1" x14ac:dyDescent="0.25">
      <c r="B295" s="130"/>
      <c r="C295" s="135"/>
      <c r="D295" s="177"/>
      <c r="E295" s="178"/>
      <c r="F295" s="178"/>
      <c r="G295" s="340"/>
      <c r="H295" s="340"/>
      <c r="I295" s="179"/>
      <c r="J295" s="344"/>
      <c r="K295" s="345"/>
      <c r="L295" s="346"/>
      <c r="M295" s="347"/>
      <c r="N295" s="347"/>
      <c r="O295" s="132"/>
    </row>
    <row r="296" spans="2:15" ht="26.25" customHeight="1" x14ac:dyDescent="0.25">
      <c r="B296" s="130"/>
      <c r="C296" s="135"/>
      <c r="D296" s="177"/>
      <c r="E296" s="178"/>
      <c r="F296" s="178"/>
      <c r="G296" s="340"/>
      <c r="H296" s="340"/>
      <c r="I296" s="179"/>
      <c r="J296" s="344"/>
      <c r="K296" s="345"/>
      <c r="L296" s="346"/>
      <c r="M296" s="347"/>
      <c r="N296" s="347"/>
      <c r="O296" s="132"/>
    </row>
    <row r="297" spans="2:15" ht="26.25" customHeight="1" x14ac:dyDescent="0.25">
      <c r="B297" s="130"/>
      <c r="C297" s="135"/>
      <c r="D297" s="177"/>
      <c r="E297" s="178"/>
      <c r="F297" s="178"/>
      <c r="G297" s="340"/>
      <c r="H297" s="340"/>
      <c r="I297" s="179"/>
      <c r="J297" s="344"/>
      <c r="K297" s="345"/>
      <c r="L297" s="346"/>
      <c r="M297" s="347"/>
      <c r="N297" s="347"/>
      <c r="O297" s="132"/>
    </row>
    <row r="298" spans="2:15" ht="26.25" customHeight="1" x14ac:dyDescent="0.25">
      <c r="B298" s="130"/>
      <c r="C298" s="135"/>
      <c r="D298" s="177"/>
      <c r="E298" s="178"/>
      <c r="F298" s="178"/>
      <c r="G298" s="340"/>
      <c r="H298" s="340"/>
      <c r="I298" s="179"/>
      <c r="J298" s="344"/>
      <c r="K298" s="345"/>
      <c r="L298" s="346"/>
      <c r="M298" s="347"/>
      <c r="N298" s="347"/>
      <c r="O298" s="132"/>
    </row>
    <row r="299" spans="2:15" ht="26.25" customHeight="1" x14ac:dyDescent="0.25">
      <c r="B299" s="130"/>
      <c r="C299" s="135"/>
      <c r="D299" s="177"/>
      <c r="E299" s="178"/>
      <c r="F299" s="178"/>
      <c r="G299" s="340"/>
      <c r="H299" s="340"/>
      <c r="I299" s="179"/>
      <c r="J299" s="344"/>
      <c r="K299" s="345"/>
      <c r="L299" s="346"/>
      <c r="M299" s="347"/>
      <c r="N299" s="347"/>
      <c r="O299" s="132"/>
    </row>
    <row r="300" spans="2:15" ht="26.25" customHeight="1" x14ac:dyDescent="0.25">
      <c r="B300" s="130"/>
      <c r="C300" s="135"/>
      <c r="D300" s="177"/>
      <c r="E300" s="178"/>
      <c r="F300" s="178"/>
      <c r="G300" s="340"/>
      <c r="H300" s="340"/>
      <c r="I300" s="179"/>
      <c r="J300" s="344"/>
      <c r="K300" s="345"/>
      <c r="L300" s="346"/>
      <c r="M300" s="347"/>
      <c r="N300" s="347"/>
      <c r="O300" s="132"/>
    </row>
    <row r="301" spans="2:15" ht="26.25" customHeight="1" x14ac:dyDescent="0.25">
      <c r="B301" s="130"/>
      <c r="C301" s="135"/>
      <c r="D301" s="177"/>
      <c r="E301" s="178"/>
      <c r="F301" s="178"/>
      <c r="G301" s="340"/>
      <c r="H301" s="340"/>
      <c r="I301" s="179"/>
      <c r="J301" s="344"/>
      <c r="K301" s="345"/>
      <c r="L301" s="346"/>
      <c r="M301" s="347"/>
      <c r="N301" s="347"/>
      <c r="O301" s="132"/>
    </row>
    <row r="302" spans="2:15" ht="26.25" customHeight="1" x14ac:dyDescent="0.25">
      <c r="B302" s="130"/>
      <c r="C302" s="135"/>
      <c r="D302" s="177"/>
      <c r="E302" s="178"/>
      <c r="F302" s="178"/>
      <c r="G302" s="340"/>
      <c r="H302" s="340"/>
      <c r="I302" s="179"/>
      <c r="J302" s="344"/>
      <c r="K302" s="345"/>
      <c r="L302" s="346"/>
      <c r="M302" s="347"/>
      <c r="N302" s="347"/>
      <c r="O302" s="132"/>
    </row>
    <row r="303" spans="2:15" ht="26.25" customHeight="1" x14ac:dyDescent="0.25">
      <c r="B303" s="130"/>
      <c r="C303" s="135"/>
      <c r="D303" s="177"/>
      <c r="E303" s="178"/>
      <c r="F303" s="178"/>
      <c r="G303" s="340"/>
      <c r="H303" s="340"/>
      <c r="I303" s="179"/>
      <c r="J303" s="344"/>
      <c r="K303" s="345"/>
      <c r="L303" s="346"/>
      <c r="M303" s="347"/>
      <c r="N303" s="347"/>
      <c r="O303" s="132"/>
    </row>
    <row r="304" spans="2:15" ht="26.25" customHeight="1" x14ac:dyDescent="0.25">
      <c r="B304" s="130"/>
      <c r="C304" s="135"/>
      <c r="D304" s="177"/>
      <c r="E304" s="178"/>
      <c r="F304" s="178"/>
      <c r="G304" s="340"/>
      <c r="H304" s="340"/>
      <c r="I304" s="179"/>
      <c r="J304" s="344"/>
      <c r="K304" s="345"/>
      <c r="L304" s="346"/>
      <c r="M304" s="347"/>
      <c r="N304" s="347"/>
      <c r="O304" s="132"/>
    </row>
    <row r="305" spans="2:15" ht="26.25" customHeight="1" x14ac:dyDescent="0.25">
      <c r="B305" s="130"/>
      <c r="C305" s="135"/>
      <c r="D305" s="177"/>
      <c r="E305" s="178"/>
      <c r="F305" s="178"/>
      <c r="G305" s="340"/>
      <c r="H305" s="340"/>
      <c r="I305" s="179"/>
      <c r="J305" s="344"/>
      <c r="K305" s="345"/>
      <c r="L305" s="346"/>
      <c r="M305" s="347"/>
      <c r="N305" s="347"/>
      <c r="O305" s="132"/>
    </row>
    <row r="306" spans="2:15" ht="26.25" customHeight="1" x14ac:dyDescent="0.25">
      <c r="B306" s="130"/>
      <c r="C306" s="135"/>
      <c r="D306" s="177"/>
      <c r="E306" s="178"/>
      <c r="F306" s="178"/>
      <c r="G306" s="340"/>
      <c r="H306" s="340"/>
      <c r="I306" s="179"/>
      <c r="J306" s="344"/>
      <c r="K306" s="345"/>
      <c r="L306" s="346"/>
      <c r="M306" s="347"/>
      <c r="N306" s="347"/>
      <c r="O306" s="132"/>
    </row>
    <row r="307" spans="2:15" ht="26.25" customHeight="1" x14ac:dyDescent="0.25">
      <c r="B307" s="130"/>
      <c r="C307" s="135"/>
      <c r="D307" s="177"/>
      <c r="E307" s="178"/>
      <c r="F307" s="178"/>
      <c r="G307" s="340"/>
      <c r="H307" s="340"/>
      <c r="I307" s="179"/>
      <c r="J307" s="344"/>
      <c r="K307" s="345"/>
      <c r="L307" s="346"/>
      <c r="M307" s="347"/>
      <c r="N307" s="347"/>
      <c r="O307" s="132"/>
    </row>
    <row r="308" spans="2:15" ht="26.25" customHeight="1" x14ac:dyDescent="0.25">
      <c r="B308" s="130"/>
      <c r="C308" s="135"/>
      <c r="D308" s="177"/>
      <c r="E308" s="178"/>
      <c r="F308" s="178"/>
      <c r="G308" s="340"/>
      <c r="H308" s="340"/>
      <c r="I308" s="179"/>
      <c r="J308" s="344"/>
      <c r="K308" s="345"/>
      <c r="L308" s="346"/>
      <c r="M308" s="347"/>
      <c r="N308" s="347"/>
      <c r="O308" s="132"/>
    </row>
    <row r="309" spans="2:15" ht="26.25" customHeight="1" x14ac:dyDescent="0.25">
      <c r="B309" s="130"/>
      <c r="C309" s="135"/>
      <c r="D309" s="177"/>
      <c r="E309" s="178"/>
      <c r="F309" s="178"/>
      <c r="G309" s="340"/>
      <c r="H309" s="340"/>
      <c r="I309" s="179"/>
      <c r="J309" s="344"/>
      <c r="K309" s="345"/>
      <c r="L309" s="346"/>
      <c r="M309" s="347"/>
      <c r="N309" s="347"/>
      <c r="O309" s="132"/>
    </row>
    <row r="310" spans="2:15" ht="26.25" customHeight="1" x14ac:dyDescent="0.25">
      <c r="B310" s="130"/>
      <c r="C310" s="135"/>
      <c r="D310" s="177"/>
      <c r="E310" s="178"/>
      <c r="F310" s="178"/>
      <c r="G310" s="340"/>
      <c r="H310" s="340"/>
      <c r="I310" s="179"/>
      <c r="J310" s="344"/>
      <c r="K310" s="345"/>
      <c r="L310" s="346"/>
      <c r="M310" s="347"/>
      <c r="N310" s="347"/>
      <c r="O310" s="132"/>
    </row>
    <row r="311" spans="2:15" ht="26.25" customHeight="1" x14ac:dyDescent="0.25">
      <c r="B311" s="130"/>
      <c r="C311" s="135"/>
      <c r="D311" s="177"/>
      <c r="E311" s="178"/>
      <c r="F311" s="178"/>
      <c r="G311" s="340"/>
      <c r="H311" s="340"/>
      <c r="I311" s="179"/>
      <c r="J311" s="344"/>
      <c r="K311" s="345"/>
      <c r="L311" s="346"/>
      <c r="M311" s="347"/>
      <c r="N311" s="347"/>
      <c r="O311" s="132"/>
    </row>
    <row r="312" spans="2:15" ht="26.25" customHeight="1" x14ac:dyDescent="0.25">
      <c r="B312" s="130"/>
      <c r="C312" s="135"/>
      <c r="D312" s="177"/>
      <c r="E312" s="178"/>
      <c r="F312" s="178"/>
      <c r="G312" s="340"/>
      <c r="H312" s="340"/>
      <c r="I312" s="179"/>
      <c r="J312" s="344"/>
      <c r="K312" s="345"/>
      <c r="L312" s="346"/>
      <c r="M312" s="347"/>
      <c r="N312" s="347"/>
      <c r="O312" s="132"/>
    </row>
    <row r="313" spans="2:15" ht="26.25" customHeight="1" x14ac:dyDescent="0.25">
      <c r="B313" s="130"/>
      <c r="C313" s="135"/>
      <c r="D313" s="177"/>
      <c r="E313" s="178"/>
      <c r="F313" s="178"/>
      <c r="G313" s="340"/>
      <c r="H313" s="340"/>
      <c r="I313" s="179"/>
      <c r="J313" s="344"/>
      <c r="K313" s="345"/>
      <c r="L313" s="346"/>
      <c r="M313" s="347"/>
      <c r="N313" s="347"/>
      <c r="O313" s="132"/>
    </row>
    <row r="314" spans="2:15" ht="26.25" customHeight="1" x14ac:dyDescent="0.25">
      <c r="B314" s="130"/>
      <c r="C314" s="135"/>
      <c r="D314" s="177"/>
      <c r="E314" s="178"/>
      <c r="F314" s="178"/>
      <c r="G314" s="340"/>
      <c r="H314" s="340"/>
      <c r="I314" s="179"/>
      <c r="J314" s="344"/>
      <c r="K314" s="345"/>
      <c r="L314" s="346"/>
      <c r="M314" s="347"/>
      <c r="N314" s="347"/>
      <c r="O314" s="132"/>
    </row>
    <row r="315" spans="2:15" ht="26.25" customHeight="1" x14ac:dyDescent="0.25">
      <c r="B315" s="130"/>
      <c r="C315" s="135"/>
      <c r="D315" s="177"/>
      <c r="E315" s="178"/>
      <c r="F315" s="178"/>
      <c r="G315" s="340"/>
      <c r="H315" s="340"/>
      <c r="I315" s="179"/>
      <c r="J315" s="344"/>
      <c r="K315" s="345"/>
      <c r="L315" s="346"/>
      <c r="M315" s="347"/>
      <c r="N315" s="347"/>
      <c r="O315" s="132"/>
    </row>
    <row r="316" spans="2:15" ht="26.25" customHeight="1" x14ac:dyDescent="0.25">
      <c r="B316" s="130"/>
      <c r="C316" s="135"/>
      <c r="D316" s="177"/>
      <c r="E316" s="178"/>
      <c r="F316" s="178"/>
      <c r="G316" s="340"/>
      <c r="H316" s="340"/>
      <c r="I316" s="179"/>
      <c r="J316" s="344"/>
      <c r="K316" s="345"/>
      <c r="L316" s="346"/>
      <c r="M316" s="347"/>
      <c r="N316" s="347"/>
      <c r="O316" s="132"/>
    </row>
    <row r="317" spans="2:15" ht="26.25" customHeight="1" x14ac:dyDescent="0.25">
      <c r="B317" s="130"/>
      <c r="C317" s="135"/>
      <c r="D317" s="177"/>
      <c r="E317" s="178"/>
      <c r="F317" s="178"/>
      <c r="G317" s="340"/>
      <c r="H317" s="340"/>
      <c r="I317" s="179"/>
      <c r="J317" s="344"/>
      <c r="K317" s="345"/>
      <c r="L317" s="346"/>
      <c r="M317" s="347"/>
      <c r="N317" s="347"/>
      <c r="O317" s="132"/>
    </row>
    <row r="318" spans="2:15" ht="26.25" customHeight="1" x14ac:dyDescent="0.25">
      <c r="B318" s="130"/>
      <c r="C318" s="135"/>
      <c r="D318" s="177"/>
      <c r="E318" s="178"/>
      <c r="F318" s="178"/>
      <c r="G318" s="340"/>
      <c r="H318" s="340"/>
      <c r="I318" s="179"/>
      <c r="J318" s="344"/>
      <c r="K318" s="345"/>
      <c r="L318" s="346"/>
      <c r="M318" s="347"/>
      <c r="N318" s="347"/>
      <c r="O318" s="132"/>
    </row>
    <row r="319" spans="2:15" ht="26.25" customHeight="1" x14ac:dyDescent="0.25">
      <c r="B319" s="130"/>
      <c r="C319" s="135"/>
      <c r="D319" s="177"/>
      <c r="E319" s="178"/>
      <c r="F319" s="178"/>
      <c r="G319" s="340"/>
      <c r="H319" s="340"/>
      <c r="I319" s="179"/>
      <c r="J319" s="344"/>
      <c r="K319" s="345"/>
      <c r="L319" s="346"/>
      <c r="M319" s="347"/>
      <c r="N319" s="347"/>
      <c r="O319" s="132"/>
    </row>
    <row r="320" spans="2:15" ht="26.25" customHeight="1" x14ac:dyDescent="0.25">
      <c r="B320" s="130"/>
      <c r="C320" s="135"/>
      <c r="D320" s="177"/>
      <c r="E320" s="178"/>
      <c r="F320" s="178"/>
      <c r="G320" s="340"/>
      <c r="H320" s="340"/>
      <c r="I320" s="179"/>
      <c r="J320" s="344"/>
      <c r="K320" s="345"/>
      <c r="L320" s="346"/>
      <c r="M320" s="347"/>
      <c r="N320" s="347"/>
      <c r="O320" s="132"/>
    </row>
    <row r="321" spans="2:15" ht="26.25" customHeight="1" x14ac:dyDescent="0.25">
      <c r="B321" s="130"/>
      <c r="C321" s="135"/>
      <c r="D321" s="177"/>
      <c r="E321" s="178"/>
      <c r="F321" s="178"/>
      <c r="G321" s="340"/>
      <c r="H321" s="340"/>
      <c r="I321" s="179"/>
      <c r="J321" s="344"/>
      <c r="K321" s="345"/>
      <c r="L321" s="346"/>
      <c r="M321" s="347"/>
      <c r="N321" s="347"/>
      <c r="O321" s="132"/>
    </row>
    <row r="322" spans="2:15" ht="26.25" customHeight="1" x14ac:dyDescent="0.25">
      <c r="B322" s="130"/>
      <c r="C322" s="135"/>
      <c r="D322" s="177"/>
      <c r="E322" s="178"/>
      <c r="F322" s="178"/>
      <c r="G322" s="340"/>
      <c r="H322" s="340"/>
      <c r="I322" s="179"/>
      <c r="J322" s="344"/>
      <c r="K322" s="345"/>
      <c r="L322" s="346"/>
      <c r="M322" s="347"/>
      <c r="N322" s="347"/>
      <c r="O322" s="132"/>
    </row>
    <row r="323" spans="2:15" ht="26.25" customHeight="1" x14ac:dyDescent="0.25">
      <c r="B323" s="130"/>
      <c r="C323" s="135"/>
      <c r="D323" s="177"/>
      <c r="E323" s="178"/>
      <c r="F323" s="178"/>
      <c r="G323" s="340"/>
      <c r="H323" s="340"/>
      <c r="I323" s="179"/>
      <c r="J323" s="344"/>
      <c r="K323" s="345"/>
      <c r="L323" s="346"/>
      <c r="M323" s="347"/>
      <c r="N323" s="347"/>
      <c r="O323" s="132"/>
    </row>
    <row r="324" spans="2:15" ht="26.25" customHeight="1" x14ac:dyDescent="0.25">
      <c r="B324" s="130"/>
      <c r="C324" s="135"/>
      <c r="D324" s="177"/>
      <c r="E324" s="178"/>
      <c r="F324" s="178"/>
      <c r="G324" s="340"/>
      <c r="H324" s="340"/>
      <c r="I324" s="179"/>
      <c r="J324" s="344"/>
      <c r="K324" s="345"/>
      <c r="L324" s="346"/>
      <c r="M324" s="347"/>
      <c r="N324" s="347"/>
      <c r="O324" s="132"/>
    </row>
    <row r="325" spans="2:15" ht="26.25" customHeight="1" x14ac:dyDescent="0.25">
      <c r="B325" s="130"/>
      <c r="C325" s="135"/>
      <c r="D325" s="177"/>
      <c r="E325" s="178"/>
      <c r="F325" s="178"/>
      <c r="G325" s="340"/>
      <c r="H325" s="340"/>
      <c r="I325" s="179"/>
      <c r="J325" s="344"/>
      <c r="K325" s="345"/>
      <c r="L325" s="346"/>
      <c r="M325" s="347"/>
      <c r="N325" s="347"/>
      <c r="O325" s="132"/>
    </row>
    <row r="326" spans="2:15" ht="26.25" customHeight="1" x14ac:dyDescent="0.25">
      <c r="B326" s="130"/>
      <c r="C326" s="135"/>
      <c r="D326" s="177"/>
      <c r="E326" s="178"/>
      <c r="F326" s="178"/>
      <c r="G326" s="340"/>
      <c r="H326" s="340"/>
      <c r="I326" s="179"/>
      <c r="J326" s="344"/>
      <c r="K326" s="345"/>
      <c r="L326" s="346"/>
      <c r="M326" s="347"/>
      <c r="N326" s="347"/>
      <c r="O326" s="132"/>
    </row>
    <row r="327" spans="2:15" ht="26.25" customHeight="1" x14ac:dyDescent="0.25">
      <c r="B327" s="130"/>
      <c r="C327" s="135"/>
      <c r="D327" s="177"/>
      <c r="E327" s="178"/>
      <c r="F327" s="178"/>
      <c r="G327" s="340"/>
      <c r="H327" s="340"/>
      <c r="I327" s="179"/>
      <c r="J327" s="344"/>
      <c r="K327" s="345"/>
      <c r="L327" s="346"/>
      <c r="M327" s="347"/>
      <c r="N327" s="347"/>
      <c r="O327" s="132"/>
    </row>
    <row r="328" spans="2:15" ht="26.25" customHeight="1" x14ac:dyDescent="0.25">
      <c r="B328" s="130"/>
      <c r="C328" s="135"/>
      <c r="D328" s="177"/>
      <c r="E328" s="178"/>
      <c r="F328" s="178"/>
      <c r="G328" s="340"/>
      <c r="H328" s="340"/>
      <c r="I328" s="179"/>
      <c r="J328" s="344"/>
      <c r="K328" s="345"/>
      <c r="L328" s="346"/>
      <c r="M328" s="347"/>
      <c r="N328" s="347"/>
      <c r="O328" s="132"/>
    </row>
    <row r="329" spans="2:15" ht="26.25" customHeight="1" x14ac:dyDescent="0.25">
      <c r="B329" s="130"/>
      <c r="C329" s="135"/>
      <c r="D329" s="177"/>
      <c r="E329" s="178"/>
      <c r="F329" s="178"/>
      <c r="G329" s="340"/>
      <c r="H329" s="340"/>
      <c r="I329" s="179"/>
      <c r="J329" s="344"/>
      <c r="K329" s="345"/>
      <c r="L329" s="346"/>
      <c r="M329" s="347"/>
      <c r="N329" s="347"/>
      <c r="O329" s="132"/>
    </row>
    <row r="330" spans="2:15" ht="26.25" customHeight="1" x14ac:dyDescent="0.25">
      <c r="B330" s="130"/>
      <c r="C330" s="135"/>
      <c r="D330" s="177"/>
      <c r="E330" s="178"/>
      <c r="F330" s="178"/>
      <c r="G330" s="340"/>
      <c r="H330" s="340"/>
      <c r="I330" s="179"/>
      <c r="J330" s="344"/>
      <c r="K330" s="345"/>
      <c r="L330" s="346"/>
      <c r="M330" s="347"/>
      <c r="N330" s="347"/>
      <c r="O330" s="132"/>
    </row>
    <row r="331" spans="2:15" ht="26.25" customHeight="1" x14ac:dyDescent="0.25">
      <c r="B331" s="130"/>
      <c r="C331" s="135"/>
      <c r="D331" s="177"/>
      <c r="E331" s="178"/>
      <c r="F331" s="178"/>
      <c r="G331" s="340"/>
      <c r="H331" s="340"/>
      <c r="I331" s="179"/>
      <c r="J331" s="344"/>
      <c r="K331" s="345"/>
      <c r="L331" s="346"/>
      <c r="M331" s="347"/>
      <c r="N331" s="347"/>
      <c r="O331" s="132"/>
    </row>
    <row r="332" spans="2:15" ht="26.25" customHeight="1" x14ac:dyDescent="0.25">
      <c r="B332" s="130"/>
      <c r="C332" s="135"/>
      <c r="D332" s="177"/>
      <c r="E332" s="178"/>
      <c r="F332" s="178"/>
      <c r="G332" s="340"/>
      <c r="H332" s="340"/>
      <c r="I332" s="179"/>
      <c r="J332" s="344"/>
      <c r="K332" s="345"/>
      <c r="L332" s="346"/>
      <c r="M332" s="347"/>
      <c r="N332" s="347"/>
      <c r="O332" s="132"/>
    </row>
    <row r="333" spans="2:15" ht="26.25" customHeight="1" x14ac:dyDescent="0.25">
      <c r="B333" s="130"/>
      <c r="C333" s="135"/>
      <c r="D333" s="177"/>
      <c r="E333" s="178"/>
      <c r="F333" s="178"/>
      <c r="G333" s="340"/>
      <c r="H333" s="340"/>
      <c r="I333" s="179"/>
      <c r="J333" s="344"/>
      <c r="K333" s="345"/>
      <c r="L333" s="346"/>
      <c r="M333" s="347"/>
      <c r="N333" s="347"/>
      <c r="O333" s="132"/>
    </row>
    <row r="334" spans="2:15" ht="26.25" customHeight="1" x14ac:dyDescent="0.25">
      <c r="B334" s="130"/>
      <c r="C334" s="135"/>
      <c r="D334" s="177"/>
      <c r="E334" s="178"/>
      <c r="F334" s="178"/>
      <c r="G334" s="340"/>
      <c r="H334" s="340"/>
      <c r="I334" s="179"/>
      <c r="J334" s="344"/>
      <c r="K334" s="345"/>
      <c r="L334" s="346"/>
      <c r="M334" s="347"/>
      <c r="N334" s="347"/>
      <c r="O334" s="132"/>
    </row>
    <row r="335" spans="2:15" ht="26.25" customHeight="1" x14ac:dyDescent="0.25">
      <c r="B335" s="130"/>
      <c r="C335" s="135"/>
      <c r="D335" s="177"/>
      <c r="E335" s="178"/>
      <c r="F335" s="178"/>
      <c r="G335" s="340"/>
      <c r="H335" s="340"/>
      <c r="I335" s="179"/>
      <c r="J335" s="344"/>
      <c r="K335" s="345"/>
      <c r="L335" s="346"/>
      <c r="M335" s="347"/>
      <c r="N335" s="347"/>
      <c r="O335" s="132"/>
    </row>
    <row r="336" spans="2:15" ht="26.25" customHeight="1" x14ac:dyDescent="0.25">
      <c r="B336" s="130"/>
      <c r="C336" s="135"/>
      <c r="D336" s="177"/>
      <c r="E336" s="178"/>
      <c r="F336" s="178"/>
      <c r="G336" s="340"/>
      <c r="H336" s="340"/>
      <c r="I336" s="179"/>
      <c r="J336" s="344"/>
      <c r="K336" s="345"/>
      <c r="L336" s="346"/>
      <c r="M336" s="347"/>
      <c r="N336" s="347"/>
      <c r="O336" s="132"/>
    </row>
    <row r="337" spans="2:15" ht="26.25" customHeight="1" x14ac:dyDescent="0.25">
      <c r="B337" s="130"/>
      <c r="C337" s="135"/>
      <c r="D337" s="177"/>
      <c r="E337" s="178"/>
      <c r="F337" s="178"/>
      <c r="G337" s="340"/>
      <c r="H337" s="340"/>
      <c r="I337" s="179"/>
      <c r="J337" s="344"/>
      <c r="K337" s="345"/>
      <c r="L337" s="346"/>
      <c r="M337" s="347"/>
      <c r="N337" s="347"/>
      <c r="O337" s="132"/>
    </row>
    <row r="338" spans="2:15" ht="26.25" customHeight="1" x14ac:dyDescent="0.25">
      <c r="B338" s="130"/>
      <c r="C338" s="135"/>
      <c r="D338" s="177"/>
      <c r="E338" s="178"/>
      <c r="F338" s="178"/>
      <c r="G338" s="340"/>
      <c r="H338" s="340"/>
      <c r="I338" s="179"/>
      <c r="J338" s="344"/>
      <c r="K338" s="345"/>
      <c r="L338" s="346"/>
      <c r="M338" s="347"/>
      <c r="N338" s="347"/>
      <c r="O338" s="132"/>
    </row>
    <row r="339" spans="2:15" ht="26.25" customHeight="1" x14ac:dyDescent="0.25">
      <c r="B339" s="130"/>
      <c r="C339" s="135"/>
      <c r="D339" s="177"/>
      <c r="E339" s="178"/>
      <c r="F339" s="178"/>
      <c r="G339" s="340"/>
      <c r="H339" s="340"/>
      <c r="I339" s="179"/>
      <c r="J339" s="344"/>
      <c r="K339" s="345"/>
      <c r="L339" s="346"/>
      <c r="M339" s="347"/>
      <c r="N339" s="347"/>
      <c r="O339" s="132"/>
    </row>
    <row r="340" spans="2:15" ht="26.25" customHeight="1" x14ac:dyDescent="0.25">
      <c r="B340" s="130"/>
      <c r="C340" s="135"/>
      <c r="D340" s="177"/>
      <c r="E340" s="178"/>
      <c r="F340" s="178"/>
      <c r="G340" s="340"/>
      <c r="H340" s="340"/>
      <c r="I340" s="179"/>
      <c r="J340" s="344"/>
      <c r="K340" s="345"/>
      <c r="L340" s="346"/>
      <c r="M340" s="347"/>
      <c r="N340" s="347"/>
      <c r="O340" s="132"/>
    </row>
    <row r="341" spans="2:15" ht="26.25" customHeight="1" x14ac:dyDescent="0.25">
      <c r="B341" s="130"/>
      <c r="C341" s="135"/>
      <c r="D341" s="177"/>
      <c r="E341" s="178"/>
      <c r="F341" s="178"/>
      <c r="G341" s="340"/>
      <c r="H341" s="340"/>
      <c r="I341" s="179"/>
      <c r="J341" s="344"/>
      <c r="K341" s="345"/>
      <c r="L341" s="346"/>
      <c r="M341" s="347"/>
      <c r="N341" s="347"/>
      <c r="O341" s="132"/>
    </row>
    <row r="342" spans="2:15" ht="26.25" customHeight="1" x14ac:dyDescent="0.25">
      <c r="B342" s="130"/>
      <c r="C342" s="135"/>
      <c r="D342" s="177"/>
      <c r="E342" s="178"/>
      <c r="F342" s="178"/>
      <c r="G342" s="340"/>
      <c r="H342" s="340"/>
      <c r="I342" s="179"/>
      <c r="J342" s="344"/>
      <c r="K342" s="345"/>
      <c r="L342" s="346"/>
      <c r="M342" s="347"/>
      <c r="N342" s="347"/>
      <c r="O342" s="132"/>
    </row>
    <row r="343" spans="2:15" ht="26.25" customHeight="1" x14ac:dyDescent="0.25">
      <c r="B343" s="130"/>
      <c r="C343" s="135"/>
      <c r="D343" s="177"/>
      <c r="E343" s="178"/>
      <c r="F343" s="178"/>
      <c r="G343" s="340"/>
      <c r="H343" s="340"/>
      <c r="I343" s="179"/>
      <c r="J343" s="344"/>
      <c r="K343" s="345"/>
      <c r="L343" s="346"/>
      <c r="M343" s="347"/>
      <c r="N343" s="347"/>
      <c r="O343" s="132"/>
    </row>
    <row r="344" spans="2:15" ht="26.25" customHeight="1" x14ac:dyDescent="0.25">
      <c r="B344" s="130"/>
      <c r="C344" s="135"/>
      <c r="D344" s="177"/>
      <c r="E344" s="178"/>
      <c r="F344" s="178"/>
      <c r="G344" s="340"/>
      <c r="H344" s="340"/>
      <c r="I344" s="179"/>
      <c r="J344" s="344"/>
      <c r="K344" s="345"/>
      <c r="L344" s="346"/>
      <c r="M344" s="347"/>
      <c r="N344" s="347"/>
      <c r="O344" s="132"/>
    </row>
    <row r="345" spans="2:15" ht="26.25" customHeight="1" x14ac:dyDescent="0.25">
      <c r="B345" s="130"/>
      <c r="C345" s="135"/>
      <c r="D345" s="177"/>
      <c r="E345" s="178"/>
      <c r="F345" s="178"/>
      <c r="G345" s="340"/>
      <c r="H345" s="340"/>
      <c r="I345" s="179"/>
      <c r="J345" s="344"/>
      <c r="K345" s="345"/>
      <c r="L345" s="346"/>
      <c r="M345" s="347"/>
      <c r="N345" s="347"/>
      <c r="O345" s="132"/>
    </row>
    <row r="346" spans="2:15" ht="26.25" customHeight="1" x14ac:dyDescent="0.25">
      <c r="B346" s="130"/>
      <c r="C346" s="135"/>
      <c r="D346" s="177"/>
      <c r="E346" s="178"/>
      <c r="F346" s="178"/>
      <c r="G346" s="340"/>
      <c r="H346" s="340"/>
      <c r="I346" s="179"/>
      <c r="J346" s="344"/>
      <c r="K346" s="345"/>
      <c r="L346" s="346"/>
      <c r="M346" s="347"/>
      <c r="N346" s="347"/>
      <c r="O346" s="132"/>
    </row>
    <row r="347" spans="2:15" ht="26.25" customHeight="1" x14ac:dyDescent="0.25">
      <c r="B347" s="130"/>
      <c r="C347" s="135"/>
      <c r="D347" s="177"/>
      <c r="E347" s="178"/>
      <c r="F347" s="178"/>
      <c r="G347" s="340"/>
      <c r="H347" s="340"/>
      <c r="I347" s="179"/>
      <c r="J347" s="344"/>
      <c r="K347" s="345"/>
      <c r="L347" s="346"/>
      <c r="M347" s="347"/>
      <c r="N347" s="347"/>
      <c r="O347" s="132"/>
    </row>
    <row r="348" spans="2:15" ht="26.25" customHeight="1" x14ac:dyDescent="0.25">
      <c r="B348" s="130"/>
      <c r="C348" s="135"/>
      <c r="D348" s="177"/>
      <c r="E348" s="178"/>
      <c r="F348" s="178"/>
      <c r="G348" s="340"/>
      <c r="H348" s="340"/>
      <c r="I348" s="179"/>
      <c r="J348" s="344"/>
      <c r="K348" s="345"/>
      <c r="L348" s="346"/>
      <c r="M348" s="347"/>
      <c r="N348" s="347"/>
      <c r="O348" s="132"/>
    </row>
    <row r="349" spans="2:15" ht="26.25" customHeight="1" x14ac:dyDescent="0.25">
      <c r="B349" s="130"/>
      <c r="C349" s="135"/>
      <c r="D349" s="177"/>
      <c r="E349" s="178"/>
      <c r="F349" s="178"/>
      <c r="G349" s="340"/>
      <c r="H349" s="340"/>
      <c r="I349" s="179"/>
      <c r="J349" s="344"/>
      <c r="K349" s="345"/>
      <c r="L349" s="346"/>
      <c r="M349" s="347"/>
      <c r="N349" s="347"/>
      <c r="O349" s="132"/>
    </row>
    <row r="350" spans="2:15" ht="26.25" customHeight="1" x14ac:dyDescent="0.25">
      <c r="B350" s="130"/>
      <c r="C350" s="135"/>
      <c r="D350" s="177"/>
      <c r="E350" s="178"/>
      <c r="F350" s="178"/>
      <c r="G350" s="340"/>
      <c r="H350" s="340"/>
      <c r="I350" s="179"/>
      <c r="J350" s="344"/>
      <c r="K350" s="345"/>
      <c r="L350" s="346"/>
      <c r="M350" s="347"/>
      <c r="N350" s="347"/>
      <c r="O350" s="132"/>
    </row>
    <row r="351" spans="2:15" ht="26.25" customHeight="1" x14ac:dyDescent="0.25">
      <c r="B351" s="130"/>
      <c r="C351" s="135"/>
      <c r="D351" s="177"/>
      <c r="E351" s="178"/>
      <c r="F351" s="178"/>
      <c r="G351" s="340"/>
      <c r="H351" s="340"/>
      <c r="I351" s="179"/>
      <c r="J351" s="344"/>
      <c r="K351" s="345"/>
      <c r="L351" s="346"/>
      <c r="M351" s="347"/>
      <c r="N351" s="347"/>
      <c r="O351" s="132"/>
    </row>
    <row r="352" spans="2:15" ht="26.25" customHeight="1" x14ac:dyDescent="0.25">
      <c r="B352" s="130"/>
      <c r="C352" s="135"/>
      <c r="D352" s="177"/>
      <c r="E352" s="178"/>
      <c r="F352" s="178"/>
      <c r="G352" s="340"/>
      <c r="H352" s="340"/>
      <c r="I352" s="179"/>
      <c r="J352" s="344"/>
      <c r="K352" s="345"/>
      <c r="L352" s="346"/>
      <c r="M352" s="347"/>
      <c r="N352" s="347"/>
      <c r="O352" s="132"/>
    </row>
    <row r="353" spans="2:15" ht="26.25" customHeight="1" x14ac:dyDescent="0.25">
      <c r="B353" s="130"/>
      <c r="C353" s="135"/>
      <c r="D353" s="177"/>
      <c r="E353" s="178"/>
      <c r="F353" s="178"/>
      <c r="G353" s="340"/>
      <c r="H353" s="340"/>
      <c r="I353" s="179"/>
      <c r="J353" s="344"/>
      <c r="K353" s="345"/>
      <c r="L353" s="346"/>
      <c r="M353" s="347"/>
      <c r="N353" s="347"/>
      <c r="O353" s="132"/>
    </row>
    <row r="354" spans="2:15" ht="26.25" customHeight="1" x14ac:dyDescent="0.25">
      <c r="B354" s="130"/>
      <c r="C354" s="135"/>
      <c r="D354" s="177"/>
      <c r="E354" s="178"/>
      <c r="F354" s="178"/>
      <c r="G354" s="340"/>
      <c r="H354" s="340"/>
      <c r="I354" s="179"/>
      <c r="J354" s="344"/>
      <c r="K354" s="345"/>
      <c r="L354" s="346"/>
      <c r="M354" s="347"/>
      <c r="N354" s="347"/>
      <c r="O354" s="132"/>
    </row>
    <row r="355" spans="2:15" ht="26.25" customHeight="1" x14ac:dyDescent="0.25">
      <c r="B355" s="130"/>
      <c r="C355" s="135"/>
      <c r="D355" s="177"/>
      <c r="E355" s="178"/>
      <c r="F355" s="178"/>
      <c r="G355" s="340"/>
      <c r="H355" s="340"/>
      <c r="I355" s="179"/>
      <c r="J355" s="344"/>
      <c r="K355" s="345"/>
      <c r="L355" s="346"/>
      <c r="M355" s="347"/>
      <c r="N355" s="347"/>
      <c r="O355" s="132"/>
    </row>
    <row r="356" spans="2:15" ht="26.25" customHeight="1" x14ac:dyDescent="0.25">
      <c r="B356" s="130"/>
      <c r="C356" s="135"/>
      <c r="D356" s="177"/>
      <c r="E356" s="178"/>
      <c r="F356" s="178"/>
      <c r="G356" s="340"/>
      <c r="H356" s="340"/>
      <c r="I356" s="179"/>
      <c r="J356" s="344"/>
      <c r="K356" s="345"/>
      <c r="L356" s="346"/>
      <c r="M356" s="347"/>
      <c r="N356" s="347"/>
      <c r="O356" s="132"/>
    </row>
    <row r="357" spans="2:15" ht="26.25" customHeight="1" x14ac:dyDescent="0.25">
      <c r="B357" s="130"/>
      <c r="C357" s="135"/>
      <c r="D357" s="177"/>
      <c r="E357" s="178"/>
      <c r="F357" s="178"/>
      <c r="G357" s="340"/>
      <c r="H357" s="340"/>
      <c r="I357" s="179"/>
      <c r="J357" s="344"/>
      <c r="K357" s="345"/>
      <c r="L357" s="346"/>
      <c r="M357" s="347"/>
      <c r="N357" s="347"/>
      <c r="O357" s="132"/>
    </row>
    <row r="358" spans="2:15" ht="26.25" customHeight="1" x14ac:dyDescent="0.25">
      <c r="B358" s="130"/>
      <c r="C358" s="135"/>
      <c r="D358" s="177"/>
      <c r="E358" s="178"/>
      <c r="F358" s="178"/>
      <c r="G358" s="340"/>
      <c r="H358" s="340"/>
      <c r="I358" s="179"/>
      <c r="J358" s="344"/>
      <c r="K358" s="345"/>
      <c r="L358" s="346"/>
      <c r="M358" s="347"/>
      <c r="N358" s="347"/>
      <c r="O358" s="132"/>
    </row>
    <row r="359" spans="2:15" ht="26.25" customHeight="1" x14ac:dyDescent="0.25">
      <c r="B359" s="130"/>
      <c r="C359" s="135"/>
      <c r="D359" s="177"/>
      <c r="E359" s="178"/>
      <c r="F359" s="178"/>
      <c r="G359" s="340"/>
      <c r="H359" s="340"/>
      <c r="I359" s="179"/>
      <c r="J359" s="344"/>
      <c r="K359" s="345"/>
      <c r="L359" s="346"/>
      <c r="M359" s="347"/>
      <c r="N359" s="347"/>
      <c r="O359" s="132"/>
    </row>
    <row r="360" spans="2:15" ht="26.25" customHeight="1" x14ac:dyDescent="0.25">
      <c r="B360" s="130"/>
      <c r="C360" s="135"/>
      <c r="D360" s="177"/>
      <c r="E360" s="178"/>
      <c r="F360" s="178"/>
      <c r="G360" s="340"/>
      <c r="H360" s="340"/>
      <c r="I360" s="179"/>
      <c r="J360" s="344"/>
      <c r="K360" s="345"/>
      <c r="L360" s="346"/>
      <c r="M360" s="347"/>
      <c r="N360" s="347"/>
      <c r="O360" s="132"/>
    </row>
    <row r="361" spans="2:15" ht="26.25" customHeight="1" x14ac:dyDescent="0.25">
      <c r="B361" s="130"/>
      <c r="C361" s="135"/>
      <c r="D361" s="177"/>
      <c r="E361" s="178"/>
      <c r="F361" s="178"/>
      <c r="G361" s="340"/>
      <c r="H361" s="340"/>
      <c r="I361" s="179"/>
      <c r="J361" s="344"/>
      <c r="K361" s="345"/>
      <c r="L361" s="346"/>
      <c r="M361" s="347"/>
      <c r="N361" s="347"/>
      <c r="O361" s="132"/>
    </row>
    <row r="362" spans="2:15" ht="26.25" customHeight="1" x14ac:dyDescent="0.25">
      <c r="B362" s="130"/>
      <c r="C362" s="135"/>
      <c r="D362" s="177"/>
      <c r="E362" s="178"/>
      <c r="F362" s="178"/>
      <c r="G362" s="340"/>
      <c r="H362" s="340"/>
      <c r="I362" s="179"/>
      <c r="J362" s="344"/>
      <c r="K362" s="345"/>
      <c r="L362" s="346"/>
      <c r="M362" s="347"/>
      <c r="N362" s="347"/>
      <c r="O362" s="132"/>
    </row>
    <row r="363" spans="2:15" ht="26.25" customHeight="1" x14ac:dyDescent="0.25">
      <c r="B363" s="130"/>
      <c r="C363" s="135"/>
      <c r="D363" s="177"/>
      <c r="E363" s="178"/>
      <c r="F363" s="178"/>
      <c r="G363" s="340"/>
      <c r="H363" s="340"/>
      <c r="I363" s="179"/>
      <c r="J363" s="344"/>
      <c r="K363" s="345"/>
      <c r="L363" s="346"/>
      <c r="M363" s="347"/>
      <c r="N363" s="347"/>
      <c r="O363" s="132"/>
    </row>
    <row r="364" spans="2:15" ht="26.25" customHeight="1" x14ac:dyDescent="0.25">
      <c r="B364" s="130"/>
      <c r="C364" s="135"/>
      <c r="D364" s="177"/>
      <c r="E364" s="178"/>
      <c r="F364" s="178"/>
      <c r="G364" s="340"/>
      <c r="H364" s="340"/>
      <c r="I364" s="179"/>
      <c r="J364" s="344"/>
      <c r="K364" s="345"/>
      <c r="L364" s="346"/>
      <c r="M364" s="347"/>
      <c r="N364" s="347"/>
      <c r="O364" s="132"/>
    </row>
    <row r="365" spans="2:15" ht="26.25" customHeight="1" x14ac:dyDescent="0.25">
      <c r="B365" s="130"/>
      <c r="C365" s="135"/>
      <c r="D365" s="177"/>
      <c r="E365" s="178"/>
      <c r="F365" s="178"/>
      <c r="G365" s="340"/>
      <c r="H365" s="340"/>
      <c r="I365" s="179"/>
      <c r="J365" s="344"/>
      <c r="K365" s="345"/>
      <c r="L365" s="346"/>
      <c r="M365" s="347"/>
      <c r="N365" s="347"/>
      <c r="O365" s="132"/>
    </row>
    <row r="366" spans="2:15" ht="26.25" customHeight="1" x14ac:dyDescent="0.25">
      <c r="B366" s="130"/>
      <c r="C366" s="135"/>
      <c r="D366" s="177"/>
      <c r="E366" s="178"/>
      <c r="F366" s="178"/>
      <c r="G366" s="340"/>
      <c r="H366" s="340"/>
      <c r="I366" s="179"/>
      <c r="J366" s="344"/>
      <c r="K366" s="345"/>
      <c r="L366" s="346"/>
      <c r="M366" s="347"/>
      <c r="N366" s="347"/>
      <c r="O366" s="132"/>
    </row>
    <row r="367" spans="2:15" ht="26.25" customHeight="1" x14ac:dyDescent="0.25">
      <c r="B367" s="130"/>
      <c r="C367" s="135"/>
      <c r="D367" s="177"/>
      <c r="E367" s="178"/>
      <c r="F367" s="178"/>
      <c r="G367" s="340"/>
      <c r="H367" s="340"/>
      <c r="I367" s="179"/>
      <c r="J367" s="344"/>
      <c r="K367" s="345"/>
      <c r="L367" s="346"/>
      <c r="M367" s="347"/>
      <c r="N367" s="347"/>
      <c r="O367" s="132"/>
    </row>
    <row r="368" spans="2:15" ht="26.25" customHeight="1" x14ac:dyDescent="0.25">
      <c r="B368" s="130"/>
      <c r="C368" s="135"/>
      <c r="D368" s="177"/>
      <c r="E368" s="178"/>
      <c r="F368" s="178"/>
      <c r="G368" s="340"/>
      <c r="H368" s="340"/>
      <c r="I368" s="179"/>
      <c r="J368" s="344"/>
      <c r="K368" s="345"/>
      <c r="L368" s="346"/>
      <c r="M368" s="347"/>
      <c r="N368" s="347"/>
      <c r="O368" s="132"/>
    </row>
    <row r="369" spans="2:15" ht="26.25" customHeight="1" x14ac:dyDescent="0.25">
      <c r="B369" s="130"/>
      <c r="C369" s="135"/>
      <c r="D369" s="177"/>
      <c r="E369" s="178"/>
      <c r="F369" s="178"/>
      <c r="G369" s="340"/>
      <c r="H369" s="340"/>
      <c r="I369" s="179"/>
      <c r="J369" s="344"/>
      <c r="K369" s="345"/>
      <c r="L369" s="346"/>
      <c r="M369" s="347"/>
      <c r="N369" s="347"/>
      <c r="O369" s="132"/>
    </row>
    <row r="370" spans="2:15" ht="26.25" customHeight="1" x14ac:dyDescent="0.25">
      <c r="B370" s="130"/>
      <c r="C370" s="135"/>
      <c r="D370" s="177"/>
      <c r="E370" s="178"/>
      <c r="F370" s="178"/>
      <c r="G370" s="340"/>
      <c r="H370" s="340"/>
      <c r="I370" s="179"/>
      <c r="J370" s="344"/>
      <c r="K370" s="345"/>
      <c r="L370" s="346"/>
      <c r="M370" s="347"/>
      <c r="N370" s="347"/>
      <c r="O370" s="132"/>
    </row>
    <row r="371" spans="2:15" ht="26.25" customHeight="1" x14ac:dyDescent="0.25">
      <c r="B371" s="130"/>
      <c r="C371" s="135"/>
      <c r="D371" s="177"/>
      <c r="E371" s="178"/>
      <c r="F371" s="178"/>
      <c r="G371" s="340"/>
      <c r="H371" s="340"/>
      <c r="I371" s="179"/>
      <c r="J371" s="344"/>
      <c r="K371" s="345"/>
      <c r="L371" s="346"/>
      <c r="M371" s="347"/>
      <c r="N371" s="347"/>
      <c r="O371" s="132"/>
    </row>
    <row r="372" spans="2:15" ht="26.25" customHeight="1" x14ac:dyDescent="0.25">
      <c r="B372" s="130"/>
      <c r="C372" s="135"/>
      <c r="D372" s="177"/>
      <c r="E372" s="178"/>
      <c r="F372" s="178"/>
      <c r="G372" s="340"/>
      <c r="H372" s="340"/>
      <c r="I372" s="179"/>
      <c r="J372" s="344"/>
      <c r="K372" s="345"/>
      <c r="L372" s="346"/>
      <c r="M372" s="347"/>
      <c r="N372" s="347"/>
      <c r="O372" s="132"/>
    </row>
    <row r="373" spans="2:15" ht="26.25" customHeight="1" x14ac:dyDescent="0.25">
      <c r="B373" s="130"/>
      <c r="C373" s="135"/>
      <c r="D373" s="177"/>
      <c r="E373" s="178"/>
      <c r="F373" s="178"/>
      <c r="G373" s="340"/>
      <c r="H373" s="340"/>
      <c r="I373" s="179"/>
      <c r="J373" s="344"/>
      <c r="K373" s="345"/>
      <c r="L373" s="346"/>
      <c r="M373" s="347"/>
      <c r="N373" s="347"/>
      <c r="O373" s="132"/>
    </row>
    <row r="374" spans="2:15" ht="26.25" customHeight="1" x14ac:dyDescent="0.25">
      <c r="B374" s="130"/>
      <c r="C374" s="135"/>
      <c r="D374" s="177"/>
      <c r="E374" s="178"/>
      <c r="F374" s="178"/>
      <c r="G374" s="340"/>
      <c r="H374" s="340"/>
      <c r="I374" s="179"/>
      <c r="J374" s="344"/>
      <c r="K374" s="345"/>
      <c r="L374" s="346"/>
      <c r="M374" s="347"/>
      <c r="N374" s="347"/>
      <c r="O374" s="132"/>
    </row>
    <row r="375" spans="2:15" ht="26.25" customHeight="1" x14ac:dyDescent="0.25">
      <c r="B375" s="130"/>
      <c r="C375" s="135"/>
      <c r="D375" s="177"/>
      <c r="E375" s="178"/>
      <c r="F375" s="178"/>
      <c r="G375" s="340"/>
      <c r="H375" s="340"/>
      <c r="I375" s="179"/>
      <c r="J375" s="344"/>
      <c r="K375" s="345"/>
      <c r="L375" s="346"/>
      <c r="M375" s="347"/>
      <c r="N375" s="347"/>
      <c r="O375" s="132"/>
    </row>
    <row r="376" spans="2:15" ht="26.25" customHeight="1" x14ac:dyDescent="0.25">
      <c r="B376" s="130"/>
      <c r="C376" s="135"/>
      <c r="D376" s="177"/>
      <c r="E376" s="178"/>
      <c r="F376" s="178"/>
      <c r="G376" s="340"/>
      <c r="H376" s="340"/>
      <c r="I376" s="179"/>
      <c r="J376" s="344"/>
      <c r="K376" s="345"/>
      <c r="L376" s="346"/>
      <c r="M376" s="347"/>
      <c r="N376" s="347"/>
      <c r="O376" s="132"/>
    </row>
    <row r="377" spans="2:15" ht="26.25" customHeight="1" x14ac:dyDescent="0.25">
      <c r="B377" s="130"/>
      <c r="C377" s="135"/>
      <c r="D377" s="177"/>
      <c r="E377" s="178"/>
      <c r="F377" s="178"/>
      <c r="G377" s="340"/>
      <c r="H377" s="340"/>
      <c r="I377" s="179"/>
      <c r="J377" s="344"/>
      <c r="K377" s="345"/>
      <c r="L377" s="346"/>
      <c r="M377" s="347"/>
      <c r="N377" s="347"/>
      <c r="O377" s="132"/>
    </row>
    <row r="378" spans="2:15" ht="26.25" customHeight="1" x14ac:dyDescent="0.25">
      <c r="B378" s="130"/>
      <c r="C378" s="135"/>
      <c r="D378" s="177"/>
      <c r="E378" s="178"/>
      <c r="F378" s="178"/>
      <c r="G378" s="340"/>
      <c r="H378" s="340"/>
      <c r="I378" s="179"/>
      <c r="J378" s="344"/>
      <c r="K378" s="345"/>
      <c r="L378" s="346"/>
      <c r="M378" s="347"/>
      <c r="N378" s="347"/>
      <c r="O378" s="132"/>
    </row>
    <row r="379" spans="2:15" ht="26.25" customHeight="1" x14ac:dyDescent="0.25">
      <c r="B379" s="130"/>
      <c r="C379" s="135"/>
      <c r="D379" s="177"/>
      <c r="E379" s="178"/>
      <c r="F379" s="178"/>
      <c r="G379" s="340"/>
      <c r="H379" s="340"/>
      <c r="I379" s="179"/>
      <c r="J379" s="344"/>
      <c r="K379" s="345"/>
      <c r="L379" s="346"/>
      <c r="M379" s="347"/>
      <c r="N379" s="347"/>
      <c r="O379" s="132"/>
    </row>
    <row r="380" spans="2:15" ht="26.25" customHeight="1" x14ac:dyDescent="0.25">
      <c r="B380" s="130"/>
      <c r="C380" s="135"/>
      <c r="D380" s="177"/>
      <c r="E380" s="178"/>
      <c r="F380" s="178"/>
      <c r="G380" s="340"/>
      <c r="H380" s="340"/>
      <c r="I380" s="179"/>
      <c r="J380" s="344"/>
      <c r="K380" s="345"/>
      <c r="L380" s="346"/>
      <c r="M380" s="347"/>
      <c r="N380" s="347"/>
      <c r="O380" s="132"/>
    </row>
    <row r="381" spans="2:15" ht="26.25" customHeight="1" x14ac:dyDescent="0.25">
      <c r="B381" s="130"/>
      <c r="C381" s="135"/>
      <c r="D381" s="177"/>
      <c r="E381" s="178"/>
      <c r="F381" s="178"/>
      <c r="G381" s="340"/>
      <c r="H381" s="340"/>
      <c r="I381" s="179"/>
      <c r="J381" s="344"/>
      <c r="K381" s="345"/>
      <c r="L381" s="346"/>
      <c r="M381" s="347"/>
      <c r="N381" s="347"/>
      <c r="O381" s="132"/>
    </row>
    <row r="382" spans="2:15" ht="26.25" customHeight="1" x14ac:dyDescent="0.25">
      <c r="B382" s="130"/>
      <c r="C382" s="135"/>
      <c r="D382" s="177"/>
      <c r="E382" s="178"/>
      <c r="F382" s="178"/>
      <c r="G382" s="340"/>
      <c r="H382" s="340"/>
      <c r="I382" s="179"/>
      <c r="J382" s="344"/>
      <c r="K382" s="345"/>
      <c r="L382" s="346"/>
      <c r="M382" s="347"/>
      <c r="N382" s="347"/>
      <c r="O382" s="132"/>
    </row>
    <row r="383" spans="2:15" ht="26.25" customHeight="1" x14ac:dyDescent="0.25">
      <c r="B383" s="130"/>
      <c r="C383" s="135"/>
      <c r="D383" s="177"/>
      <c r="E383" s="178"/>
      <c r="F383" s="178"/>
      <c r="G383" s="340"/>
      <c r="H383" s="340"/>
      <c r="I383" s="179"/>
      <c r="J383" s="344"/>
      <c r="K383" s="345"/>
      <c r="L383" s="346"/>
      <c r="M383" s="347"/>
      <c r="N383" s="347"/>
      <c r="O383" s="132"/>
    </row>
    <row r="384" spans="2:15" ht="26.25" customHeight="1" x14ac:dyDescent="0.25">
      <c r="B384" s="130"/>
      <c r="C384" s="135"/>
      <c r="D384" s="177"/>
      <c r="E384" s="178"/>
      <c r="F384" s="178"/>
      <c r="G384" s="340"/>
      <c r="H384" s="340"/>
      <c r="I384" s="179"/>
      <c r="J384" s="344"/>
      <c r="K384" s="345"/>
      <c r="L384" s="346"/>
      <c r="M384" s="347"/>
      <c r="N384" s="347"/>
      <c r="O384" s="132"/>
    </row>
    <row r="385" spans="2:15" ht="26.25" customHeight="1" x14ac:dyDescent="0.25">
      <c r="B385" s="130"/>
      <c r="C385" s="135"/>
      <c r="D385" s="177"/>
      <c r="E385" s="178"/>
      <c r="F385" s="178"/>
      <c r="G385" s="340"/>
      <c r="H385" s="340"/>
      <c r="I385" s="179"/>
      <c r="J385" s="344"/>
      <c r="K385" s="345"/>
      <c r="L385" s="346"/>
      <c r="M385" s="347"/>
      <c r="N385" s="347"/>
      <c r="O385" s="132"/>
    </row>
    <row r="386" spans="2:15" ht="26.25" customHeight="1" x14ac:dyDescent="0.25">
      <c r="B386" s="130"/>
      <c r="C386" s="135"/>
      <c r="D386" s="177"/>
      <c r="E386" s="178"/>
      <c r="F386" s="178"/>
      <c r="G386" s="340"/>
      <c r="H386" s="340"/>
      <c r="I386" s="179"/>
      <c r="J386" s="344"/>
      <c r="K386" s="345"/>
      <c r="L386" s="346"/>
      <c r="M386" s="347"/>
      <c r="N386" s="347"/>
      <c r="O386" s="132"/>
    </row>
    <row r="387" spans="2:15" ht="26.25" customHeight="1" x14ac:dyDescent="0.25">
      <c r="B387" s="130"/>
      <c r="C387" s="135"/>
      <c r="D387" s="177"/>
      <c r="E387" s="178"/>
      <c r="F387" s="178"/>
      <c r="G387" s="340"/>
      <c r="H387" s="340"/>
      <c r="I387" s="179"/>
      <c r="J387" s="344"/>
      <c r="K387" s="345"/>
      <c r="L387" s="346"/>
      <c r="M387" s="347"/>
      <c r="N387" s="347"/>
      <c r="O387" s="132"/>
    </row>
    <row r="388" spans="2:15" ht="26.25" customHeight="1" x14ac:dyDescent="0.25">
      <c r="B388" s="130"/>
      <c r="C388" s="135"/>
      <c r="D388" s="177"/>
      <c r="E388" s="178"/>
      <c r="F388" s="178"/>
      <c r="G388" s="340"/>
      <c r="H388" s="340"/>
      <c r="I388" s="179"/>
      <c r="J388" s="344"/>
      <c r="K388" s="345"/>
      <c r="L388" s="346"/>
      <c r="M388" s="347"/>
      <c r="N388" s="347"/>
      <c r="O388" s="132"/>
    </row>
    <row r="389" spans="2:15" ht="26.25" customHeight="1" x14ac:dyDescent="0.25">
      <c r="B389" s="130"/>
      <c r="C389" s="135"/>
      <c r="D389" s="177"/>
      <c r="E389" s="178"/>
      <c r="F389" s="178"/>
      <c r="G389" s="340"/>
      <c r="H389" s="340"/>
      <c r="I389" s="179"/>
      <c r="J389" s="344"/>
      <c r="K389" s="345"/>
      <c r="L389" s="346"/>
      <c r="M389" s="347"/>
      <c r="N389" s="347"/>
      <c r="O389" s="132"/>
    </row>
    <row r="390" spans="2:15" ht="26.25" customHeight="1" x14ac:dyDescent="0.25">
      <c r="B390" s="130"/>
      <c r="C390" s="135"/>
      <c r="D390" s="177"/>
      <c r="E390" s="178"/>
      <c r="F390" s="178"/>
      <c r="G390" s="340"/>
      <c r="H390" s="340"/>
      <c r="I390" s="179"/>
      <c r="J390" s="344"/>
      <c r="K390" s="345"/>
      <c r="L390" s="346"/>
      <c r="M390" s="347"/>
      <c r="N390" s="347"/>
      <c r="O390" s="132"/>
    </row>
    <row r="391" spans="2:15" ht="26.25" customHeight="1" x14ac:dyDescent="0.25">
      <c r="B391" s="130"/>
      <c r="C391" s="135"/>
      <c r="D391" s="177"/>
      <c r="E391" s="178"/>
      <c r="F391" s="178"/>
      <c r="G391" s="340"/>
      <c r="H391" s="340"/>
      <c r="I391" s="179"/>
      <c r="J391" s="344"/>
      <c r="K391" s="345"/>
      <c r="L391" s="346"/>
      <c r="M391" s="347"/>
      <c r="N391" s="347"/>
      <c r="O391" s="132"/>
    </row>
    <row r="392" spans="2:15" ht="26.25" customHeight="1" x14ac:dyDescent="0.25">
      <c r="B392" s="130"/>
      <c r="C392" s="135"/>
      <c r="D392" s="177"/>
      <c r="E392" s="178"/>
      <c r="F392" s="178"/>
      <c r="G392" s="340"/>
      <c r="H392" s="340"/>
      <c r="I392" s="179"/>
      <c r="J392" s="344"/>
      <c r="K392" s="345"/>
      <c r="L392" s="346"/>
      <c r="M392" s="347"/>
      <c r="N392" s="347"/>
      <c r="O392" s="132"/>
    </row>
    <row r="393" spans="2:15" ht="26.25" customHeight="1" x14ac:dyDescent="0.25">
      <c r="B393" s="130"/>
      <c r="C393" s="135"/>
      <c r="D393" s="177"/>
      <c r="E393" s="178"/>
      <c r="F393" s="178"/>
      <c r="G393" s="340"/>
      <c r="H393" s="340"/>
      <c r="I393" s="179"/>
      <c r="J393" s="344"/>
      <c r="K393" s="345"/>
      <c r="L393" s="346"/>
      <c r="M393" s="347"/>
      <c r="N393" s="347"/>
      <c r="O393" s="132"/>
    </row>
    <row r="394" spans="2:15" ht="26.25" customHeight="1" x14ac:dyDescent="0.25">
      <c r="B394" s="130"/>
      <c r="C394" s="135"/>
      <c r="D394" s="177"/>
      <c r="E394" s="178"/>
      <c r="F394" s="178"/>
      <c r="G394" s="340"/>
      <c r="H394" s="340"/>
      <c r="I394" s="179"/>
      <c r="J394" s="344"/>
      <c r="K394" s="345"/>
      <c r="L394" s="346"/>
      <c r="M394" s="347"/>
      <c r="N394" s="347"/>
      <c r="O394" s="132"/>
    </row>
    <row r="395" spans="2:15" ht="26.25" customHeight="1" x14ac:dyDescent="0.25">
      <c r="B395" s="130"/>
      <c r="C395" s="135"/>
      <c r="D395" s="177"/>
      <c r="E395" s="178"/>
      <c r="F395" s="178"/>
      <c r="G395" s="340"/>
      <c r="H395" s="340"/>
      <c r="I395" s="179"/>
      <c r="J395" s="344"/>
      <c r="K395" s="345"/>
      <c r="L395" s="346"/>
      <c r="M395" s="347"/>
      <c r="N395" s="347"/>
      <c r="O395" s="132"/>
    </row>
    <row r="396" spans="2:15" ht="26.25" customHeight="1" x14ac:dyDescent="0.25">
      <c r="B396" s="130"/>
      <c r="C396" s="135"/>
      <c r="D396" s="177"/>
      <c r="E396" s="178"/>
      <c r="F396" s="178"/>
      <c r="G396" s="340"/>
      <c r="H396" s="340"/>
      <c r="I396" s="179"/>
      <c r="J396" s="344"/>
      <c r="K396" s="345"/>
      <c r="L396" s="346"/>
      <c r="M396" s="347"/>
      <c r="N396" s="347"/>
      <c r="O396" s="132"/>
    </row>
    <row r="397" spans="2:15" ht="26.25" customHeight="1" x14ac:dyDescent="0.25">
      <c r="B397" s="130"/>
      <c r="C397" s="135"/>
      <c r="D397" s="177"/>
      <c r="E397" s="178"/>
      <c r="F397" s="178"/>
      <c r="G397" s="340"/>
      <c r="H397" s="340"/>
      <c r="I397" s="179"/>
      <c r="J397" s="344"/>
      <c r="K397" s="345"/>
      <c r="L397" s="346"/>
      <c r="M397" s="347"/>
      <c r="N397" s="347"/>
      <c r="O397" s="132"/>
    </row>
    <row r="398" spans="2:15" ht="26.25" customHeight="1" x14ac:dyDescent="0.25">
      <c r="B398" s="130"/>
      <c r="C398" s="135"/>
      <c r="D398" s="177"/>
      <c r="E398" s="178"/>
      <c r="F398" s="178"/>
      <c r="G398" s="340"/>
      <c r="H398" s="340"/>
      <c r="I398" s="179"/>
      <c r="J398" s="344"/>
      <c r="K398" s="345"/>
      <c r="L398" s="346"/>
      <c r="M398" s="347"/>
      <c r="N398" s="347"/>
      <c r="O398" s="132"/>
    </row>
    <row r="399" spans="2:15" ht="26.25" customHeight="1" x14ac:dyDescent="0.25">
      <c r="B399" s="130"/>
      <c r="C399" s="135"/>
      <c r="D399" s="177"/>
      <c r="E399" s="178"/>
      <c r="F399" s="178"/>
      <c r="G399" s="340"/>
      <c r="H399" s="340"/>
      <c r="I399" s="179"/>
      <c r="J399" s="344"/>
      <c r="K399" s="345"/>
      <c r="L399" s="346"/>
      <c r="M399" s="347"/>
      <c r="N399" s="347"/>
      <c r="O399" s="132"/>
    </row>
    <row r="400" spans="2:15" ht="26.25" customHeight="1" x14ac:dyDescent="0.25">
      <c r="B400" s="130"/>
      <c r="C400" s="135"/>
      <c r="D400" s="177"/>
      <c r="E400" s="178"/>
      <c r="F400" s="178"/>
      <c r="G400" s="340"/>
      <c r="H400" s="340"/>
      <c r="I400" s="179"/>
      <c r="J400" s="344"/>
      <c r="K400" s="345"/>
      <c r="L400" s="346"/>
      <c r="M400" s="347"/>
      <c r="N400" s="347"/>
      <c r="O400" s="132"/>
    </row>
    <row r="401" spans="2:15" ht="26.25" customHeight="1" x14ac:dyDescent="0.25">
      <c r="B401" s="130"/>
      <c r="C401" s="135"/>
      <c r="D401" s="177"/>
      <c r="E401" s="178"/>
      <c r="F401" s="178"/>
      <c r="G401" s="340"/>
      <c r="H401" s="340"/>
      <c r="I401" s="179"/>
      <c r="J401" s="344"/>
      <c r="K401" s="345"/>
      <c r="L401" s="346"/>
      <c r="M401" s="347"/>
      <c r="N401" s="347"/>
      <c r="O401" s="132"/>
    </row>
    <row r="402" spans="2:15" ht="26.25" customHeight="1" x14ac:dyDescent="0.25">
      <c r="B402" s="130"/>
      <c r="C402" s="135"/>
      <c r="D402" s="177"/>
      <c r="E402" s="178"/>
      <c r="F402" s="178"/>
      <c r="G402" s="340"/>
      <c r="H402" s="340"/>
      <c r="I402" s="179"/>
      <c r="J402" s="344"/>
      <c r="K402" s="345"/>
      <c r="L402" s="346"/>
      <c r="M402" s="347"/>
      <c r="N402" s="347"/>
      <c r="O402" s="132"/>
    </row>
    <row r="403" spans="2:15" ht="26.25" customHeight="1" x14ac:dyDescent="0.25">
      <c r="B403" s="130"/>
      <c r="C403" s="135"/>
      <c r="D403" s="177"/>
      <c r="E403" s="178"/>
      <c r="F403" s="178"/>
      <c r="G403" s="340"/>
      <c r="H403" s="340"/>
      <c r="I403" s="179"/>
      <c r="J403" s="344"/>
      <c r="K403" s="345"/>
      <c r="L403" s="346"/>
      <c r="M403" s="347"/>
      <c r="N403" s="347"/>
      <c r="O403" s="132"/>
    </row>
    <row r="404" spans="2:15" ht="26.25" customHeight="1" x14ac:dyDescent="0.25">
      <c r="B404" s="130"/>
      <c r="C404" s="135"/>
      <c r="D404" s="177"/>
      <c r="E404" s="178"/>
      <c r="F404" s="178"/>
      <c r="G404" s="340"/>
      <c r="H404" s="340"/>
      <c r="I404" s="179"/>
      <c r="J404" s="344"/>
      <c r="K404" s="345"/>
      <c r="L404" s="346"/>
      <c r="M404" s="347"/>
      <c r="N404" s="347"/>
      <c r="O404" s="132"/>
    </row>
    <row r="405" spans="2:15" ht="26.25" customHeight="1" x14ac:dyDescent="0.25">
      <c r="B405" s="130"/>
      <c r="C405" s="135"/>
      <c r="D405" s="177"/>
      <c r="E405" s="178"/>
      <c r="F405" s="178"/>
      <c r="G405" s="340"/>
      <c r="H405" s="340"/>
      <c r="I405" s="179"/>
      <c r="J405" s="344"/>
      <c r="K405" s="345"/>
      <c r="L405" s="346"/>
      <c r="M405" s="347"/>
      <c r="N405" s="347"/>
      <c r="O405" s="132"/>
    </row>
    <row r="406" spans="2:15" ht="26.25" customHeight="1" x14ac:dyDescent="0.25">
      <c r="B406" s="130"/>
      <c r="C406" s="135"/>
      <c r="D406" s="177"/>
      <c r="E406" s="178"/>
      <c r="F406" s="178"/>
      <c r="G406" s="340"/>
      <c r="H406" s="340"/>
      <c r="I406" s="179"/>
      <c r="J406" s="344"/>
      <c r="K406" s="345"/>
      <c r="L406" s="346"/>
      <c r="M406" s="347"/>
      <c r="N406" s="347"/>
      <c r="O406" s="132"/>
    </row>
    <row r="407" spans="2:15" ht="26.25" customHeight="1" x14ac:dyDescent="0.25">
      <c r="B407" s="130"/>
      <c r="C407" s="135"/>
      <c r="D407" s="177"/>
      <c r="E407" s="178"/>
      <c r="F407" s="178"/>
      <c r="G407" s="340"/>
      <c r="H407" s="340"/>
      <c r="I407" s="179"/>
      <c r="J407" s="344"/>
      <c r="K407" s="345"/>
      <c r="L407" s="346"/>
      <c r="M407" s="347"/>
      <c r="N407" s="347"/>
      <c r="O407" s="132"/>
    </row>
    <row r="408" spans="2:15" ht="26.25" customHeight="1" x14ac:dyDescent="0.25">
      <c r="B408" s="130"/>
      <c r="C408" s="135"/>
      <c r="D408" s="177"/>
      <c r="E408" s="178"/>
      <c r="F408" s="178"/>
      <c r="G408" s="340"/>
      <c r="H408" s="340"/>
      <c r="I408" s="179"/>
      <c r="J408" s="344"/>
      <c r="K408" s="345"/>
      <c r="L408" s="346"/>
      <c r="M408" s="347"/>
      <c r="N408" s="347"/>
      <c r="O408" s="132"/>
    </row>
    <row r="409" spans="2:15" ht="26.25" customHeight="1" x14ac:dyDescent="0.25">
      <c r="B409" s="130"/>
      <c r="C409" s="135"/>
      <c r="D409" s="177"/>
      <c r="E409" s="178"/>
      <c r="F409" s="178"/>
      <c r="G409" s="340"/>
      <c r="H409" s="340"/>
      <c r="I409" s="179"/>
      <c r="J409" s="344"/>
      <c r="K409" s="345"/>
      <c r="L409" s="346"/>
      <c r="M409" s="347"/>
      <c r="N409" s="347"/>
      <c r="O409" s="132"/>
    </row>
    <row r="410" spans="2:15" ht="26.25" customHeight="1" x14ac:dyDescent="0.25">
      <c r="B410" s="130"/>
      <c r="C410" s="135"/>
      <c r="D410" s="177"/>
      <c r="E410" s="178"/>
      <c r="F410" s="178"/>
      <c r="G410" s="340"/>
      <c r="H410" s="340"/>
      <c r="I410" s="179"/>
      <c r="J410" s="344"/>
      <c r="K410" s="345"/>
      <c r="L410" s="346"/>
      <c r="M410" s="347"/>
      <c r="N410" s="347"/>
      <c r="O410" s="132"/>
    </row>
    <row r="411" spans="2:15" ht="26.25" customHeight="1" x14ac:dyDescent="0.25">
      <c r="B411" s="130"/>
      <c r="C411" s="135"/>
      <c r="D411" s="177"/>
      <c r="E411" s="178"/>
      <c r="F411" s="178"/>
      <c r="G411" s="340"/>
      <c r="H411" s="340"/>
      <c r="I411" s="179"/>
      <c r="J411" s="344"/>
      <c r="K411" s="345"/>
      <c r="L411" s="346"/>
      <c r="M411" s="347"/>
      <c r="N411" s="347"/>
      <c r="O411" s="132"/>
    </row>
    <row r="412" spans="2:15" ht="26.25" customHeight="1" x14ac:dyDescent="0.25">
      <c r="B412" s="130"/>
      <c r="C412" s="135"/>
      <c r="D412" s="177"/>
      <c r="E412" s="178"/>
      <c r="F412" s="178"/>
      <c r="G412" s="340"/>
      <c r="H412" s="340"/>
      <c r="I412" s="179"/>
      <c r="J412" s="344"/>
      <c r="K412" s="345"/>
      <c r="L412" s="346"/>
      <c r="M412" s="347"/>
      <c r="N412" s="347"/>
      <c r="O412" s="132"/>
    </row>
    <row r="413" spans="2:15" ht="26.25" customHeight="1" x14ac:dyDescent="0.25">
      <c r="B413" s="130"/>
      <c r="C413" s="135"/>
      <c r="D413" s="177"/>
      <c r="E413" s="178"/>
      <c r="F413" s="178"/>
      <c r="G413" s="340"/>
      <c r="H413" s="340"/>
      <c r="I413" s="179"/>
      <c r="J413" s="344"/>
      <c r="K413" s="345"/>
      <c r="L413" s="346"/>
      <c r="M413" s="347"/>
      <c r="N413" s="347"/>
      <c r="O413" s="132"/>
    </row>
    <row r="414" spans="2:15" ht="26.25" customHeight="1" x14ac:dyDescent="0.25">
      <c r="B414" s="130"/>
      <c r="C414" s="135"/>
      <c r="D414" s="177"/>
      <c r="E414" s="178"/>
      <c r="F414" s="178"/>
      <c r="G414" s="340"/>
      <c r="H414" s="340"/>
      <c r="I414" s="179"/>
      <c r="J414" s="344"/>
      <c r="K414" s="345"/>
      <c r="L414" s="346"/>
      <c r="M414" s="347"/>
      <c r="N414" s="347"/>
      <c r="O414" s="132"/>
    </row>
    <row r="415" spans="2:15" ht="26.25" customHeight="1" x14ac:dyDescent="0.25">
      <c r="B415" s="130"/>
      <c r="C415" s="135"/>
      <c r="D415" s="177"/>
      <c r="E415" s="178"/>
      <c r="F415" s="178"/>
      <c r="G415" s="340"/>
      <c r="H415" s="340"/>
      <c r="I415" s="179"/>
      <c r="J415" s="344"/>
      <c r="K415" s="345"/>
      <c r="L415" s="346"/>
      <c r="M415" s="347"/>
      <c r="N415" s="347"/>
      <c r="O415" s="132"/>
    </row>
    <row r="416" spans="2:15" ht="26.25" customHeight="1" x14ac:dyDescent="0.25">
      <c r="B416" s="130"/>
      <c r="C416" s="135"/>
      <c r="D416" s="177"/>
      <c r="E416" s="178"/>
      <c r="F416" s="178"/>
      <c r="G416" s="340"/>
      <c r="H416" s="340"/>
      <c r="I416" s="179"/>
      <c r="J416" s="344"/>
      <c r="K416" s="345"/>
      <c r="L416" s="346"/>
      <c r="M416" s="347"/>
      <c r="N416" s="347"/>
      <c r="O416" s="132"/>
    </row>
    <row r="417" spans="2:15" ht="26.25" customHeight="1" x14ac:dyDescent="0.25">
      <c r="B417" s="130"/>
      <c r="C417" s="135"/>
      <c r="D417" s="177"/>
      <c r="E417" s="178"/>
      <c r="F417" s="178"/>
      <c r="G417" s="340"/>
      <c r="H417" s="340"/>
      <c r="I417" s="179"/>
      <c r="J417" s="344"/>
      <c r="K417" s="345"/>
      <c r="L417" s="346"/>
      <c r="M417" s="347"/>
      <c r="N417" s="347"/>
      <c r="O417" s="132"/>
    </row>
    <row r="418" spans="2:15" ht="26.25" customHeight="1" x14ac:dyDescent="0.25">
      <c r="B418" s="130"/>
      <c r="C418" s="135"/>
      <c r="D418" s="177"/>
      <c r="E418" s="178"/>
      <c r="F418" s="178"/>
      <c r="G418" s="340"/>
      <c r="H418" s="340"/>
      <c r="I418" s="179"/>
      <c r="J418" s="344"/>
      <c r="K418" s="345"/>
      <c r="L418" s="346"/>
      <c r="M418" s="347"/>
      <c r="N418" s="347"/>
      <c r="O418" s="132"/>
    </row>
    <row r="419" spans="2:15" ht="26.25" customHeight="1" x14ac:dyDescent="0.25">
      <c r="B419" s="130"/>
      <c r="C419" s="135"/>
      <c r="D419" s="177"/>
      <c r="E419" s="178"/>
      <c r="F419" s="178"/>
      <c r="G419" s="340"/>
      <c r="H419" s="340"/>
      <c r="I419" s="179"/>
      <c r="J419" s="344"/>
      <c r="K419" s="345"/>
      <c r="L419" s="346"/>
      <c r="M419" s="347"/>
      <c r="N419" s="347"/>
      <c r="O419" s="132"/>
    </row>
    <row r="420" spans="2:15" ht="26.25" customHeight="1" x14ac:dyDescent="0.25">
      <c r="B420" s="130"/>
      <c r="C420" s="135"/>
      <c r="D420" s="177"/>
      <c r="E420" s="178"/>
      <c r="F420" s="178"/>
      <c r="G420" s="340"/>
      <c r="H420" s="340"/>
      <c r="I420" s="179"/>
      <c r="J420" s="344"/>
      <c r="K420" s="345"/>
      <c r="L420" s="346"/>
      <c r="M420" s="347"/>
      <c r="N420" s="347"/>
      <c r="O420" s="132"/>
    </row>
    <row r="421" spans="2:15" ht="26.25" customHeight="1" x14ac:dyDescent="0.25">
      <c r="B421" s="130"/>
      <c r="C421" s="135"/>
      <c r="D421" s="177"/>
      <c r="E421" s="178"/>
      <c r="F421" s="178"/>
      <c r="G421" s="340"/>
      <c r="H421" s="340"/>
      <c r="I421" s="179"/>
      <c r="J421" s="344"/>
      <c r="K421" s="345"/>
      <c r="L421" s="346"/>
      <c r="M421" s="347"/>
      <c r="N421" s="347"/>
      <c r="O421" s="132"/>
    </row>
    <row r="422" spans="2:15" ht="26.25" customHeight="1" x14ac:dyDescent="0.25">
      <c r="B422" s="130"/>
      <c r="C422" s="135"/>
      <c r="D422" s="177"/>
      <c r="E422" s="178"/>
      <c r="F422" s="178"/>
      <c r="G422" s="340"/>
      <c r="H422" s="340"/>
      <c r="I422" s="179"/>
      <c r="J422" s="344"/>
      <c r="K422" s="345"/>
      <c r="L422" s="346"/>
      <c r="M422" s="347"/>
      <c r="N422" s="347"/>
      <c r="O422" s="132"/>
    </row>
    <row r="423" spans="2:15" ht="26.25" customHeight="1" x14ac:dyDescent="0.25">
      <c r="B423" s="130"/>
      <c r="C423" s="135"/>
      <c r="D423" s="177"/>
      <c r="E423" s="178"/>
      <c r="F423" s="178"/>
      <c r="G423" s="340"/>
      <c r="H423" s="340"/>
      <c r="I423" s="179"/>
      <c r="J423" s="344"/>
      <c r="K423" s="345"/>
      <c r="L423" s="346"/>
      <c r="M423" s="347"/>
      <c r="N423" s="347"/>
      <c r="O423" s="132"/>
    </row>
    <row r="424" spans="2:15" ht="26.25" customHeight="1" x14ac:dyDescent="0.25">
      <c r="B424" s="130"/>
      <c r="C424" s="135"/>
      <c r="D424" s="177"/>
      <c r="E424" s="178"/>
      <c r="F424" s="178"/>
      <c r="G424" s="340"/>
      <c r="H424" s="340"/>
      <c r="I424" s="179"/>
      <c r="J424" s="344"/>
      <c r="K424" s="345"/>
      <c r="L424" s="346"/>
      <c r="M424" s="347"/>
      <c r="N424" s="347"/>
      <c r="O424" s="132"/>
    </row>
    <row r="425" spans="2:15" ht="26.25" customHeight="1" x14ac:dyDescent="0.25">
      <c r="B425" s="130"/>
      <c r="C425" s="135"/>
      <c r="D425" s="177"/>
      <c r="E425" s="178"/>
      <c r="F425" s="178"/>
      <c r="G425" s="340"/>
      <c r="H425" s="340"/>
      <c r="I425" s="179"/>
      <c r="J425" s="344"/>
      <c r="K425" s="345"/>
      <c r="L425" s="346"/>
      <c r="M425" s="347"/>
      <c r="N425" s="347"/>
      <c r="O425" s="132"/>
    </row>
    <row r="426" spans="2:15" ht="26.25" customHeight="1" x14ac:dyDescent="0.25">
      <c r="B426" s="130"/>
      <c r="C426" s="135"/>
      <c r="D426" s="177"/>
      <c r="E426" s="178"/>
      <c r="F426" s="178"/>
      <c r="G426" s="340"/>
      <c r="H426" s="340"/>
      <c r="I426" s="179"/>
      <c r="J426" s="344"/>
      <c r="K426" s="345"/>
      <c r="L426" s="346"/>
      <c r="M426" s="347"/>
      <c r="N426" s="347"/>
      <c r="O426" s="132"/>
    </row>
    <row r="427" spans="2:15" ht="26.25" customHeight="1" x14ac:dyDescent="0.25">
      <c r="B427" s="130"/>
      <c r="C427" s="135"/>
      <c r="D427" s="177"/>
      <c r="E427" s="178"/>
      <c r="F427" s="178"/>
      <c r="G427" s="340"/>
      <c r="H427" s="340"/>
      <c r="I427" s="179"/>
      <c r="J427" s="344"/>
      <c r="K427" s="345"/>
      <c r="L427" s="346"/>
      <c r="M427" s="347"/>
      <c r="N427" s="347"/>
      <c r="O427" s="132"/>
    </row>
    <row r="428" spans="2:15" ht="26.25" customHeight="1" x14ac:dyDescent="0.25">
      <c r="B428" s="130"/>
      <c r="C428" s="135"/>
      <c r="D428" s="177"/>
      <c r="E428" s="178"/>
      <c r="F428" s="178"/>
      <c r="G428" s="340"/>
      <c r="H428" s="340"/>
      <c r="I428" s="179"/>
      <c r="J428" s="344"/>
      <c r="K428" s="345"/>
      <c r="L428" s="346"/>
      <c r="M428" s="347"/>
      <c r="N428" s="347"/>
      <c r="O428" s="132"/>
    </row>
    <row r="429" spans="2:15" ht="26.25" customHeight="1" x14ac:dyDescent="0.25">
      <c r="B429" s="130"/>
      <c r="C429" s="135"/>
      <c r="D429" s="177"/>
      <c r="E429" s="178"/>
      <c r="F429" s="178"/>
      <c r="G429" s="340"/>
      <c r="H429" s="340"/>
      <c r="I429" s="179"/>
      <c r="J429" s="344"/>
      <c r="K429" s="345"/>
      <c r="L429" s="346"/>
      <c r="M429" s="347"/>
      <c r="N429" s="347"/>
      <c r="O429" s="132"/>
    </row>
    <row r="430" spans="2:15" ht="26.25" customHeight="1" x14ac:dyDescent="0.25">
      <c r="B430" s="130"/>
      <c r="C430" s="135"/>
      <c r="D430" s="177"/>
      <c r="E430" s="178"/>
      <c r="F430" s="178"/>
      <c r="G430" s="340"/>
      <c r="H430" s="340"/>
      <c r="I430" s="179"/>
      <c r="J430" s="344"/>
      <c r="K430" s="345"/>
      <c r="L430" s="346"/>
      <c r="M430" s="347"/>
      <c r="N430" s="347"/>
      <c r="O430" s="132"/>
    </row>
    <row r="431" spans="2:15" ht="26.25" customHeight="1" x14ac:dyDescent="0.25">
      <c r="B431" s="130"/>
      <c r="C431" s="135"/>
      <c r="D431" s="177"/>
      <c r="E431" s="178"/>
      <c r="F431" s="178"/>
      <c r="G431" s="340"/>
      <c r="H431" s="340"/>
      <c r="I431" s="179"/>
      <c r="J431" s="344"/>
      <c r="K431" s="345"/>
      <c r="L431" s="346"/>
      <c r="M431" s="347"/>
      <c r="N431" s="347"/>
      <c r="O431" s="132"/>
    </row>
    <row r="432" spans="2:15" ht="26.25" customHeight="1" x14ac:dyDescent="0.25">
      <c r="B432" s="130"/>
      <c r="C432" s="135"/>
      <c r="D432" s="177"/>
      <c r="E432" s="178"/>
      <c r="F432" s="178"/>
      <c r="G432" s="340"/>
      <c r="H432" s="340"/>
      <c r="I432" s="179"/>
      <c r="J432" s="344"/>
      <c r="K432" s="345"/>
      <c r="L432" s="346"/>
      <c r="M432" s="347"/>
      <c r="N432" s="347"/>
      <c r="O432" s="132"/>
    </row>
    <row r="433" spans="2:15" ht="26.25" customHeight="1" x14ac:dyDescent="0.25">
      <c r="B433" s="130"/>
      <c r="C433" s="135"/>
      <c r="D433" s="177"/>
      <c r="E433" s="178"/>
      <c r="F433" s="178"/>
      <c r="G433" s="340"/>
      <c r="H433" s="340"/>
      <c r="I433" s="179"/>
      <c r="J433" s="344"/>
      <c r="K433" s="345"/>
      <c r="L433" s="346"/>
      <c r="M433" s="347"/>
      <c r="N433" s="347"/>
      <c r="O433" s="132"/>
    </row>
    <row r="434" spans="2:15" ht="26.25" customHeight="1" x14ac:dyDescent="0.25">
      <c r="B434" s="130"/>
      <c r="C434" s="135"/>
      <c r="D434" s="177"/>
      <c r="E434" s="178"/>
      <c r="F434" s="178"/>
      <c r="G434" s="340"/>
      <c r="H434" s="340"/>
      <c r="I434" s="179"/>
      <c r="J434" s="344"/>
      <c r="K434" s="345"/>
      <c r="L434" s="346"/>
      <c r="M434" s="347"/>
      <c r="N434" s="347"/>
      <c r="O434" s="132"/>
    </row>
    <row r="435" spans="2:15" ht="26.25" customHeight="1" x14ac:dyDescent="0.25">
      <c r="B435" s="130"/>
      <c r="C435" s="135"/>
      <c r="D435" s="177"/>
      <c r="E435" s="178"/>
      <c r="F435" s="178"/>
      <c r="G435" s="340"/>
      <c r="H435" s="340"/>
      <c r="I435" s="179"/>
      <c r="J435" s="344"/>
      <c r="K435" s="345"/>
      <c r="L435" s="346"/>
      <c r="M435" s="347"/>
      <c r="N435" s="347"/>
      <c r="O435" s="132"/>
    </row>
    <row r="436" spans="2:15" ht="26.25" customHeight="1" x14ac:dyDescent="0.25">
      <c r="B436" s="130"/>
      <c r="C436" s="135"/>
      <c r="D436" s="177"/>
      <c r="E436" s="178"/>
      <c r="F436" s="178"/>
      <c r="G436" s="340"/>
      <c r="H436" s="340"/>
      <c r="I436" s="179"/>
      <c r="J436" s="344"/>
      <c r="K436" s="345"/>
      <c r="L436" s="346"/>
      <c r="M436" s="347"/>
      <c r="N436" s="347"/>
      <c r="O436" s="132"/>
    </row>
    <row r="437" spans="2:15" ht="26.25" customHeight="1" x14ac:dyDescent="0.25">
      <c r="B437" s="130"/>
      <c r="C437" s="135"/>
      <c r="D437" s="177"/>
      <c r="E437" s="178"/>
      <c r="F437" s="178"/>
      <c r="G437" s="340"/>
      <c r="H437" s="340"/>
      <c r="I437" s="179"/>
      <c r="J437" s="344"/>
      <c r="K437" s="345"/>
      <c r="L437" s="346"/>
      <c r="M437" s="347"/>
      <c r="N437" s="347"/>
      <c r="O437" s="132"/>
    </row>
    <row r="438" spans="2:15" ht="26.25" customHeight="1" x14ac:dyDescent="0.25">
      <c r="B438" s="130"/>
      <c r="C438" s="135"/>
      <c r="D438" s="177"/>
      <c r="E438" s="178"/>
      <c r="F438" s="178"/>
      <c r="G438" s="340"/>
      <c r="H438" s="340"/>
      <c r="I438" s="179"/>
      <c r="J438" s="344"/>
      <c r="K438" s="345"/>
      <c r="L438" s="346"/>
      <c r="M438" s="347"/>
      <c r="N438" s="347"/>
      <c r="O438" s="132"/>
    </row>
    <row r="439" spans="2:15" ht="26.25" customHeight="1" x14ac:dyDescent="0.25">
      <c r="B439" s="130"/>
      <c r="C439" s="135"/>
      <c r="D439" s="177"/>
      <c r="E439" s="178"/>
      <c r="F439" s="178"/>
      <c r="G439" s="340"/>
      <c r="H439" s="340"/>
      <c r="I439" s="179"/>
      <c r="J439" s="344"/>
      <c r="K439" s="345"/>
      <c r="L439" s="346"/>
      <c r="M439" s="347"/>
      <c r="N439" s="347"/>
      <c r="O439" s="132"/>
    </row>
    <row r="440" spans="2:15" ht="26.25" customHeight="1" x14ac:dyDescent="0.25">
      <c r="B440" s="130"/>
      <c r="C440" s="135"/>
      <c r="D440" s="177"/>
      <c r="E440" s="178"/>
      <c r="F440" s="178"/>
      <c r="G440" s="340"/>
      <c r="H440" s="340"/>
      <c r="I440" s="179"/>
      <c r="J440" s="344"/>
      <c r="K440" s="345"/>
      <c r="L440" s="346"/>
      <c r="M440" s="347"/>
      <c r="N440" s="347"/>
      <c r="O440" s="132"/>
    </row>
    <row r="441" spans="2:15" ht="26.25" customHeight="1" x14ac:dyDescent="0.25">
      <c r="B441" s="130"/>
      <c r="C441" s="135"/>
      <c r="D441" s="177"/>
      <c r="E441" s="178"/>
      <c r="F441" s="178"/>
      <c r="G441" s="340"/>
      <c r="H441" s="340"/>
      <c r="I441" s="179"/>
      <c r="J441" s="344"/>
      <c r="K441" s="345"/>
      <c r="L441" s="346"/>
      <c r="M441" s="347"/>
      <c r="N441" s="347"/>
      <c r="O441" s="132"/>
    </row>
    <row r="442" spans="2:15" ht="26.25" customHeight="1" x14ac:dyDescent="0.25">
      <c r="B442" s="130"/>
      <c r="C442" s="135"/>
      <c r="D442" s="177"/>
      <c r="E442" s="178"/>
      <c r="F442" s="178"/>
      <c r="G442" s="340"/>
      <c r="H442" s="340"/>
      <c r="I442" s="179"/>
      <c r="J442" s="344"/>
      <c r="K442" s="345"/>
      <c r="L442" s="346"/>
      <c r="M442" s="347"/>
      <c r="N442" s="347"/>
      <c r="O442" s="132"/>
    </row>
    <row r="443" spans="2:15" ht="26.25" customHeight="1" x14ac:dyDescent="0.25">
      <c r="B443" s="130"/>
      <c r="C443" s="135"/>
      <c r="D443" s="177"/>
      <c r="E443" s="178"/>
      <c r="F443" s="178"/>
      <c r="G443" s="340"/>
      <c r="H443" s="340"/>
      <c r="I443" s="179"/>
      <c r="J443" s="344"/>
      <c r="K443" s="345"/>
      <c r="L443" s="346"/>
      <c r="M443" s="347"/>
      <c r="N443" s="347"/>
      <c r="O443" s="132"/>
    </row>
    <row r="444" spans="2:15" ht="26.25" customHeight="1" x14ac:dyDescent="0.25">
      <c r="B444" s="130"/>
      <c r="C444" s="135"/>
      <c r="D444" s="177"/>
      <c r="E444" s="178"/>
      <c r="F444" s="178"/>
      <c r="G444" s="340"/>
      <c r="H444" s="340"/>
      <c r="I444" s="179"/>
      <c r="J444" s="344"/>
      <c r="K444" s="345"/>
      <c r="L444" s="346"/>
      <c r="M444" s="347"/>
      <c r="N444" s="347"/>
      <c r="O444" s="132"/>
    </row>
    <row r="445" spans="2:15" ht="26.25" customHeight="1" x14ac:dyDescent="0.25">
      <c r="B445" s="130"/>
      <c r="C445" s="135"/>
      <c r="D445" s="177"/>
      <c r="E445" s="178"/>
      <c r="F445" s="178"/>
      <c r="G445" s="340"/>
      <c r="H445" s="340"/>
      <c r="I445" s="179"/>
      <c r="J445" s="344"/>
      <c r="K445" s="345"/>
      <c r="L445" s="346"/>
      <c r="M445" s="347"/>
      <c r="N445" s="347"/>
      <c r="O445" s="132"/>
    </row>
    <row r="446" spans="2:15" ht="26.25" customHeight="1" x14ac:dyDescent="0.25">
      <c r="B446" s="130"/>
      <c r="C446" s="135"/>
      <c r="D446" s="177"/>
      <c r="E446" s="178"/>
      <c r="F446" s="178"/>
      <c r="G446" s="340"/>
      <c r="H446" s="340"/>
      <c r="I446" s="179"/>
      <c r="J446" s="344"/>
      <c r="K446" s="345"/>
      <c r="L446" s="346"/>
      <c r="M446" s="347"/>
      <c r="N446" s="347"/>
      <c r="O446" s="132"/>
    </row>
    <row r="447" spans="2:15" ht="26.25" customHeight="1" x14ac:dyDescent="0.25">
      <c r="B447" s="130"/>
      <c r="C447" s="135"/>
      <c r="D447" s="177"/>
      <c r="E447" s="178"/>
      <c r="F447" s="178"/>
      <c r="G447" s="340"/>
      <c r="H447" s="340"/>
      <c r="I447" s="179"/>
      <c r="J447" s="344"/>
      <c r="K447" s="345"/>
      <c r="L447" s="346"/>
      <c r="M447" s="347"/>
      <c r="N447" s="347"/>
      <c r="O447" s="132"/>
    </row>
    <row r="448" spans="2:15" ht="26.25" customHeight="1" x14ac:dyDescent="0.25">
      <c r="B448" s="130"/>
      <c r="C448" s="135"/>
      <c r="D448" s="177"/>
      <c r="E448" s="178"/>
      <c r="F448" s="178"/>
      <c r="G448" s="340"/>
      <c r="H448" s="340"/>
      <c r="I448" s="179"/>
      <c r="J448" s="344"/>
      <c r="K448" s="345"/>
      <c r="L448" s="346"/>
      <c r="M448" s="347"/>
      <c r="N448" s="347"/>
      <c r="O448" s="132"/>
    </row>
    <row r="449" spans="2:15" ht="26.25" customHeight="1" x14ac:dyDescent="0.25">
      <c r="B449" s="130"/>
      <c r="C449" s="135"/>
      <c r="D449" s="177"/>
      <c r="E449" s="178"/>
      <c r="F449" s="178"/>
      <c r="G449" s="340"/>
      <c r="H449" s="340"/>
      <c r="I449" s="179"/>
      <c r="J449" s="344"/>
      <c r="K449" s="345"/>
      <c r="L449" s="346"/>
      <c r="M449" s="347"/>
      <c r="N449" s="347"/>
      <c r="O449" s="132"/>
    </row>
    <row r="450" spans="2:15" ht="26.25" customHeight="1" x14ac:dyDescent="0.25">
      <c r="B450" s="130"/>
      <c r="C450" s="135"/>
      <c r="D450" s="177"/>
      <c r="E450" s="178"/>
      <c r="F450" s="178"/>
      <c r="G450" s="340"/>
      <c r="H450" s="340"/>
      <c r="I450" s="179"/>
      <c r="J450" s="344"/>
      <c r="K450" s="345"/>
      <c r="L450" s="346"/>
      <c r="M450" s="347"/>
      <c r="N450" s="347"/>
      <c r="O450" s="132"/>
    </row>
    <row r="451" spans="2:15" ht="26.25" customHeight="1" x14ac:dyDescent="0.25">
      <c r="B451" s="130"/>
      <c r="C451" s="135"/>
      <c r="D451" s="177"/>
      <c r="E451" s="178"/>
      <c r="F451" s="178"/>
      <c r="G451" s="340"/>
      <c r="H451" s="340"/>
      <c r="I451" s="179"/>
      <c r="J451" s="344"/>
      <c r="K451" s="345"/>
      <c r="L451" s="346"/>
      <c r="M451" s="347"/>
      <c r="N451" s="347"/>
      <c r="O451" s="132"/>
    </row>
    <row r="452" spans="2:15" ht="26.25" customHeight="1" x14ac:dyDescent="0.25">
      <c r="B452" s="130"/>
      <c r="C452" s="135"/>
      <c r="D452" s="177"/>
      <c r="E452" s="178"/>
      <c r="F452" s="178"/>
      <c r="G452" s="340"/>
      <c r="H452" s="340"/>
      <c r="I452" s="179"/>
      <c r="J452" s="344"/>
      <c r="K452" s="345"/>
      <c r="L452" s="346"/>
      <c r="M452" s="347"/>
      <c r="N452" s="347"/>
      <c r="O452" s="132"/>
    </row>
    <row r="453" spans="2:15" ht="26.25" customHeight="1" x14ac:dyDescent="0.25">
      <c r="B453" s="130"/>
      <c r="C453" s="135"/>
      <c r="D453" s="177"/>
      <c r="E453" s="178"/>
      <c r="F453" s="178"/>
      <c r="G453" s="340"/>
      <c r="H453" s="340"/>
      <c r="I453" s="179"/>
      <c r="J453" s="344"/>
      <c r="K453" s="345"/>
      <c r="L453" s="346"/>
      <c r="M453" s="347"/>
      <c r="N453" s="347"/>
      <c r="O453" s="132"/>
    </row>
    <row r="454" spans="2:15" ht="26.25" customHeight="1" x14ac:dyDescent="0.25">
      <c r="B454" s="130"/>
      <c r="C454" s="135"/>
      <c r="D454" s="177"/>
      <c r="E454" s="178"/>
      <c r="F454" s="178"/>
      <c r="G454" s="340"/>
      <c r="H454" s="340"/>
      <c r="I454" s="179"/>
      <c r="J454" s="344"/>
      <c r="K454" s="345"/>
      <c r="L454" s="346"/>
      <c r="M454" s="347"/>
      <c r="N454" s="347"/>
      <c r="O454" s="132"/>
    </row>
    <row r="455" spans="2:15" ht="26.25" customHeight="1" x14ac:dyDescent="0.25">
      <c r="B455" s="130"/>
      <c r="C455" s="135"/>
      <c r="D455" s="177"/>
      <c r="E455" s="178"/>
      <c r="F455" s="178"/>
      <c r="G455" s="340"/>
      <c r="H455" s="340"/>
      <c r="I455" s="179"/>
      <c r="J455" s="344"/>
      <c r="K455" s="345"/>
      <c r="L455" s="346"/>
      <c r="M455" s="347"/>
      <c r="N455" s="347"/>
      <c r="O455" s="132"/>
    </row>
    <row r="456" spans="2:15" ht="26.25" customHeight="1" x14ac:dyDescent="0.25">
      <c r="B456" s="130"/>
      <c r="C456" s="135"/>
      <c r="D456" s="177"/>
      <c r="E456" s="178"/>
      <c r="F456" s="178"/>
      <c r="G456" s="340"/>
      <c r="H456" s="340"/>
      <c r="I456" s="179"/>
      <c r="J456" s="344"/>
      <c r="K456" s="345"/>
      <c r="L456" s="346"/>
      <c r="M456" s="347"/>
      <c r="N456" s="347"/>
      <c r="O456" s="132"/>
    </row>
    <row r="457" spans="2:15" ht="26.25" customHeight="1" x14ac:dyDescent="0.25">
      <c r="B457" s="130"/>
      <c r="C457" s="135"/>
      <c r="D457" s="177"/>
      <c r="E457" s="178"/>
      <c r="F457" s="178"/>
      <c r="G457" s="340"/>
      <c r="H457" s="340"/>
      <c r="I457" s="179"/>
      <c r="J457" s="344"/>
      <c r="K457" s="345"/>
      <c r="L457" s="346"/>
      <c r="M457" s="347"/>
      <c r="N457" s="347"/>
      <c r="O457" s="132"/>
    </row>
    <row r="458" spans="2:15" ht="26.25" customHeight="1" x14ac:dyDescent="0.25">
      <c r="B458" s="130"/>
      <c r="C458" s="135"/>
      <c r="D458" s="177"/>
      <c r="E458" s="178"/>
      <c r="F458" s="178"/>
      <c r="G458" s="340"/>
      <c r="H458" s="340"/>
      <c r="I458" s="179"/>
      <c r="J458" s="344"/>
      <c r="K458" s="345"/>
      <c r="L458" s="346"/>
      <c r="M458" s="347"/>
      <c r="N458" s="347"/>
      <c r="O458" s="132"/>
    </row>
    <row r="459" spans="2:15" ht="26.25" customHeight="1" x14ac:dyDescent="0.25">
      <c r="B459" s="130"/>
      <c r="C459" s="135"/>
      <c r="D459" s="177"/>
      <c r="E459" s="178"/>
      <c r="F459" s="178"/>
      <c r="G459" s="340"/>
      <c r="H459" s="340"/>
      <c r="I459" s="179"/>
      <c r="J459" s="344"/>
      <c r="K459" s="345"/>
      <c r="L459" s="346"/>
      <c r="M459" s="347"/>
      <c r="N459" s="347"/>
      <c r="O459" s="132"/>
    </row>
    <row r="460" spans="2:15" ht="26.25" customHeight="1" x14ac:dyDescent="0.25">
      <c r="B460" s="130"/>
      <c r="C460" s="135"/>
      <c r="D460" s="177"/>
      <c r="E460" s="178"/>
      <c r="F460" s="178"/>
      <c r="G460" s="340"/>
      <c r="H460" s="340"/>
      <c r="I460" s="179"/>
      <c r="J460" s="344"/>
      <c r="K460" s="345"/>
      <c r="L460" s="346"/>
      <c r="M460" s="347"/>
      <c r="N460" s="347"/>
      <c r="O460" s="132"/>
    </row>
    <row r="461" spans="2:15" ht="26.25" customHeight="1" x14ac:dyDescent="0.25">
      <c r="B461" s="130"/>
      <c r="C461" s="135"/>
      <c r="D461" s="177"/>
      <c r="E461" s="178"/>
      <c r="F461" s="178"/>
      <c r="G461" s="340"/>
      <c r="H461" s="340"/>
      <c r="I461" s="179"/>
      <c r="J461" s="344"/>
      <c r="K461" s="345"/>
      <c r="L461" s="346"/>
      <c r="M461" s="347"/>
      <c r="N461" s="347"/>
      <c r="O461" s="132"/>
    </row>
    <row r="462" spans="2:15" ht="26.25" customHeight="1" x14ac:dyDescent="0.25">
      <c r="B462" s="130"/>
      <c r="C462" s="135"/>
      <c r="D462" s="177"/>
      <c r="E462" s="178"/>
      <c r="F462" s="178"/>
      <c r="G462" s="340"/>
      <c r="H462" s="340"/>
      <c r="I462" s="179"/>
      <c r="J462" s="344"/>
      <c r="K462" s="345"/>
      <c r="L462" s="346"/>
      <c r="M462" s="347"/>
      <c r="N462" s="347"/>
      <c r="O462" s="132"/>
    </row>
    <row r="463" spans="2:15" ht="26.25" customHeight="1" x14ac:dyDescent="0.25">
      <c r="B463" s="130"/>
      <c r="C463" s="135"/>
      <c r="D463" s="177"/>
      <c r="E463" s="178"/>
      <c r="F463" s="178"/>
      <c r="G463" s="340"/>
      <c r="H463" s="340"/>
      <c r="I463" s="179"/>
      <c r="J463" s="344"/>
      <c r="K463" s="345"/>
      <c r="L463" s="346"/>
      <c r="M463" s="347"/>
      <c r="N463" s="347"/>
      <c r="O463" s="132"/>
    </row>
    <row r="464" spans="2:15" ht="26.25" customHeight="1" x14ac:dyDescent="0.25">
      <c r="B464" s="130"/>
      <c r="C464" s="135"/>
      <c r="D464" s="177"/>
      <c r="E464" s="178"/>
      <c r="F464" s="178"/>
      <c r="G464" s="340"/>
      <c r="H464" s="340"/>
      <c r="I464" s="179"/>
      <c r="J464" s="344"/>
      <c r="K464" s="345"/>
      <c r="L464" s="346"/>
      <c r="M464" s="347"/>
      <c r="N464" s="347"/>
      <c r="O464" s="132"/>
    </row>
    <row r="465" spans="2:15" ht="26.25" customHeight="1" x14ac:dyDescent="0.25">
      <c r="B465" s="130"/>
      <c r="C465" s="135"/>
      <c r="D465" s="177"/>
      <c r="E465" s="178"/>
      <c r="F465" s="178"/>
      <c r="G465" s="340"/>
      <c r="H465" s="340"/>
      <c r="I465" s="179"/>
      <c r="J465" s="344"/>
      <c r="K465" s="345"/>
      <c r="L465" s="346"/>
      <c r="M465" s="347"/>
      <c r="N465" s="347"/>
      <c r="O465" s="132"/>
    </row>
    <row r="466" spans="2:15" ht="26.25" customHeight="1" x14ac:dyDescent="0.25">
      <c r="B466" s="130"/>
      <c r="C466" s="135"/>
      <c r="D466" s="177"/>
      <c r="E466" s="178"/>
      <c r="F466" s="178"/>
      <c r="G466" s="340"/>
      <c r="H466" s="340"/>
      <c r="I466" s="179"/>
      <c r="J466" s="344"/>
      <c r="K466" s="345"/>
      <c r="L466" s="346"/>
      <c r="M466" s="347"/>
      <c r="N466" s="347"/>
      <c r="O466" s="132"/>
    </row>
    <row r="467" spans="2:15" ht="26.25" customHeight="1" x14ac:dyDescent="0.25">
      <c r="B467" s="130"/>
      <c r="C467" s="135"/>
      <c r="D467" s="177"/>
      <c r="E467" s="178"/>
      <c r="F467" s="178"/>
      <c r="G467" s="340"/>
      <c r="H467" s="340"/>
      <c r="I467" s="179"/>
      <c r="J467" s="344"/>
      <c r="K467" s="345"/>
      <c r="L467" s="346"/>
      <c r="M467" s="347"/>
      <c r="N467" s="347"/>
      <c r="O467" s="132"/>
    </row>
    <row r="468" spans="2:15" ht="26.25" customHeight="1" x14ac:dyDescent="0.25">
      <c r="B468" s="130"/>
      <c r="C468" s="135"/>
      <c r="D468" s="177"/>
      <c r="E468" s="178"/>
      <c r="F468" s="178"/>
      <c r="G468" s="340"/>
      <c r="H468" s="340"/>
      <c r="I468" s="179"/>
      <c r="J468" s="344"/>
      <c r="K468" s="345"/>
      <c r="L468" s="346"/>
      <c r="M468" s="347"/>
      <c r="N468" s="347"/>
      <c r="O468" s="132"/>
    </row>
    <row r="469" spans="2:15" ht="26.25" customHeight="1" x14ac:dyDescent="0.25">
      <c r="B469" s="130"/>
      <c r="C469" s="135"/>
      <c r="D469" s="177"/>
      <c r="E469" s="178"/>
      <c r="F469" s="178"/>
      <c r="G469" s="340"/>
      <c r="H469" s="340"/>
      <c r="I469" s="179"/>
      <c r="J469" s="344"/>
      <c r="K469" s="345"/>
      <c r="L469" s="346"/>
      <c r="M469" s="347"/>
      <c r="N469" s="347"/>
      <c r="O469" s="132"/>
    </row>
    <row r="470" spans="2:15" ht="26.25" customHeight="1" x14ac:dyDescent="0.25">
      <c r="B470" s="130"/>
      <c r="C470" s="135"/>
      <c r="D470" s="177"/>
      <c r="E470" s="178"/>
      <c r="F470" s="178"/>
      <c r="G470" s="340"/>
      <c r="H470" s="340"/>
      <c r="I470" s="179"/>
      <c r="J470" s="344"/>
      <c r="K470" s="345"/>
      <c r="L470" s="346"/>
      <c r="M470" s="347"/>
      <c r="N470" s="347"/>
      <c r="O470" s="132"/>
    </row>
    <row r="471" spans="2:15" ht="26.25" customHeight="1" x14ac:dyDescent="0.25">
      <c r="B471" s="130"/>
      <c r="C471" s="135"/>
      <c r="D471" s="177"/>
      <c r="E471" s="178"/>
      <c r="F471" s="178"/>
      <c r="G471" s="340"/>
      <c r="H471" s="340"/>
      <c r="I471" s="179"/>
      <c r="J471" s="344"/>
      <c r="K471" s="345"/>
      <c r="L471" s="346"/>
      <c r="M471" s="347"/>
      <c r="N471" s="347"/>
      <c r="O471" s="132"/>
    </row>
    <row r="472" spans="2:15" ht="26.25" customHeight="1" x14ac:dyDescent="0.25">
      <c r="B472" s="130"/>
      <c r="C472" s="135"/>
      <c r="D472" s="177"/>
      <c r="E472" s="178"/>
      <c r="F472" s="178"/>
      <c r="G472" s="340"/>
      <c r="H472" s="340"/>
      <c r="I472" s="179"/>
      <c r="J472" s="344"/>
      <c r="K472" s="345"/>
      <c r="L472" s="346"/>
      <c r="M472" s="347"/>
      <c r="N472" s="347"/>
      <c r="O472" s="132"/>
    </row>
    <row r="473" spans="2:15" ht="26.25" customHeight="1" x14ac:dyDescent="0.25">
      <c r="B473" s="130"/>
      <c r="C473" s="135"/>
      <c r="D473" s="177"/>
      <c r="E473" s="178"/>
      <c r="F473" s="178"/>
      <c r="G473" s="340"/>
      <c r="H473" s="340"/>
      <c r="I473" s="179"/>
      <c r="J473" s="344"/>
      <c r="K473" s="345"/>
      <c r="L473" s="346"/>
      <c r="M473" s="347"/>
      <c r="N473" s="347"/>
      <c r="O473" s="132"/>
    </row>
    <row r="474" spans="2:15" ht="26.25" customHeight="1" x14ac:dyDescent="0.25">
      <c r="B474" s="130"/>
      <c r="C474" s="135"/>
      <c r="D474" s="177"/>
      <c r="E474" s="178"/>
      <c r="F474" s="178"/>
      <c r="G474" s="340"/>
      <c r="H474" s="340"/>
      <c r="I474" s="179"/>
      <c r="J474" s="344"/>
      <c r="K474" s="345"/>
      <c r="L474" s="346"/>
      <c r="M474" s="347"/>
      <c r="N474" s="347"/>
      <c r="O474" s="132"/>
    </row>
    <row r="475" spans="2:15" ht="26.25" customHeight="1" x14ac:dyDescent="0.25">
      <c r="B475" s="130"/>
      <c r="C475" s="135"/>
      <c r="D475" s="177"/>
      <c r="E475" s="178"/>
      <c r="F475" s="178"/>
      <c r="G475" s="340"/>
      <c r="H475" s="340"/>
      <c r="I475" s="179"/>
      <c r="J475" s="344"/>
      <c r="K475" s="345"/>
      <c r="L475" s="346"/>
      <c r="M475" s="347"/>
      <c r="N475" s="347"/>
      <c r="O475" s="132"/>
    </row>
    <row r="476" spans="2:15" ht="26.25" customHeight="1" x14ac:dyDescent="0.25">
      <c r="B476" s="130"/>
      <c r="C476" s="135"/>
      <c r="D476" s="177"/>
      <c r="E476" s="178"/>
      <c r="F476" s="178"/>
      <c r="G476" s="340"/>
      <c r="H476" s="340"/>
      <c r="I476" s="179"/>
      <c r="J476" s="344"/>
      <c r="K476" s="345"/>
      <c r="L476" s="346"/>
      <c r="M476" s="347"/>
      <c r="N476" s="347"/>
      <c r="O476" s="132"/>
    </row>
    <row r="477" spans="2:15" ht="26.25" customHeight="1" x14ac:dyDescent="0.25">
      <c r="B477" s="130"/>
      <c r="C477" s="135"/>
      <c r="D477" s="177"/>
      <c r="E477" s="178"/>
      <c r="F477" s="178"/>
      <c r="G477" s="340"/>
      <c r="H477" s="340"/>
      <c r="I477" s="179"/>
      <c r="J477" s="344"/>
      <c r="K477" s="345"/>
      <c r="L477" s="346"/>
      <c r="M477" s="347"/>
      <c r="N477" s="347"/>
      <c r="O477" s="132"/>
    </row>
    <row r="478" spans="2:15" ht="26.25" customHeight="1" x14ac:dyDescent="0.25">
      <c r="B478" s="130"/>
      <c r="C478" s="135"/>
      <c r="D478" s="177"/>
      <c r="E478" s="178"/>
      <c r="F478" s="178"/>
      <c r="G478" s="340"/>
      <c r="H478" s="340"/>
      <c r="I478" s="179"/>
      <c r="J478" s="344"/>
      <c r="K478" s="345"/>
      <c r="L478" s="346"/>
      <c r="M478" s="347"/>
      <c r="N478" s="347"/>
      <c r="O478" s="132"/>
    </row>
    <row r="479" spans="2:15" ht="26.25" customHeight="1" x14ac:dyDescent="0.25">
      <c r="B479" s="130"/>
      <c r="C479" s="135"/>
      <c r="D479" s="177"/>
      <c r="E479" s="178"/>
      <c r="F479" s="178"/>
      <c r="G479" s="340"/>
      <c r="H479" s="340"/>
      <c r="I479" s="179"/>
      <c r="J479" s="344"/>
      <c r="K479" s="345"/>
      <c r="L479" s="346"/>
      <c r="M479" s="347"/>
      <c r="N479" s="347"/>
      <c r="O479" s="132"/>
    </row>
    <row r="480" spans="2:15" ht="26.25" customHeight="1" x14ac:dyDescent="0.25">
      <c r="B480" s="130"/>
      <c r="C480" s="135"/>
      <c r="D480" s="177"/>
      <c r="E480" s="178"/>
      <c r="F480" s="178"/>
      <c r="G480" s="340"/>
      <c r="H480" s="340"/>
      <c r="I480" s="179"/>
      <c r="J480" s="344"/>
      <c r="K480" s="345"/>
      <c r="L480" s="346"/>
      <c r="M480" s="347"/>
      <c r="N480" s="347"/>
      <c r="O480" s="132"/>
    </row>
    <row r="481" spans="2:15" ht="26.25" customHeight="1" x14ac:dyDescent="0.25">
      <c r="B481" s="130"/>
      <c r="C481" s="135"/>
      <c r="D481" s="177"/>
      <c r="E481" s="178"/>
      <c r="F481" s="178"/>
      <c r="G481" s="340"/>
      <c r="H481" s="340"/>
      <c r="I481" s="179"/>
      <c r="J481" s="344"/>
      <c r="K481" s="345"/>
      <c r="L481" s="346"/>
      <c r="M481" s="347"/>
      <c r="N481" s="347"/>
      <c r="O481" s="132"/>
    </row>
    <row r="482" spans="2:15" ht="26.25" customHeight="1" x14ac:dyDescent="0.25">
      <c r="B482" s="130"/>
      <c r="C482" s="135"/>
      <c r="D482" s="177"/>
      <c r="E482" s="178"/>
      <c r="F482" s="178"/>
      <c r="G482" s="340"/>
      <c r="H482" s="340"/>
      <c r="I482" s="179"/>
      <c r="J482" s="344"/>
      <c r="K482" s="345"/>
      <c r="L482" s="346"/>
      <c r="M482" s="347"/>
      <c r="N482" s="347"/>
      <c r="O482" s="132"/>
    </row>
    <row r="483" spans="2:15" ht="26.25" customHeight="1" x14ac:dyDescent="0.25">
      <c r="B483" s="130"/>
      <c r="C483" s="135"/>
      <c r="D483" s="177"/>
      <c r="E483" s="178"/>
      <c r="F483" s="178"/>
      <c r="G483" s="340"/>
      <c r="H483" s="340"/>
      <c r="I483" s="179"/>
      <c r="J483" s="344"/>
      <c r="K483" s="345"/>
      <c r="L483" s="346"/>
      <c r="M483" s="347"/>
      <c r="N483" s="347"/>
      <c r="O483" s="132"/>
    </row>
    <row r="484" spans="2:15" ht="26.25" customHeight="1" x14ac:dyDescent="0.25">
      <c r="B484" s="130"/>
      <c r="C484" s="135"/>
      <c r="D484" s="177"/>
      <c r="E484" s="178"/>
      <c r="F484" s="178"/>
      <c r="G484" s="340"/>
      <c r="H484" s="340"/>
      <c r="I484" s="179"/>
      <c r="J484" s="344"/>
      <c r="K484" s="345"/>
      <c r="L484" s="346"/>
      <c r="M484" s="347"/>
      <c r="N484" s="347"/>
      <c r="O484" s="132"/>
    </row>
    <row r="485" spans="2:15" ht="26.25" customHeight="1" x14ac:dyDescent="0.25">
      <c r="B485" s="130"/>
      <c r="C485" s="135"/>
      <c r="D485" s="177"/>
      <c r="E485" s="178"/>
      <c r="F485" s="178"/>
      <c r="G485" s="340"/>
      <c r="H485" s="340"/>
      <c r="I485" s="179"/>
      <c r="J485" s="344"/>
      <c r="K485" s="345"/>
      <c r="L485" s="346"/>
      <c r="M485" s="347"/>
      <c r="N485" s="347"/>
      <c r="O485" s="132"/>
    </row>
    <row r="486" spans="2:15" ht="26.25" customHeight="1" x14ac:dyDescent="0.25">
      <c r="B486" s="130"/>
      <c r="C486" s="135"/>
      <c r="D486" s="177"/>
      <c r="E486" s="178"/>
      <c r="F486" s="178"/>
      <c r="G486" s="340"/>
      <c r="H486" s="340"/>
      <c r="I486" s="179"/>
      <c r="J486" s="344"/>
      <c r="K486" s="345"/>
      <c r="L486" s="346"/>
      <c r="M486" s="347"/>
      <c r="N486" s="347"/>
      <c r="O486" s="132"/>
    </row>
    <row r="487" spans="2:15" ht="26.25" customHeight="1" x14ac:dyDescent="0.25">
      <c r="B487" s="130"/>
      <c r="C487" s="135"/>
      <c r="D487" s="177"/>
      <c r="E487" s="178"/>
      <c r="F487" s="178"/>
      <c r="G487" s="340"/>
      <c r="H487" s="340"/>
      <c r="I487" s="179"/>
      <c r="J487" s="344"/>
      <c r="K487" s="345"/>
      <c r="L487" s="346"/>
      <c r="M487" s="347"/>
      <c r="N487" s="347"/>
      <c r="O487" s="132"/>
    </row>
    <row r="488" spans="2:15" ht="26.25" customHeight="1" x14ac:dyDescent="0.25">
      <c r="B488" s="130"/>
      <c r="C488" s="135"/>
      <c r="D488" s="177"/>
      <c r="E488" s="178"/>
      <c r="F488" s="178"/>
      <c r="G488" s="340"/>
      <c r="H488" s="340"/>
      <c r="I488" s="179"/>
      <c r="J488" s="344"/>
      <c r="K488" s="345"/>
      <c r="L488" s="346"/>
      <c r="M488" s="347"/>
      <c r="N488" s="347"/>
      <c r="O488" s="132"/>
    </row>
    <row r="489" spans="2:15" ht="26.25" customHeight="1" x14ac:dyDescent="0.25">
      <c r="B489" s="130"/>
      <c r="C489" s="135"/>
      <c r="D489" s="177"/>
      <c r="E489" s="178"/>
      <c r="F489" s="178"/>
      <c r="G489" s="340"/>
      <c r="H489" s="340"/>
      <c r="I489" s="179"/>
      <c r="J489" s="344"/>
      <c r="K489" s="345"/>
      <c r="L489" s="346"/>
      <c r="M489" s="347"/>
      <c r="N489" s="347"/>
      <c r="O489" s="132"/>
    </row>
    <row r="490" spans="2:15" ht="26.25" customHeight="1" x14ac:dyDescent="0.25">
      <c r="B490" s="130"/>
      <c r="C490" s="135"/>
      <c r="D490" s="177"/>
      <c r="E490" s="178"/>
      <c r="F490" s="178"/>
      <c r="G490" s="340"/>
      <c r="H490" s="340"/>
      <c r="I490" s="179"/>
      <c r="J490" s="344"/>
      <c r="K490" s="345"/>
      <c r="L490" s="346"/>
      <c r="M490" s="347"/>
      <c r="N490" s="347"/>
      <c r="O490" s="132"/>
    </row>
    <row r="491" spans="2:15" ht="26.25" customHeight="1" x14ac:dyDescent="0.25">
      <c r="B491" s="130"/>
      <c r="C491" s="135"/>
      <c r="D491" s="177"/>
      <c r="E491" s="178"/>
      <c r="F491" s="178"/>
      <c r="G491" s="340"/>
      <c r="H491" s="340"/>
      <c r="I491" s="179"/>
      <c r="J491" s="344"/>
      <c r="K491" s="345"/>
      <c r="L491" s="346"/>
      <c r="M491" s="347"/>
      <c r="N491" s="347"/>
      <c r="O491" s="132"/>
    </row>
    <row r="492" spans="2:15" ht="26.25" customHeight="1" x14ac:dyDescent="0.25">
      <c r="B492" s="130"/>
      <c r="C492" s="135"/>
      <c r="D492" s="177"/>
      <c r="E492" s="178"/>
      <c r="F492" s="178"/>
      <c r="G492" s="340"/>
      <c r="H492" s="340"/>
      <c r="I492" s="179"/>
      <c r="J492" s="344"/>
      <c r="K492" s="345"/>
      <c r="L492" s="346"/>
      <c r="M492" s="347"/>
      <c r="N492" s="347"/>
      <c r="O492" s="132"/>
    </row>
    <row r="493" spans="2:15" ht="26.25" customHeight="1" x14ac:dyDescent="0.25">
      <c r="B493" s="130"/>
      <c r="C493" s="135"/>
      <c r="D493" s="177"/>
      <c r="E493" s="178"/>
      <c r="F493" s="178"/>
      <c r="G493" s="340"/>
      <c r="H493" s="340"/>
      <c r="I493" s="179"/>
      <c r="J493" s="344"/>
      <c r="K493" s="345"/>
      <c r="L493" s="346"/>
      <c r="M493" s="347"/>
      <c r="N493" s="347"/>
      <c r="O493" s="132"/>
    </row>
    <row r="494" spans="2:15" ht="26.25" customHeight="1" x14ac:dyDescent="0.25">
      <c r="B494" s="130"/>
      <c r="C494" s="135"/>
      <c r="D494" s="177"/>
      <c r="E494" s="178"/>
      <c r="F494" s="178"/>
      <c r="G494" s="340"/>
      <c r="H494" s="340"/>
      <c r="I494" s="179"/>
      <c r="J494" s="344"/>
      <c r="K494" s="345"/>
      <c r="L494" s="346"/>
      <c r="M494" s="347"/>
      <c r="N494" s="347"/>
      <c r="O494" s="132"/>
    </row>
    <row r="495" spans="2:15" ht="26.25" customHeight="1" x14ac:dyDescent="0.25">
      <c r="B495" s="130"/>
      <c r="C495" s="135"/>
      <c r="D495" s="177"/>
      <c r="E495" s="178"/>
      <c r="F495" s="178"/>
      <c r="G495" s="340"/>
      <c r="H495" s="340"/>
      <c r="I495" s="179"/>
      <c r="J495" s="344"/>
      <c r="K495" s="345"/>
      <c r="L495" s="346"/>
      <c r="M495" s="347"/>
      <c r="N495" s="347"/>
      <c r="O495" s="132"/>
    </row>
    <row r="496" spans="2:15" ht="26.25" customHeight="1" x14ac:dyDescent="0.25">
      <c r="B496" s="130"/>
      <c r="C496" s="135"/>
      <c r="D496" s="177"/>
      <c r="E496" s="178"/>
      <c r="F496" s="178"/>
      <c r="G496" s="340"/>
      <c r="H496" s="340"/>
      <c r="I496" s="179"/>
      <c r="J496" s="344"/>
      <c r="K496" s="345"/>
      <c r="L496" s="346"/>
      <c r="M496" s="347"/>
      <c r="N496" s="347"/>
      <c r="O496" s="132"/>
    </row>
    <row r="497" spans="2:15" ht="26.25" customHeight="1" x14ac:dyDescent="0.25">
      <c r="B497" s="130"/>
      <c r="C497" s="135"/>
      <c r="D497" s="177"/>
      <c r="E497" s="178"/>
      <c r="F497" s="178"/>
      <c r="G497" s="340"/>
      <c r="H497" s="340"/>
      <c r="I497" s="179"/>
      <c r="J497" s="344"/>
      <c r="K497" s="345"/>
      <c r="L497" s="346"/>
      <c r="M497" s="347"/>
      <c r="N497" s="347"/>
      <c r="O497" s="132"/>
    </row>
    <row r="498" spans="2:15" ht="26.25" customHeight="1" x14ac:dyDescent="0.25">
      <c r="B498" s="130"/>
      <c r="C498" s="135"/>
      <c r="D498" s="177"/>
      <c r="E498" s="178"/>
      <c r="F498" s="178"/>
      <c r="G498" s="340"/>
      <c r="H498" s="340"/>
      <c r="I498" s="179"/>
      <c r="J498" s="344"/>
      <c r="K498" s="345"/>
      <c r="L498" s="346"/>
      <c r="M498" s="347"/>
      <c r="N498" s="347"/>
      <c r="O498" s="132"/>
    </row>
    <row r="499" spans="2:15" ht="26.25" customHeight="1" x14ac:dyDescent="0.25">
      <c r="B499" s="130"/>
      <c r="C499" s="135"/>
      <c r="D499" s="177"/>
      <c r="E499" s="178"/>
      <c r="F499" s="178"/>
      <c r="G499" s="340"/>
      <c r="H499" s="340"/>
      <c r="I499" s="179"/>
      <c r="J499" s="344"/>
      <c r="K499" s="345"/>
      <c r="L499" s="346"/>
      <c r="M499" s="347"/>
      <c r="N499" s="347"/>
      <c r="O499" s="132"/>
    </row>
    <row r="500" spans="2:15" ht="26.25" customHeight="1" x14ac:dyDescent="0.25">
      <c r="B500" s="130"/>
      <c r="C500" s="135"/>
      <c r="D500" s="177"/>
      <c r="E500" s="178"/>
      <c r="F500" s="178"/>
      <c r="G500" s="340"/>
      <c r="H500" s="340"/>
      <c r="I500" s="179"/>
      <c r="J500" s="344"/>
      <c r="K500" s="345"/>
      <c r="L500" s="346"/>
      <c r="M500" s="347"/>
      <c r="N500" s="347"/>
      <c r="O500" s="132"/>
    </row>
    <row r="501" spans="2:15" ht="26.25" customHeight="1" x14ac:dyDescent="0.25">
      <c r="B501" s="130"/>
      <c r="C501" s="135"/>
      <c r="D501" s="177"/>
      <c r="E501" s="178"/>
      <c r="F501" s="178"/>
      <c r="G501" s="340"/>
      <c r="H501" s="340"/>
      <c r="I501" s="179"/>
      <c r="J501" s="344"/>
      <c r="K501" s="345"/>
      <c r="L501" s="346"/>
      <c r="M501" s="347"/>
      <c r="N501" s="347"/>
      <c r="O501" s="132"/>
    </row>
    <row r="502" spans="2:15" ht="26.25" customHeight="1" x14ac:dyDescent="0.25">
      <c r="B502" s="130"/>
      <c r="C502" s="135"/>
      <c r="D502" s="177"/>
      <c r="E502" s="178"/>
      <c r="F502" s="178"/>
      <c r="G502" s="340"/>
      <c r="H502" s="340"/>
      <c r="I502" s="179"/>
      <c r="J502" s="344"/>
      <c r="K502" s="345"/>
      <c r="L502" s="346"/>
      <c r="M502" s="347"/>
      <c r="N502" s="347"/>
      <c r="O502" s="132"/>
    </row>
    <row r="503" spans="2:15" ht="26.25" customHeight="1" x14ac:dyDescent="0.25">
      <c r="B503" s="130"/>
      <c r="C503" s="135"/>
      <c r="D503" s="177"/>
      <c r="E503" s="178"/>
      <c r="F503" s="178"/>
      <c r="G503" s="340"/>
      <c r="H503" s="340"/>
      <c r="I503" s="179"/>
      <c r="J503" s="344"/>
      <c r="K503" s="345"/>
      <c r="L503" s="346"/>
      <c r="M503" s="347"/>
      <c r="N503" s="347"/>
      <c r="O503" s="132"/>
    </row>
    <row r="504" spans="2:15" ht="26.25" customHeight="1" x14ac:dyDescent="0.25">
      <c r="B504" s="130"/>
      <c r="C504" s="135"/>
      <c r="D504" s="177"/>
      <c r="E504" s="178"/>
      <c r="F504" s="178"/>
      <c r="G504" s="340"/>
      <c r="H504" s="340"/>
      <c r="I504" s="179"/>
      <c r="J504" s="344"/>
      <c r="K504" s="345"/>
      <c r="L504" s="346"/>
      <c r="M504" s="347"/>
      <c r="N504" s="347"/>
      <c r="O504" s="132"/>
    </row>
    <row r="505" spans="2:15" ht="26.25" customHeight="1" x14ac:dyDescent="0.25">
      <c r="B505" s="130"/>
      <c r="C505" s="135"/>
      <c r="D505" s="177"/>
      <c r="E505" s="178"/>
      <c r="F505" s="178"/>
      <c r="G505" s="340"/>
      <c r="H505" s="340"/>
      <c r="I505" s="179"/>
      <c r="J505" s="344"/>
      <c r="K505" s="345"/>
      <c r="L505" s="346"/>
      <c r="M505" s="347"/>
      <c r="N505" s="347"/>
      <c r="O505" s="132"/>
    </row>
    <row r="506" spans="2:15" ht="26.25" customHeight="1" x14ac:dyDescent="0.25">
      <c r="B506" s="130"/>
      <c r="C506" s="135"/>
      <c r="D506" s="177"/>
      <c r="E506" s="178"/>
      <c r="F506" s="178"/>
      <c r="G506" s="340"/>
      <c r="H506" s="340"/>
      <c r="I506" s="179"/>
      <c r="J506" s="344"/>
      <c r="K506" s="345"/>
      <c r="L506" s="346"/>
      <c r="M506" s="347"/>
      <c r="N506" s="347"/>
      <c r="O506" s="132"/>
    </row>
    <row r="507" spans="2:15" ht="26.25" customHeight="1" x14ac:dyDescent="0.25">
      <c r="B507" s="130"/>
      <c r="C507" s="135"/>
      <c r="D507" s="177"/>
      <c r="E507" s="178"/>
      <c r="F507" s="178"/>
      <c r="G507" s="340"/>
      <c r="H507" s="340"/>
      <c r="I507" s="179"/>
      <c r="J507" s="344"/>
      <c r="K507" s="345"/>
      <c r="L507" s="346"/>
      <c r="M507" s="347"/>
      <c r="N507" s="347"/>
      <c r="O507" s="132"/>
    </row>
    <row r="508" spans="2:15" ht="26.25" customHeight="1" x14ac:dyDescent="0.25">
      <c r="B508" s="130"/>
      <c r="C508" s="135"/>
      <c r="D508" s="177"/>
      <c r="E508" s="178"/>
      <c r="F508" s="178"/>
      <c r="G508" s="340"/>
      <c r="H508" s="340"/>
      <c r="I508" s="179"/>
      <c r="J508" s="344"/>
      <c r="K508" s="345"/>
      <c r="L508" s="346"/>
      <c r="M508" s="347"/>
      <c r="N508" s="347"/>
      <c r="O508" s="132"/>
    </row>
    <row r="509" spans="2:15" ht="26.25" customHeight="1" x14ac:dyDescent="0.25">
      <c r="B509" s="130"/>
      <c r="C509" s="135"/>
      <c r="D509" s="177"/>
      <c r="E509" s="178"/>
      <c r="F509" s="178"/>
      <c r="G509" s="340"/>
      <c r="H509" s="340"/>
      <c r="I509" s="179"/>
      <c r="J509" s="344"/>
      <c r="K509" s="345"/>
      <c r="L509" s="346"/>
      <c r="M509" s="347"/>
      <c r="N509" s="347"/>
      <c r="O509" s="132"/>
    </row>
    <row r="510" spans="2:15" ht="26.25" customHeight="1" x14ac:dyDescent="0.25">
      <c r="B510" s="130"/>
      <c r="C510" s="135"/>
      <c r="D510" s="177"/>
      <c r="E510" s="178"/>
      <c r="F510" s="178"/>
      <c r="G510" s="340"/>
      <c r="H510" s="340"/>
      <c r="I510" s="179"/>
      <c r="J510" s="344"/>
      <c r="K510" s="345"/>
      <c r="L510" s="346"/>
      <c r="M510" s="347"/>
      <c r="N510" s="347"/>
      <c r="O510" s="132"/>
    </row>
    <row r="511" spans="2:15" ht="26.25" customHeight="1" x14ac:dyDescent="0.25">
      <c r="B511" s="130"/>
      <c r="C511" s="135"/>
      <c r="D511" s="177"/>
      <c r="E511" s="178"/>
      <c r="F511" s="178"/>
      <c r="G511" s="340"/>
      <c r="H511" s="340"/>
      <c r="I511" s="179"/>
      <c r="J511" s="344"/>
      <c r="K511" s="345"/>
      <c r="L511" s="346"/>
      <c r="M511" s="347"/>
      <c r="N511" s="347"/>
      <c r="O511" s="132"/>
    </row>
    <row r="512" spans="2:15" ht="26.25" customHeight="1" x14ac:dyDescent="0.25">
      <c r="B512" s="130"/>
      <c r="C512" s="135"/>
      <c r="D512" s="177"/>
      <c r="E512" s="178"/>
      <c r="F512" s="178"/>
      <c r="G512" s="340"/>
      <c r="H512" s="340"/>
      <c r="I512" s="179"/>
      <c r="J512" s="344"/>
      <c r="K512" s="345"/>
      <c r="L512" s="346"/>
      <c r="M512" s="347"/>
      <c r="N512" s="347"/>
      <c r="O512" s="132"/>
    </row>
    <row r="513" spans="2:15" ht="26.25" customHeight="1" x14ac:dyDescent="0.25">
      <c r="B513" s="130"/>
      <c r="C513" s="135"/>
      <c r="D513" s="177"/>
      <c r="E513" s="178"/>
      <c r="F513" s="178"/>
      <c r="G513" s="340"/>
      <c r="H513" s="340"/>
      <c r="I513" s="179"/>
      <c r="J513" s="344"/>
      <c r="K513" s="345"/>
      <c r="L513" s="346"/>
      <c r="M513" s="347"/>
      <c r="N513" s="347"/>
      <c r="O513" s="132"/>
    </row>
    <row r="514" spans="2:15" ht="26.25" customHeight="1" x14ac:dyDescent="0.25">
      <c r="B514" s="130"/>
      <c r="C514" s="135"/>
      <c r="D514" s="177"/>
      <c r="E514" s="178"/>
      <c r="F514" s="178"/>
      <c r="G514" s="340"/>
      <c r="H514" s="340"/>
      <c r="I514" s="179"/>
      <c r="J514" s="344"/>
      <c r="K514" s="345"/>
      <c r="L514" s="346"/>
      <c r="M514" s="347"/>
      <c r="N514" s="347"/>
      <c r="O514" s="132"/>
    </row>
    <row r="515" spans="2:15" ht="26.25" customHeight="1" x14ac:dyDescent="0.25">
      <c r="B515" s="130"/>
      <c r="C515" s="135"/>
      <c r="D515" s="177"/>
      <c r="E515" s="178"/>
      <c r="F515" s="178"/>
      <c r="G515" s="340"/>
      <c r="H515" s="340"/>
      <c r="I515" s="179"/>
      <c r="J515" s="344"/>
      <c r="K515" s="345"/>
      <c r="L515" s="346"/>
      <c r="M515" s="347"/>
      <c r="N515" s="347"/>
      <c r="O515" s="132"/>
    </row>
    <row r="516" spans="2:15" ht="26.25" customHeight="1" x14ac:dyDescent="0.25">
      <c r="B516" s="130"/>
      <c r="C516" s="135"/>
      <c r="D516" s="177"/>
      <c r="E516" s="178"/>
      <c r="F516" s="178"/>
      <c r="G516" s="340"/>
      <c r="H516" s="340"/>
      <c r="I516" s="179"/>
      <c r="J516" s="344"/>
      <c r="K516" s="345"/>
      <c r="L516" s="346"/>
      <c r="M516" s="347"/>
      <c r="N516" s="347"/>
      <c r="O516" s="132"/>
    </row>
    <row r="517" spans="2:15" ht="26.25" customHeight="1" x14ac:dyDescent="0.25">
      <c r="B517" s="130"/>
      <c r="C517" s="135"/>
      <c r="D517" s="177"/>
      <c r="E517" s="178"/>
      <c r="F517" s="178"/>
      <c r="G517" s="340"/>
      <c r="H517" s="340"/>
      <c r="I517" s="179"/>
      <c r="J517" s="344"/>
      <c r="K517" s="345"/>
      <c r="L517" s="346"/>
      <c r="M517" s="347"/>
      <c r="N517" s="347"/>
      <c r="O517" s="132"/>
    </row>
    <row r="518" spans="2:15" ht="26.25" customHeight="1" x14ac:dyDescent="0.25">
      <c r="B518" s="130"/>
      <c r="C518" s="135"/>
      <c r="D518" s="177"/>
      <c r="E518" s="178"/>
      <c r="F518" s="178"/>
      <c r="G518" s="340"/>
      <c r="H518" s="340"/>
      <c r="I518" s="179"/>
      <c r="J518" s="344"/>
      <c r="K518" s="345"/>
      <c r="L518" s="346"/>
      <c r="M518" s="347"/>
      <c r="N518" s="347"/>
      <c r="O518" s="132"/>
    </row>
    <row r="519" spans="2:15" ht="26.25" customHeight="1" x14ac:dyDescent="0.25">
      <c r="B519" s="130"/>
      <c r="C519" s="135"/>
      <c r="D519" s="177"/>
      <c r="E519" s="178"/>
      <c r="F519" s="178"/>
      <c r="G519" s="340"/>
      <c r="H519" s="340"/>
      <c r="I519" s="179"/>
      <c r="J519" s="344"/>
      <c r="K519" s="345"/>
      <c r="L519" s="346"/>
      <c r="M519" s="347"/>
      <c r="N519" s="347"/>
      <c r="O519" s="132"/>
    </row>
    <row r="520" spans="2:15" ht="26.25" customHeight="1" x14ac:dyDescent="0.25">
      <c r="B520" s="130"/>
      <c r="C520" s="135"/>
      <c r="D520" s="177"/>
      <c r="E520" s="178"/>
      <c r="F520" s="178"/>
      <c r="G520" s="340"/>
      <c r="H520" s="340"/>
      <c r="I520" s="179"/>
      <c r="J520" s="344"/>
      <c r="K520" s="345"/>
      <c r="L520" s="346"/>
      <c r="M520" s="347"/>
      <c r="N520" s="347"/>
      <c r="O520" s="132"/>
    </row>
    <row r="521" spans="2:15" ht="26.25" customHeight="1" x14ac:dyDescent="0.25">
      <c r="B521" s="130"/>
      <c r="C521" s="135"/>
      <c r="D521" s="177"/>
      <c r="E521" s="178"/>
      <c r="F521" s="178"/>
      <c r="G521" s="340"/>
      <c r="H521" s="340"/>
      <c r="I521" s="179"/>
      <c r="J521" s="344"/>
      <c r="K521" s="345"/>
      <c r="L521" s="346"/>
      <c r="M521" s="347"/>
      <c r="N521" s="347"/>
      <c r="O521" s="132"/>
    </row>
    <row r="522" spans="2:15" ht="26.25" customHeight="1" x14ac:dyDescent="0.25">
      <c r="B522" s="130"/>
      <c r="C522" s="135"/>
      <c r="D522" s="177"/>
      <c r="E522" s="178"/>
      <c r="F522" s="178"/>
      <c r="G522" s="340"/>
      <c r="H522" s="340"/>
      <c r="I522" s="179"/>
      <c r="J522" s="344"/>
      <c r="K522" s="345"/>
      <c r="L522" s="346"/>
      <c r="M522" s="347"/>
      <c r="N522" s="347"/>
      <c r="O522" s="132"/>
    </row>
    <row r="523" spans="2:15" ht="26.25" customHeight="1" x14ac:dyDescent="0.25">
      <c r="B523" s="130"/>
      <c r="C523" s="135"/>
      <c r="D523" s="177"/>
      <c r="E523" s="178"/>
      <c r="F523" s="178"/>
      <c r="G523" s="340"/>
      <c r="H523" s="340"/>
      <c r="I523" s="179"/>
      <c r="J523" s="344"/>
      <c r="K523" s="345"/>
      <c r="L523" s="346"/>
      <c r="M523" s="347"/>
      <c r="N523" s="347"/>
      <c r="O523" s="132"/>
    </row>
    <row r="524" spans="2:15" ht="26.25" customHeight="1" x14ac:dyDescent="0.25">
      <c r="B524" s="130"/>
      <c r="C524" s="135"/>
      <c r="D524" s="177"/>
      <c r="E524" s="178"/>
      <c r="F524" s="178"/>
      <c r="G524" s="340"/>
      <c r="H524" s="340"/>
      <c r="I524" s="179"/>
      <c r="J524" s="344"/>
      <c r="K524" s="345"/>
      <c r="L524" s="346"/>
      <c r="M524" s="347"/>
      <c r="N524" s="347"/>
      <c r="O524" s="132"/>
    </row>
    <row r="525" spans="2:15" ht="26.25" customHeight="1" x14ac:dyDescent="0.25">
      <c r="B525" s="130"/>
      <c r="C525" s="135"/>
      <c r="D525" s="177"/>
      <c r="E525" s="178"/>
      <c r="F525" s="178"/>
      <c r="G525" s="340"/>
      <c r="H525" s="340"/>
      <c r="I525" s="179"/>
      <c r="J525" s="344"/>
      <c r="K525" s="345"/>
      <c r="L525" s="346"/>
      <c r="M525" s="347"/>
      <c r="N525" s="347"/>
      <c r="O525" s="132"/>
    </row>
    <row r="526" spans="2:15" ht="26.25" customHeight="1" x14ac:dyDescent="0.25">
      <c r="B526" s="130"/>
      <c r="C526" s="135"/>
      <c r="D526" s="177"/>
      <c r="E526" s="178"/>
      <c r="F526" s="178"/>
      <c r="G526" s="340"/>
      <c r="H526" s="340"/>
      <c r="I526" s="179"/>
      <c r="J526" s="344"/>
      <c r="K526" s="345"/>
      <c r="L526" s="346"/>
      <c r="M526" s="347"/>
      <c r="N526" s="347"/>
      <c r="O526" s="132"/>
    </row>
    <row r="527" spans="2:15" ht="26.25" customHeight="1" x14ac:dyDescent="0.25">
      <c r="B527" s="130"/>
      <c r="C527" s="135"/>
      <c r="D527" s="177"/>
      <c r="E527" s="178"/>
      <c r="F527" s="178"/>
      <c r="G527" s="340"/>
      <c r="H527" s="340"/>
      <c r="I527" s="179"/>
      <c r="J527" s="344"/>
      <c r="K527" s="345"/>
      <c r="L527" s="346"/>
      <c r="M527" s="347"/>
      <c r="N527" s="347"/>
      <c r="O527" s="132"/>
    </row>
    <row r="528" spans="2:15" ht="26.25" customHeight="1" x14ac:dyDescent="0.25">
      <c r="B528" s="130"/>
      <c r="C528" s="135"/>
      <c r="D528" s="177"/>
      <c r="E528" s="178"/>
      <c r="F528" s="178"/>
      <c r="G528" s="340"/>
      <c r="H528" s="340"/>
      <c r="I528" s="179"/>
      <c r="J528" s="344"/>
      <c r="K528" s="345"/>
      <c r="L528" s="346"/>
      <c r="M528" s="347"/>
      <c r="N528" s="347"/>
      <c r="O528" s="132"/>
    </row>
    <row r="529" spans="2:15" ht="26.25" customHeight="1" x14ac:dyDescent="0.25">
      <c r="B529" s="130"/>
      <c r="C529" s="135"/>
      <c r="D529" s="177"/>
      <c r="E529" s="178"/>
      <c r="F529" s="178"/>
      <c r="G529" s="340"/>
      <c r="H529" s="340"/>
      <c r="I529" s="179"/>
      <c r="J529" s="344"/>
      <c r="K529" s="345"/>
      <c r="L529" s="346"/>
      <c r="M529" s="347"/>
      <c r="N529" s="347"/>
      <c r="O529" s="132"/>
    </row>
    <row r="530" spans="2:15" ht="26.25" customHeight="1" x14ac:dyDescent="0.25">
      <c r="B530" s="130"/>
      <c r="C530" s="135"/>
      <c r="D530" s="177"/>
      <c r="E530" s="178"/>
      <c r="F530" s="178"/>
      <c r="G530" s="340"/>
      <c r="H530" s="340"/>
      <c r="I530" s="179"/>
      <c r="J530" s="344"/>
      <c r="K530" s="345"/>
      <c r="L530" s="346"/>
      <c r="M530" s="347"/>
      <c r="N530" s="347"/>
      <c r="O530" s="132"/>
    </row>
    <row r="531" spans="2:15" ht="26.25" customHeight="1" x14ac:dyDescent="0.25">
      <c r="B531" s="130"/>
      <c r="C531" s="135"/>
      <c r="D531" s="177"/>
      <c r="E531" s="178"/>
      <c r="F531" s="178"/>
      <c r="G531" s="340"/>
      <c r="H531" s="340"/>
      <c r="I531" s="179"/>
      <c r="J531" s="344"/>
      <c r="K531" s="345"/>
      <c r="L531" s="346"/>
      <c r="M531" s="347"/>
      <c r="N531" s="347"/>
      <c r="O531" s="132"/>
    </row>
    <row r="532" spans="2:15" ht="26.25" customHeight="1" x14ac:dyDescent="0.25">
      <c r="B532" s="130"/>
      <c r="C532" s="135"/>
      <c r="D532" s="177"/>
      <c r="E532" s="178"/>
      <c r="F532" s="178"/>
      <c r="G532" s="340"/>
      <c r="H532" s="340"/>
      <c r="I532" s="179"/>
      <c r="J532" s="344"/>
      <c r="K532" s="345"/>
      <c r="L532" s="346"/>
      <c r="M532" s="347"/>
      <c r="N532" s="347"/>
      <c r="O532" s="132"/>
    </row>
    <row r="533" spans="2:15" ht="26.25" customHeight="1" x14ac:dyDescent="0.25">
      <c r="B533" s="130"/>
      <c r="C533" s="135"/>
      <c r="D533" s="177"/>
      <c r="E533" s="178"/>
      <c r="F533" s="178"/>
      <c r="G533" s="340"/>
      <c r="H533" s="340"/>
      <c r="I533" s="179"/>
      <c r="J533" s="344"/>
      <c r="K533" s="345"/>
      <c r="L533" s="346"/>
      <c r="M533" s="347"/>
      <c r="N533" s="347"/>
      <c r="O533" s="132"/>
    </row>
    <row r="534" spans="2:15" ht="26.25" customHeight="1" x14ac:dyDescent="0.25">
      <c r="B534" s="130"/>
      <c r="C534" s="135"/>
      <c r="D534" s="177"/>
      <c r="E534" s="178"/>
      <c r="F534" s="178"/>
      <c r="G534" s="340"/>
      <c r="H534" s="340"/>
      <c r="I534" s="179"/>
      <c r="J534" s="344"/>
      <c r="K534" s="345"/>
      <c r="L534" s="346"/>
      <c r="M534" s="347"/>
      <c r="N534" s="347"/>
      <c r="O534" s="132"/>
    </row>
    <row r="535" spans="2:15" ht="26.25" customHeight="1" x14ac:dyDescent="0.25">
      <c r="B535" s="130"/>
      <c r="C535" s="135"/>
      <c r="D535" s="177"/>
      <c r="E535" s="178"/>
      <c r="F535" s="178"/>
      <c r="G535" s="340"/>
      <c r="H535" s="340"/>
      <c r="I535" s="179"/>
      <c r="J535" s="344"/>
      <c r="K535" s="345"/>
      <c r="L535" s="346"/>
      <c r="M535" s="347"/>
      <c r="N535" s="347"/>
      <c r="O535" s="132"/>
    </row>
    <row r="536" spans="2:15" ht="26.25" customHeight="1" x14ac:dyDescent="0.25">
      <c r="B536" s="130"/>
      <c r="C536" s="135"/>
      <c r="D536" s="177"/>
      <c r="E536" s="178"/>
      <c r="F536" s="178"/>
      <c r="G536" s="340"/>
      <c r="H536" s="340"/>
      <c r="I536" s="179"/>
      <c r="J536" s="344"/>
      <c r="K536" s="345"/>
      <c r="L536" s="346"/>
      <c r="M536" s="347"/>
      <c r="N536" s="347"/>
      <c r="O536" s="132"/>
    </row>
    <row r="537" spans="2:15" ht="26.25" customHeight="1" x14ac:dyDescent="0.25">
      <c r="B537" s="130"/>
      <c r="C537" s="135"/>
      <c r="D537" s="177"/>
      <c r="E537" s="178"/>
      <c r="F537" s="178"/>
      <c r="G537" s="340"/>
      <c r="H537" s="340"/>
      <c r="I537" s="179"/>
      <c r="J537" s="344"/>
      <c r="K537" s="345"/>
      <c r="L537" s="346"/>
      <c r="M537" s="347"/>
      <c r="N537" s="347"/>
      <c r="O537" s="132"/>
    </row>
    <row r="538" spans="2:15" ht="26.25" customHeight="1" x14ac:dyDescent="0.25">
      <c r="B538" s="130"/>
      <c r="C538" s="135"/>
      <c r="D538" s="177"/>
      <c r="E538" s="178"/>
      <c r="F538" s="178"/>
      <c r="G538" s="340"/>
      <c r="H538" s="340"/>
      <c r="I538" s="179"/>
      <c r="J538" s="344"/>
      <c r="K538" s="345"/>
      <c r="L538" s="346"/>
      <c r="M538" s="347"/>
      <c r="N538" s="347"/>
      <c r="O538" s="132"/>
    </row>
    <row r="539" spans="2:15" ht="26.25" customHeight="1" x14ac:dyDescent="0.25">
      <c r="B539" s="130"/>
      <c r="C539" s="135"/>
      <c r="D539" s="177"/>
      <c r="E539" s="178"/>
      <c r="F539" s="178"/>
      <c r="G539" s="340"/>
      <c r="H539" s="340"/>
      <c r="I539" s="179"/>
      <c r="J539" s="344"/>
      <c r="K539" s="345"/>
      <c r="L539" s="346"/>
      <c r="M539" s="347"/>
      <c r="N539" s="347"/>
      <c r="O539" s="132"/>
    </row>
    <row r="540" spans="2:15" ht="26.25" customHeight="1" x14ac:dyDescent="0.25">
      <c r="B540" s="130"/>
      <c r="C540" s="135"/>
      <c r="D540" s="177"/>
      <c r="E540" s="178"/>
      <c r="F540" s="178"/>
      <c r="G540" s="340"/>
      <c r="H540" s="340"/>
      <c r="I540" s="179"/>
      <c r="J540" s="344"/>
      <c r="K540" s="345"/>
      <c r="L540" s="346"/>
      <c r="M540" s="347"/>
      <c r="N540" s="347"/>
      <c r="O540" s="132"/>
    </row>
    <row r="541" spans="2:15" ht="26.25" customHeight="1" x14ac:dyDescent="0.25">
      <c r="B541" s="130"/>
      <c r="C541" s="135"/>
      <c r="D541" s="177"/>
      <c r="E541" s="178"/>
      <c r="F541" s="178"/>
      <c r="G541" s="340"/>
      <c r="H541" s="340"/>
      <c r="I541" s="179"/>
      <c r="J541" s="344"/>
      <c r="K541" s="345"/>
      <c r="L541" s="346"/>
      <c r="M541" s="347"/>
      <c r="N541" s="347"/>
      <c r="O541" s="132"/>
    </row>
    <row r="542" spans="2:15" ht="26.25" customHeight="1" x14ac:dyDescent="0.25">
      <c r="B542" s="130"/>
      <c r="C542" s="135"/>
      <c r="D542" s="177"/>
      <c r="E542" s="178"/>
      <c r="F542" s="178"/>
      <c r="G542" s="340"/>
      <c r="H542" s="340"/>
      <c r="I542" s="179"/>
      <c r="J542" s="344"/>
      <c r="K542" s="345"/>
      <c r="L542" s="346"/>
      <c r="M542" s="347"/>
      <c r="N542" s="347"/>
      <c r="O542" s="132"/>
    </row>
    <row r="543" spans="2:15" ht="26.25" customHeight="1" x14ac:dyDescent="0.25">
      <c r="B543" s="130"/>
      <c r="C543" s="135"/>
      <c r="D543" s="177"/>
      <c r="E543" s="178"/>
      <c r="F543" s="178"/>
      <c r="G543" s="340"/>
      <c r="H543" s="340"/>
      <c r="I543" s="179"/>
      <c r="J543" s="344"/>
      <c r="K543" s="345"/>
      <c r="L543" s="346"/>
      <c r="M543" s="347"/>
      <c r="N543" s="347"/>
      <c r="O543" s="132"/>
    </row>
    <row r="544" spans="2:15" ht="26.25" customHeight="1" x14ac:dyDescent="0.25">
      <c r="B544" s="130"/>
      <c r="C544" s="135"/>
      <c r="D544" s="177"/>
      <c r="E544" s="178"/>
      <c r="F544" s="178"/>
      <c r="G544" s="340"/>
      <c r="H544" s="340"/>
      <c r="I544" s="179"/>
      <c r="J544" s="344"/>
      <c r="K544" s="345"/>
      <c r="L544" s="346"/>
      <c r="M544" s="347"/>
      <c r="N544" s="347"/>
      <c r="O544" s="132"/>
    </row>
    <row r="545" spans="2:15" ht="26.25" customHeight="1" x14ac:dyDescent="0.25">
      <c r="B545" s="130"/>
      <c r="C545" s="135"/>
      <c r="D545" s="177"/>
      <c r="E545" s="178"/>
      <c r="F545" s="178"/>
      <c r="G545" s="340"/>
      <c r="H545" s="340"/>
      <c r="I545" s="179"/>
      <c r="J545" s="344"/>
      <c r="K545" s="345"/>
      <c r="L545" s="346"/>
      <c r="M545" s="347"/>
      <c r="N545" s="347"/>
      <c r="O545" s="132"/>
    </row>
    <row r="546" spans="2:15" ht="26.25" customHeight="1" x14ac:dyDescent="0.25">
      <c r="B546" s="130"/>
      <c r="C546" s="135"/>
      <c r="D546" s="177"/>
      <c r="E546" s="178"/>
      <c r="F546" s="178"/>
      <c r="G546" s="340"/>
      <c r="H546" s="340"/>
      <c r="I546" s="179"/>
      <c r="J546" s="344"/>
      <c r="K546" s="345"/>
      <c r="L546" s="346"/>
      <c r="M546" s="347"/>
      <c r="N546" s="347"/>
      <c r="O546" s="132"/>
    </row>
    <row r="547" spans="2:15" ht="26.25" customHeight="1" x14ac:dyDescent="0.25">
      <c r="B547" s="130"/>
      <c r="C547" s="135"/>
      <c r="D547" s="177"/>
      <c r="E547" s="178"/>
      <c r="F547" s="178"/>
      <c r="G547" s="340"/>
      <c r="H547" s="340"/>
      <c r="I547" s="179"/>
      <c r="J547" s="344"/>
      <c r="K547" s="345"/>
      <c r="L547" s="346"/>
      <c r="M547" s="347"/>
      <c r="N547" s="347"/>
      <c r="O547" s="132"/>
    </row>
    <row r="548" spans="2:15" ht="26.25" customHeight="1" x14ac:dyDescent="0.25">
      <c r="B548" s="130"/>
      <c r="C548" s="135"/>
      <c r="D548" s="177"/>
      <c r="E548" s="178"/>
      <c r="F548" s="178"/>
      <c r="G548" s="340"/>
      <c r="H548" s="340"/>
      <c r="I548" s="179"/>
      <c r="J548" s="344"/>
      <c r="K548" s="345"/>
      <c r="L548" s="346"/>
      <c r="M548" s="347"/>
      <c r="N548" s="347"/>
      <c r="O548" s="132"/>
    </row>
    <row r="549" spans="2:15" ht="26.25" customHeight="1" x14ac:dyDescent="0.25">
      <c r="B549" s="130"/>
      <c r="C549" s="135"/>
      <c r="D549" s="177"/>
      <c r="E549" s="178"/>
      <c r="F549" s="178"/>
      <c r="G549" s="340"/>
      <c r="H549" s="340"/>
      <c r="I549" s="179"/>
      <c r="J549" s="344"/>
      <c r="K549" s="345"/>
      <c r="L549" s="346"/>
      <c r="M549" s="347"/>
      <c r="N549" s="347"/>
      <c r="O549" s="132"/>
    </row>
    <row r="550" spans="2:15" ht="26.25" customHeight="1" x14ac:dyDescent="0.25">
      <c r="B550" s="130"/>
      <c r="C550" s="135"/>
      <c r="D550" s="177"/>
      <c r="E550" s="178"/>
      <c r="F550" s="178"/>
      <c r="G550" s="340"/>
      <c r="H550" s="340"/>
      <c r="I550" s="179"/>
      <c r="J550" s="344"/>
      <c r="K550" s="345"/>
      <c r="L550" s="346"/>
      <c r="M550" s="347"/>
      <c r="N550" s="347"/>
      <c r="O550" s="132"/>
    </row>
    <row r="551" spans="2:15" ht="26.25" customHeight="1" x14ac:dyDescent="0.25">
      <c r="B551" s="130"/>
      <c r="C551" s="135"/>
      <c r="D551" s="177"/>
      <c r="E551" s="178"/>
      <c r="F551" s="178"/>
      <c r="G551" s="340"/>
      <c r="H551" s="340"/>
      <c r="I551" s="179"/>
      <c r="J551" s="344"/>
      <c r="K551" s="345"/>
      <c r="L551" s="346"/>
      <c r="M551" s="347"/>
      <c r="N551" s="347"/>
      <c r="O551" s="132"/>
    </row>
    <row r="552" spans="2:15" ht="26.25" customHeight="1" x14ac:dyDescent="0.25">
      <c r="B552" s="130"/>
      <c r="C552" s="135"/>
      <c r="D552" s="177"/>
      <c r="E552" s="178"/>
      <c r="F552" s="178"/>
      <c r="G552" s="340"/>
      <c r="H552" s="340"/>
      <c r="I552" s="179"/>
      <c r="J552" s="344"/>
      <c r="K552" s="345"/>
      <c r="L552" s="346"/>
      <c r="M552" s="347"/>
      <c r="N552" s="347"/>
      <c r="O552" s="132"/>
    </row>
    <row r="553" spans="2:15" ht="26.25" customHeight="1" x14ac:dyDescent="0.25">
      <c r="B553" s="130"/>
      <c r="C553" s="135"/>
      <c r="D553" s="177"/>
      <c r="E553" s="178"/>
      <c r="F553" s="178"/>
      <c r="G553" s="340"/>
      <c r="H553" s="340"/>
      <c r="I553" s="179"/>
      <c r="J553" s="344"/>
      <c r="K553" s="345"/>
      <c r="L553" s="346"/>
      <c r="M553" s="347"/>
      <c r="N553" s="347"/>
      <c r="O553" s="132"/>
    </row>
    <row r="554" spans="2:15" ht="26.25" customHeight="1" x14ac:dyDescent="0.25">
      <c r="B554" s="130"/>
      <c r="C554" s="135"/>
      <c r="D554" s="177"/>
      <c r="E554" s="178"/>
      <c r="F554" s="178"/>
      <c r="G554" s="340"/>
      <c r="H554" s="340"/>
      <c r="I554" s="179"/>
      <c r="J554" s="344"/>
      <c r="K554" s="345"/>
      <c r="L554" s="346"/>
      <c r="M554" s="347"/>
      <c r="N554" s="347"/>
      <c r="O554" s="132"/>
    </row>
    <row r="555" spans="2:15" ht="26.25" customHeight="1" x14ac:dyDescent="0.25">
      <c r="B555" s="130"/>
      <c r="C555" s="135"/>
      <c r="D555" s="177"/>
      <c r="E555" s="178"/>
      <c r="F555" s="178"/>
      <c r="G555" s="340"/>
      <c r="H555" s="340"/>
      <c r="I555" s="179"/>
      <c r="J555" s="344"/>
      <c r="K555" s="345"/>
      <c r="L555" s="346"/>
      <c r="M555" s="347"/>
      <c r="N555" s="347"/>
      <c r="O555" s="132"/>
    </row>
    <row r="556" spans="2:15" ht="26.25" customHeight="1" x14ac:dyDescent="0.25">
      <c r="B556" s="130"/>
      <c r="C556" s="135"/>
      <c r="D556" s="177"/>
      <c r="E556" s="178"/>
      <c r="F556" s="178"/>
      <c r="G556" s="340"/>
      <c r="H556" s="340"/>
      <c r="I556" s="179"/>
      <c r="J556" s="344"/>
      <c r="K556" s="345"/>
      <c r="L556" s="346"/>
      <c r="M556" s="347"/>
      <c r="N556" s="347"/>
      <c r="O556" s="132"/>
    </row>
    <row r="557" spans="2:15" ht="26.25" customHeight="1" x14ac:dyDescent="0.25">
      <c r="B557" s="130"/>
      <c r="C557" s="135"/>
      <c r="D557" s="177"/>
      <c r="E557" s="178"/>
      <c r="F557" s="178"/>
      <c r="G557" s="340"/>
      <c r="H557" s="340"/>
      <c r="I557" s="179"/>
      <c r="J557" s="344"/>
      <c r="K557" s="345"/>
      <c r="L557" s="346"/>
      <c r="M557" s="347"/>
      <c r="N557" s="347"/>
      <c r="O557" s="132"/>
    </row>
    <row r="558" spans="2:15" ht="26.25" customHeight="1" x14ac:dyDescent="0.25">
      <c r="B558" s="130"/>
      <c r="C558" s="135"/>
      <c r="D558" s="177"/>
      <c r="E558" s="178"/>
      <c r="F558" s="178"/>
      <c r="G558" s="340"/>
      <c r="H558" s="340"/>
      <c r="I558" s="179"/>
      <c r="J558" s="344"/>
      <c r="K558" s="345"/>
      <c r="L558" s="346"/>
      <c r="M558" s="347"/>
      <c r="N558" s="347"/>
      <c r="O558" s="132"/>
    </row>
    <row r="559" spans="2:15" ht="26.25" customHeight="1" x14ac:dyDescent="0.25">
      <c r="B559" s="130"/>
      <c r="C559" s="135"/>
      <c r="D559" s="177"/>
      <c r="E559" s="178"/>
      <c r="F559" s="178"/>
      <c r="G559" s="340"/>
      <c r="H559" s="340"/>
      <c r="I559" s="179"/>
      <c r="J559" s="344"/>
      <c r="K559" s="345"/>
      <c r="L559" s="346"/>
      <c r="M559" s="347"/>
      <c r="N559" s="347"/>
      <c r="O559" s="132"/>
    </row>
    <row r="560" spans="2:15" ht="26.25" customHeight="1" x14ac:dyDescent="0.25">
      <c r="B560" s="130"/>
      <c r="C560" s="135"/>
      <c r="D560" s="177"/>
      <c r="E560" s="178"/>
      <c r="F560" s="178"/>
      <c r="G560" s="340"/>
      <c r="H560" s="340"/>
      <c r="I560" s="179"/>
      <c r="J560" s="344"/>
      <c r="K560" s="345"/>
      <c r="L560" s="346"/>
      <c r="M560" s="347"/>
      <c r="N560" s="347"/>
      <c r="O560" s="132"/>
    </row>
    <row r="561" spans="2:15" ht="26.25" customHeight="1" x14ac:dyDescent="0.25">
      <c r="B561" s="130"/>
      <c r="C561" s="135"/>
      <c r="D561" s="177"/>
      <c r="E561" s="178"/>
      <c r="F561" s="178"/>
      <c r="G561" s="340"/>
      <c r="H561" s="340"/>
      <c r="I561" s="179"/>
      <c r="J561" s="344"/>
      <c r="K561" s="345"/>
      <c r="L561" s="346"/>
      <c r="M561" s="347"/>
      <c r="N561" s="347"/>
      <c r="O561" s="132"/>
    </row>
    <row r="562" spans="2:15" ht="26.25" customHeight="1" x14ac:dyDescent="0.25">
      <c r="B562" s="130"/>
      <c r="C562" s="135"/>
      <c r="D562" s="177"/>
      <c r="E562" s="178"/>
      <c r="F562" s="178"/>
      <c r="G562" s="340"/>
      <c r="H562" s="340"/>
      <c r="I562" s="179"/>
      <c r="J562" s="344"/>
      <c r="K562" s="345"/>
      <c r="L562" s="346"/>
      <c r="M562" s="347"/>
      <c r="N562" s="347"/>
      <c r="O562" s="132"/>
    </row>
    <row r="563" spans="2:15" ht="26.25" customHeight="1" x14ac:dyDescent="0.25">
      <c r="B563" s="130"/>
      <c r="C563" s="135"/>
      <c r="D563" s="177"/>
      <c r="E563" s="178"/>
      <c r="F563" s="178"/>
      <c r="G563" s="340"/>
      <c r="H563" s="340"/>
      <c r="I563" s="179"/>
      <c r="J563" s="344"/>
      <c r="K563" s="345"/>
      <c r="L563" s="346"/>
      <c r="M563" s="347"/>
      <c r="N563" s="347"/>
      <c r="O563" s="132"/>
    </row>
    <row r="564" spans="2:15" ht="26.25" customHeight="1" x14ac:dyDescent="0.25">
      <c r="B564" s="130"/>
      <c r="C564" s="135"/>
      <c r="D564" s="177"/>
      <c r="E564" s="178"/>
      <c r="F564" s="178"/>
      <c r="G564" s="340"/>
      <c r="H564" s="340"/>
      <c r="I564" s="179"/>
      <c r="J564" s="344"/>
      <c r="K564" s="345"/>
      <c r="L564" s="346"/>
      <c r="M564" s="347"/>
      <c r="N564" s="347"/>
      <c r="O564" s="132"/>
    </row>
    <row r="565" spans="2:15" ht="26.25" customHeight="1" x14ac:dyDescent="0.25">
      <c r="B565" s="130"/>
      <c r="C565" s="135"/>
      <c r="D565" s="177"/>
      <c r="E565" s="178"/>
      <c r="F565" s="178"/>
      <c r="G565" s="340"/>
      <c r="H565" s="340"/>
      <c r="I565" s="179"/>
      <c r="J565" s="344"/>
      <c r="K565" s="345"/>
      <c r="L565" s="346"/>
      <c r="M565" s="347"/>
      <c r="N565" s="347"/>
      <c r="O565" s="132"/>
    </row>
    <row r="566" spans="2:15" ht="26.25" customHeight="1" x14ac:dyDescent="0.25">
      <c r="B566" s="130"/>
      <c r="C566" s="135"/>
      <c r="D566" s="177"/>
      <c r="E566" s="178"/>
      <c r="F566" s="178"/>
      <c r="G566" s="340"/>
      <c r="H566" s="340"/>
      <c r="I566" s="179"/>
      <c r="J566" s="344"/>
      <c r="K566" s="345"/>
      <c r="L566" s="346"/>
      <c r="M566" s="347"/>
      <c r="N566" s="347"/>
      <c r="O566" s="132"/>
    </row>
    <row r="567" spans="2:15" ht="26.25" customHeight="1" x14ac:dyDescent="0.25">
      <c r="B567" s="130"/>
      <c r="C567" s="135"/>
      <c r="D567" s="177"/>
      <c r="E567" s="178"/>
      <c r="F567" s="178"/>
      <c r="G567" s="340"/>
      <c r="H567" s="340"/>
      <c r="I567" s="179"/>
      <c r="J567" s="344"/>
      <c r="K567" s="345"/>
      <c r="L567" s="346"/>
      <c r="M567" s="347"/>
      <c r="N567" s="347"/>
      <c r="O567" s="132"/>
    </row>
    <row r="568" spans="2:15" ht="26.25" customHeight="1" x14ac:dyDescent="0.25">
      <c r="B568" s="130"/>
      <c r="C568" s="135"/>
      <c r="D568" s="177"/>
      <c r="E568" s="178"/>
      <c r="F568" s="178"/>
      <c r="G568" s="340"/>
      <c r="H568" s="340"/>
      <c r="I568" s="179"/>
      <c r="J568" s="344"/>
      <c r="K568" s="345"/>
      <c r="L568" s="346"/>
      <c r="M568" s="347"/>
      <c r="N568" s="347"/>
      <c r="O568" s="132"/>
    </row>
    <row r="569" spans="2:15" ht="26.25" customHeight="1" x14ac:dyDescent="0.25">
      <c r="B569" s="130"/>
      <c r="C569" s="135"/>
      <c r="D569" s="177"/>
      <c r="E569" s="178"/>
      <c r="F569" s="178"/>
      <c r="G569" s="340"/>
      <c r="H569" s="340"/>
      <c r="I569" s="179"/>
      <c r="J569" s="344"/>
      <c r="K569" s="345"/>
      <c r="L569" s="346"/>
      <c r="M569" s="347"/>
      <c r="N569" s="347"/>
      <c r="O569" s="132"/>
    </row>
    <row r="570" spans="2:15" ht="26.25" customHeight="1" x14ac:dyDescent="0.25">
      <c r="B570" s="130"/>
      <c r="C570" s="135"/>
      <c r="D570" s="177"/>
      <c r="E570" s="178"/>
      <c r="F570" s="178"/>
      <c r="G570" s="340"/>
      <c r="H570" s="340"/>
      <c r="I570" s="179"/>
      <c r="J570" s="344"/>
      <c r="K570" s="345"/>
      <c r="L570" s="346"/>
      <c r="M570" s="347"/>
      <c r="N570" s="347"/>
      <c r="O570" s="132"/>
    </row>
    <row r="571" spans="2:15" ht="26.25" customHeight="1" x14ac:dyDescent="0.25">
      <c r="B571" s="130"/>
      <c r="C571" s="135"/>
      <c r="D571" s="177"/>
      <c r="E571" s="178"/>
      <c r="F571" s="178"/>
      <c r="G571" s="340"/>
      <c r="H571" s="340"/>
      <c r="I571" s="179"/>
      <c r="J571" s="344"/>
      <c r="K571" s="345"/>
      <c r="L571" s="346"/>
      <c r="M571" s="347"/>
      <c r="N571" s="347"/>
      <c r="O571" s="132"/>
    </row>
    <row r="572" spans="2:15" ht="26.25" customHeight="1" x14ac:dyDescent="0.25">
      <c r="B572" s="130"/>
      <c r="C572" s="135"/>
      <c r="D572" s="177"/>
      <c r="E572" s="178"/>
      <c r="F572" s="178"/>
      <c r="G572" s="340"/>
      <c r="H572" s="340"/>
      <c r="I572" s="179"/>
      <c r="J572" s="344"/>
      <c r="K572" s="345"/>
      <c r="L572" s="346"/>
      <c r="M572" s="347"/>
      <c r="N572" s="347"/>
      <c r="O572" s="132"/>
    </row>
    <row r="573" spans="2:15" ht="26.25" customHeight="1" x14ac:dyDescent="0.25">
      <c r="B573" s="130"/>
      <c r="C573" s="135"/>
      <c r="D573" s="177"/>
      <c r="E573" s="178"/>
      <c r="F573" s="178"/>
      <c r="G573" s="340"/>
      <c r="H573" s="340"/>
      <c r="I573" s="179"/>
      <c r="J573" s="344"/>
      <c r="K573" s="345"/>
      <c r="L573" s="346"/>
      <c r="M573" s="347"/>
      <c r="N573" s="347"/>
      <c r="O573" s="132"/>
    </row>
    <row r="574" spans="2:15" ht="26.25" customHeight="1" x14ac:dyDescent="0.25">
      <c r="B574" s="130"/>
      <c r="C574" s="135"/>
      <c r="D574" s="177"/>
      <c r="E574" s="178"/>
      <c r="F574" s="178"/>
      <c r="G574" s="340"/>
      <c r="H574" s="340"/>
      <c r="I574" s="179"/>
      <c r="J574" s="344"/>
      <c r="K574" s="345"/>
      <c r="L574" s="346"/>
      <c r="M574" s="347"/>
      <c r="N574" s="347"/>
      <c r="O574" s="132"/>
    </row>
    <row r="575" spans="2:15" ht="26.25" customHeight="1" x14ac:dyDescent="0.25">
      <c r="B575" s="130"/>
      <c r="C575" s="135"/>
      <c r="D575" s="177"/>
      <c r="E575" s="178"/>
      <c r="F575" s="178"/>
      <c r="G575" s="340"/>
      <c r="H575" s="340"/>
      <c r="I575" s="179"/>
      <c r="J575" s="344"/>
      <c r="K575" s="345"/>
      <c r="L575" s="346"/>
      <c r="M575" s="347"/>
      <c r="N575" s="347"/>
      <c r="O575" s="132"/>
    </row>
    <row r="576" spans="2:15" ht="26.25" customHeight="1" x14ac:dyDescent="0.25">
      <c r="B576" s="130"/>
      <c r="C576" s="135"/>
      <c r="D576" s="177"/>
      <c r="E576" s="178"/>
      <c r="F576" s="178"/>
      <c r="G576" s="340"/>
      <c r="H576" s="340"/>
      <c r="I576" s="179"/>
      <c r="J576" s="344"/>
      <c r="K576" s="345"/>
      <c r="L576" s="346"/>
      <c r="M576" s="347"/>
      <c r="N576" s="347"/>
      <c r="O576" s="132"/>
    </row>
    <row r="577" spans="2:15" ht="26.25" customHeight="1" x14ac:dyDescent="0.25">
      <c r="B577" s="130"/>
      <c r="C577" s="135"/>
      <c r="D577" s="177"/>
      <c r="E577" s="178"/>
      <c r="F577" s="178"/>
      <c r="G577" s="340"/>
      <c r="H577" s="340"/>
      <c r="I577" s="179"/>
      <c r="J577" s="344"/>
      <c r="K577" s="345"/>
      <c r="L577" s="346"/>
      <c r="M577" s="347"/>
      <c r="N577" s="347"/>
      <c r="O577" s="132"/>
    </row>
    <row r="578" spans="2:15" ht="26.25" customHeight="1" x14ac:dyDescent="0.25">
      <c r="B578" s="130"/>
      <c r="C578" s="135"/>
      <c r="D578" s="177"/>
      <c r="E578" s="178"/>
      <c r="F578" s="178"/>
      <c r="G578" s="340"/>
      <c r="H578" s="340"/>
      <c r="I578" s="179"/>
      <c r="J578" s="344"/>
      <c r="K578" s="345"/>
      <c r="L578" s="346"/>
      <c r="M578" s="347"/>
      <c r="N578" s="347"/>
      <c r="O578" s="132"/>
    </row>
    <row r="579" spans="2:15" ht="26.25" customHeight="1" x14ac:dyDescent="0.25">
      <c r="B579" s="130"/>
      <c r="C579" s="135"/>
      <c r="D579" s="177"/>
      <c r="E579" s="178"/>
      <c r="F579" s="178"/>
      <c r="G579" s="340"/>
      <c r="H579" s="340"/>
      <c r="I579" s="179"/>
      <c r="J579" s="344"/>
      <c r="K579" s="345"/>
      <c r="L579" s="346"/>
      <c r="M579" s="347"/>
      <c r="N579" s="347"/>
      <c r="O579" s="132"/>
    </row>
    <row r="580" spans="2:15" ht="26.25" customHeight="1" x14ac:dyDescent="0.25">
      <c r="B580" s="130"/>
      <c r="C580" s="135"/>
      <c r="D580" s="177"/>
      <c r="E580" s="178"/>
      <c r="F580" s="178"/>
      <c r="G580" s="340"/>
      <c r="H580" s="340"/>
      <c r="I580" s="179"/>
      <c r="J580" s="344"/>
      <c r="K580" s="345"/>
      <c r="L580" s="346"/>
      <c r="M580" s="347"/>
      <c r="N580" s="347"/>
      <c r="O580" s="132"/>
    </row>
    <row r="581" spans="2:15" ht="26.25" customHeight="1" x14ac:dyDescent="0.25">
      <c r="B581" s="130"/>
      <c r="C581" s="135"/>
      <c r="D581" s="177"/>
      <c r="E581" s="178"/>
      <c r="F581" s="178"/>
      <c r="G581" s="340"/>
      <c r="H581" s="340"/>
      <c r="I581" s="179"/>
      <c r="J581" s="344"/>
      <c r="K581" s="345"/>
      <c r="L581" s="346"/>
      <c r="M581" s="347"/>
      <c r="N581" s="347"/>
      <c r="O581" s="132"/>
    </row>
    <row r="582" spans="2:15" ht="26.25" customHeight="1" x14ac:dyDescent="0.25">
      <c r="B582" s="130"/>
      <c r="C582" s="135"/>
      <c r="D582" s="177"/>
      <c r="E582" s="178"/>
      <c r="F582" s="178"/>
      <c r="G582" s="340"/>
      <c r="H582" s="340"/>
      <c r="I582" s="179"/>
      <c r="J582" s="344"/>
      <c r="K582" s="345"/>
      <c r="L582" s="346"/>
      <c r="M582" s="347"/>
      <c r="N582" s="347"/>
      <c r="O582" s="132"/>
    </row>
    <row r="583" spans="2:15" ht="26.25" customHeight="1" x14ac:dyDescent="0.25">
      <c r="B583" s="130"/>
      <c r="C583" s="135"/>
      <c r="D583" s="177"/>
      <c r="E583" s="178"/>
      <c r="F583" s="178"/>
      <c r="G583" s="340"/>
      <c r="H583" s="340"/>
      <c r="I583" s="179"/>
      <c r="J583" s="344"/>
      <c r="K583" s="345"/>
      <c r="L583" s="346"/>
      <c r="M583" s="347"/>
      <c r="N583" s="347"/>
      <c r="O583" s="132"/>
    </row>
    <row r="584" spans="2:15" ht="26.25" customHeight="1" x14ac:dyDescent="0.25">
      <c r="B584" s="130"/>
      <c r="C584" s="135"/>
      <c r="D584" s="177"/>
      <c r="E584" s="178"/>
      <c r="F584" s="178"/>
      <c r="G584" s="340"/>
      <c r="H584" s="340"/>
      <c r="I584" s="179"/>
      <c r="J584" s="344"/>
      <c r="K584" s="345"/>
      <c r="L584" s="346"/>
      <c r="M584" s="347"/>
      <c r="N584" s="347"/>
      <c r="O584" s="132"/>
    </row>
    <row r="585" spans="2:15" ht="26.25" customHeight="1" x14ac:dyDescent="0.25">
      <c r="B585" s="130"/>
      <c r="C585" s="135"/>
      <c r="D585" s="177"/>
      <c r="E585" s="178"/>
      <c r="F585" s="178"/>
      <c r="G585" s="340"/>
      <c r="H585" s="340"/>
      <c r="I585" s="179"/>
      <c r="J585" s="344"/>
      <c r="K585" s="345"/>
      <c r="L585" s="346"/>
      <c r="M585" s="347"/>
      <c r="N585" s="347"/>
      <c r="O585" s="132"/>
    </row>
    <row r="586" spans="2:15" ht="26.25" customHeight="1" x14ac:dyDescent="0.25">
      <c r="B586" s="130"/>
      <c r="C586" s="135"/>
      <c r="D586" s="177"/>
      <c r="E586" s="178"/>
      <c r="F586" s="178"/>
      <c r="G586" s="340"/>
      <c r="H586" s="340"/>
      <c r="I586" s="179"/>
      <c r="J586" s="344"/>
      <c r="K586" s="345"/>
      <c r="L586" s="346"/>
      <c r="M586" s="347"/>
      <c r="N586" s="347"/>
      <c r="O586" s="132"/>
    </row>
    <row r="587" spans="2:15" ht="26.25" customHeight="1" x14ac:dyDescent="0.25">
      <c r="B587" s="130"/>
      <c r="C587" s="135"/>
      <c r="D587" s="177"/>
      <c r="E587" s="178"/>
      <c r="F587" s="178"/>
      <c r="G587" s="340"/>
      <c r="H587" s="340"/>
      <c r="I587" s="179"/>
      <c r="J587" s="344"/>
      <c r="K587" s="345"/>
      <c r="L587" s="346"/>
      <c r="M587" s="347"/>
      <c r="N587" s="347"/>
      <c r="O587" s="132"/>
    </row>
    <row r="588" spans="2:15" ht="26.25" customHeight="1" x14ac:dyDescent="0.25">
      <c r="B588" s="130"/>
      <c r="C588" s="135"/>
      <c r="D588" s="177"/>
      <c r="E588" s="178"/>
      <c r="F588" s="178"/>
      <c r="G588" s="340"/>
      <c r="H588" s="340"/>
      <c r="I588" s="179"/>
      <c r="J588" s="344"/>
      <c r="K588" s="345"/>
      <c r="L588" s="346"/>
      <c r="M588" s="347"/>
      <c r="N588" s="347"/>
      <c r="O588" s="132"/>
    </row>
    <row r="589" spans="2:15" ht="26.25" customHeight="1" x14ac:dyDescent="0.25">
      <c r="B589" s="130"/>
      <c r="C589" s="135"/>
      <c r="D589" s="177"/>
      <c r="E589" s="178"/>
      <c r="F589" s="178"/>
      <c r="G589" s="340"/>
      <c r="H589" s="340"/>
      <c r="I589" s="179"/>
      <c r="J589" s="344"/>
      <c r="K589" s="345"/>
      <c r="L589" s="346"/>
      <c r="M589" s="347"/>
      <c r="N589" s="347"/>
      <c r="O589" s="132"/>
    </row>
    <row r="590" spans="2:15" ht="26.25" customHeight="1" x14ac:dyDescent="0.25">
      <c r="B590" s="130"/>
      <c r="C590" s="135"/>
      <c r="D590" s="177"/>
      <c r="E590" s="178"/>
      <c r="F590" s="178"/>
      <c r="G590" s="340"/>
      <c r="H590" s="340"/>
      <c r="I590" s="179"/>
      <c r="J590" s="344"/>
      <c r="K590" s="345"/>
      <c r="L590" s="346"/>
      <c r="M590" s="347"/>
      <c r="N590" s="347"/>
      <c r="O590" s="132"/>
    </row>
    <row r="591" spans="2:15" ht="26.25" customHeight="1" x14ac:dyDescent="0.25">
      <c r="B591" s="130"/>
      <c r="C591" s="135"/>
      <c r="D591" s="177"/>
      <c r="E591" s="178"/>
      <c r="F591" s="178"/>
      <c r="G591" s="340"/>
      <c r="H591" s="340"/>
      <c r="I591" s="179"/>
      <c r="J591" s="344"/>
      <c r="K591" s="345"/>
      <c r="L591" s="346"/>
      <c r="M591" s="347"/>
      <c r="N591" s="347"/>
      <c r="O591" s="132"/>
    </row>
    <row r="592" spans="2:15" ht="26.25" customHeight="1" x14ac:dyDescent="0.25">
      <c r="B592" s="130"/>
      <c r="C592" s="135"/>
      <c r="D592" s="177"/>
      <c r="E592" s="178"/>
      <c r="F592" s="178"/>
      <c r="G592" s="340"/>
      <c r="H592" s="340"/>
      <c r="I592" s="179"/>
      <c r="J592" s="344"/>
      <c r="K592" s="345"/>
      <c r="L592" s="346"/>
      <c r="M592" s="347"/>
      <c r="N592" s="347"/>
      <c r="O592" s="132"/>
    </row>
    <row r="593" spans="2:15" ht="26.25" customHeight="1" x14ac:dyDescent="0.25">
      <c r="B593" s="130"/>
      <c r="C593" s="135"/>
      <c r="D593" s="177"/>
      <c r="E593" s="178"/>
      <c r="F593" s="178"/>
      <c r="G593" s="340"/>
      <c r="H593" s="340"/>
      <c r="I593" s="179"/>
      <c r="J593" s="344"/>
      <c r="K593" s="345"/>
      <c r="L593" s="346"/>
      <c r="M593" s="347"/>
      <c r="N593" s="347"/>
      <c r="O593" s="132"/>
    </row>
    <row r="594" spans="2:15" ht="26.25" customHeight="1" x14ac:dyDescent="0.25">
      <c r="B594" s="130"/>
      <c r="C594" s="135"/>
      <c r="D594" s="177"/>
      <c r="E594" s="178"/>
      <c r="F594" s="178"/>
      <c r="G594" s="340"/>
      <c r="H594" s="340"/>
      <c r="I594" s="179"/>
      <c r="J594" s="344"/>
      <c r="K594" s="345"/>
      <c r="L594" s="346"/>
      <c r="M594" s="347"/>
      <c r="N594" s="347"/>
      <c r="O594" s="132"/>
    </row>
    <row r="595" spans="2:15" ht="26.25" customHeight="1" x14ac:dyDescent="0.25">
      <c r="B595" s="130"/>
      <c r="C595" s="135"/>
      <c r="D595" s="177"/>
      <c r="E595" s="178"/>
      <c r="F595" s="178"/>
      <c r="G595" s="340"/>
      <c r="H595" s="340"/>
      <c r="I595" s="179"/>
      <c r="J595" s="344"/>
      <c r="K595" s="345"/>
      <c r="L595" s="346"/>
      <c r="M595" s="347"/>
      <c r="N595" s="347"/>
      <c r="O595" s="132"/>
    </row>
    <row r="596" spans="2:15" ht="26.25" customHeight="1" x14ac:dyDescent="0.25">
      <c r="B596" s="130"/>
      <c r="C596" s="135"/>
      <c r="D596" s="177"/>
      <c r="E596" s="178"/>
      <c r="F596" s="178"/>
      <c r="G596" s="340"/>
      <c r="H596" s="340"/>
      <c r="I596" s="179"/>
      <c r="J596" s="344"/>
      <c r="K596" s="345"/>
      <c r="L596" s="346"/>
      <c r="M596" s="347"/>
      <c r="N596" s="347"/>
      <c r="O596" s="132"/>
    </row>
    <row r="597" spans="2:15" ht="26.25" customHeight="1" x14ac:dyDescent="0.25">
      <c r="B597" s="130"/>
      <c r="C597" s="135"/>
      <c r="D597" s="177"/>
      <c r="E597" s="178"/>
      <c r="F597" s="178"/>
      <c r="G597" s="340"/>
      <c r="H597" s="340"/>
      <c r="I597" s="179"/>
      <c r="J597" s="344"/>
      <c r="K597" s="345"/>
      <c r="L597" s="346"/>
      <c r="M597" s="347"/>
      <c r="N597" s="347"/>
      <c r="O597" s="132"/>
    </row>
    <row r="598" spans="2:15" ht="26.25" customHeight="1" x14ac:dyDescent="0.25">
      <c r="B598" s="130"/>
      <c r="C598" s="135"/>
      <c r="D598" s="177"/>
      <c r="E598" s="178"/>
      <c r="F598" s="178"/>
      <c r="G598" s="340"/>
      <c r="H598" s="340"/>
      <c r="I598" s="179"/>
      <c r="J598" s="344"/>
      <c r="K598" s="345"/>
      <c r="L598" s="346"/>
      <c r="M598" s="347"/>
      <c r="N598" s="347"/>
      <c r="O598" s="132"/>
    </row>
    <row r="599" spans="2:15" ht="26.25" customHeight="1" x14ac:dyDescent="0.25">
      <c r="B599" s="130"/>
      <c r="C599" s="135"/>
      <c r="D599" s="177"/>
      <c r="E599" s="178"/>
      <c r="F599" s="178"/>
      <c r="G599" s="340"/>
      <c r="H599" s="340"/>
      <c r="I599" s="179"/>
      <c r="J599" s="344"/>
      <c r="K599" s="345"/>
      <c r="L599" s="346"/>
      <c r="M599" s="347"/>
      <c r="N599" s="347"/>
      <c r="O599" s="132"/>
    </row>
    <row r="600" spans="2:15" ht="26.25" customHeight="1" x14ac:dyDescent="0.25">
      <c r="B600" s="130"/>
      <c r="C600" s="135"/>
      <c r="D600" s="177"/>
      <c r="E600" s="178"/>
      <c r="F600" s="178"/>
      <c r="G600" s="340"/>
      <c r="H600" s="340"/>
      <c r="I600" s="179"/>
      <c r="J600" s="344"/>
      <c r="K600" s="345"/>
      <c r="L600" s="346"/>
      <c r="M600" s="347"/>
      <c r="N600" s="347"/>
      <c r="O600" s="132"/>
    </row>
    <row r="601" spans="2:15" ht="26.25" customHeight="1" x14ac:dyDescent="0.25">
      <c r="B601" s="130"/>
      <c r="C601" s="135"/>
      <c r="D601" s="177"/>
      <c r="E601" s="178"/>
      <c r="F601" s="178"/>
      <c r="G601" s="340"/>
      <c r="H601" s="340"/>
      <c r="I601" s="179"/>
      <c r="J601" s="344"/>
      <c r="K601" s="345"/>
      <c r="L601" s="346"/>
      <c r="M601" s="347"/>
      <c r="N601" s="347"/>
      <c r="O601" s="132"/>
    </row>
    <row r="602" spans="2:15" ht="26.25" customHeight="1" x14ac:dyDescent="0.25">
      <c r="B602" s="130"/>
      <c r="C602" s="135"/>
      <c r="D602" s="177"/>
      <c r="E602" s="178"/>
      <c r="F602" s="178"/>
      <c r="G602" s="340"/>
      <c r="H602" s="340"/>
      <c r="I602" s="179"/>
      <c r="J602" s="344"/>
      <c r="K602" s="345"/>
      <c r="L602" s="346"/>
      <c r="M602" s="347"/>
      <c r="N602" s="347"/>
      <c r="O602" s="132"/>
    </row>
    <row r="603" spans="2:15" ht="26.25" customHeight="1" x14ac:dyDescent="0.25">
      <c r="B603" s="130"/>
      <c r="C603" s="135"/>
      <c r="D603" s="177"/>
      <c r="E603" s="178"/>
      <c r="F603" s="178"/>
      <c r="G603" s="340"/>
      <c r="H603" s="340"/>
      <c r="I603" s="179"/>
      <c r="J603" s="344"/>
      <c r="K603" s="345"/>
      <c r="L603" s="346"/>
      <c r="M603" s="347"/>
      <c r="N603" s="347"/>
      <c r="O603" s="132"/>
    </row>
    <row r="604" spans="2:15" ht="26.25" customHeight="1" x14ac:dyDescent="0.25">
      <c r="B604" s="130"/>
      <c r="C604" s="135"/>
      <c r="D604" s="177"/>
      <c r="E604" s="178"/>
      <c r="F604" s="178"/>
      <c r="G604" s="340"/>
      <c r="H604" s="340"/>
      <c r="I604" s="179"/>
      <c r="J604" s="344"/>
      <c r="K604" s="345"/>
      <c r="L604" s="346"/>
      <c r="M604" s="347"/>
      <c r="N604" s="347"/>
      <c r="O604" s="132"/>
    </row>
    <row r="605" spans="2:15" ht="26.25" customHeight="1" x14ac:dyDescent="0.25">
      <c r="B605" s="130"/>
      <c r="C605" s="135"/>
      <c r="D605" s="177"/>
      <c r="E605" s="178"/>
      <c r="F605" s="178"/>
      <c r="G605" s="340"/>
      <c r="H605" s="340"/>
      <c r="I605" s="179"/>
      <c r="J605" s="344"/>
      <c r="K605" s="345"/>
      <c r="L605" s="346"/>
      <c r="M605" s="347"/>
      <c r="N605" s="347"/>
      <c r="O605" s="132"/>
    </row>
    <row r="606" spans="2:15" ht="26.25" customHeight="1" x14ac:dyDescent="0.25">
      <c r="B606" s="130"/>
      <c r="C606" s="135"/>
      <c r="D606" s="177"/>
      <c r="E606" s="178"/>
      <c r="F606" s="178"/>
      <c r="G606" s="340"/>
      <c r="H606" s="340"/>
      <c r="I606" s="179"/>
      <c r="J606" s="344"/>
      <c r="K606" s="345"/>
      <c r="L606" s="346"/>
      <c r="M606" s="347"/>
      <c r="N606" s="347"/>
      <c r="O606" s="132"/>
    </row>
    <row r="607" spans="2:15" ht="26.25" customHeight="1" x14ac:dyDescent="0.25">
      <c r="B607" s="130"/>
      <c r="C607" s="135"/>
      <c r="D607" s="177"/>
      <c r="E607" s="178"/>
      <c r="F607" s="178"/>
      <c r="G607" s="340"/>
      <c r="H607" s="340"/>
      <c r="I607" s="179"/>
      <c r="J607" s="344"/>
      <c r="K607" s="345"/>
      <c r="L607" s="346"/>
      <c r="M607" s="347"/>
      <c r="N607" s="347"/>
      <c r="O607" s="132"/>
    </row>
    <row r="608" spans="2:15" ht="26.25" customHeight="1" x14ac:dyDescent="0.25">
      <c r="B608" s="130"/>
      <c r="C608" s="135"/>
      <c r="D608" s="177"/>
      <c r="E608" s="178"/>
      <c r="F608" s="178"/>
      <c r="G608" s="340"/>
      <c r="H608" s="340"/>
      <c r="I608" s="179"/>
      <c r="J608" s="344"/>
      <c r="K608" s="345"/>
      <c r="L608" s="346"/>
      <c r="M608" s="347"/>
      <c r="N608" s="347"/>
      <c r="O608" s="132"/>
    </row>
    <row r="609" spans="2:15" ht="26.25" customHeight="1" x14ac:dyDescent="0.25">
      <c r="B609" s="130"/>
      <c r="C609" s="135"/>
      <c r="D609" s="177"/>
      <c r="E609" s="178"/>
      <c r="F609" s="178"/>
      <c r="G609" s="340"/>
      <c r="H609" s="340"/>
      <c r="I609" s="179"/>
      <c r="J609" s="344"/>
      <c r="K609" s="345"/>
      <c r="L609" s="346"/>
      <c r="M609" s="347"/>
      <c r="N609" s="347"/>
      <c r="O609" s="132"/>
    </row>
    <row r="610" spans="2:15" ht="26.25" customHeight="1" x14ac:dyDescent="0.25">
      <c r="B610" s="130"/>
      <c r="C610" s="135"/>
      <c r="D610" s="177"/>
      <c r="E610" s="178"/>
      <c r="F610" s="178"/>
      <c r="G610" s="340"/>
      <c r="H610" s="340"/>
      <c r="I610" s="179"/>
      <c r="J610" s="344"/>
      <c r="K610" s="345"/>
      <c r="L610" s="346"/>
      <c r="M610" s="347"/>
      <c r="N610" s="347"/>
      <c r="O610" s="132"/>
    </row>
    <row r="611" spans="2:15" ht="26.25" customHeight="1" x14ac:dyDescent="0.25">
      <c r="B611" s="130"/>
      <c r="C611" s="135"/>
      <c r="D611" s="177"/>
      <c r="E611" s="178"/>
      <c r="F611" s="178"/>
      <c r="G611" s="340"/>
      <c r="H611" s="340"/>
      <c r="I611" s="179"/>
      <c r="J611" s="344"/>
      <c r="K611" s="345"/>
      <c r="L611" s="346"/>
      <c r="M611" s="347"/>
      <c r="N611" s="347"/>
      <c r="O611" s="132"/>
    </row>
    <row r="612" spans="2:15" ht="26.25" customHeight="1" x14ac:dyDescent="0.25">
      <c r="B612" s="130"/>
      <c r="C612" s="135"/>
      <c r="D612" s="177"/>
      <c r="E612" s="178"/>
      <c r="F612" s="178"/>
      <c r="G612" s="340"/>
      <c r="H612" s="340"/>
      <c r="I612" s="179"/>
      <c r="J612" s="344"/>
      <c r="K612" s="345"/>
      <c r="L612" s="346"/>
      <c r="M612" s="347"/>
      <c r="N612" s="347"/>
      <c r="O612" s="132"/>
    </row>
    <row r="613" spans="2:15" ht="26.25" customHeight="1" x14ac:dyDescent="0.25">
      <c r="B613" s="130"/>
      <c r="C613" s="135"/>
      <c r="D613" s="177"/>
      <c r="E613" s="178"/>
      <c r="F613" s="178"/>
      <c r="G613" s="340"/>
      <c r="H613" s="340"/>
      <c r="I613" s="179"/>
      <c r="J613" s="344"/>
      <c r="K613" s="345"/>
      <c r="L613" s="346"/>
      <c r="M613" s="347"/>
      <c r="N613" s="347"/>
      <c r="O613" s="132"/>
    </row>
    <row r="614" spans="2:15" ht="26.25" customHeight="1" x14ac:dyDescent="0.25">
      <c r="B614" s="130"/>
      <c r="C614" s="135"/>
      <c r="D614" s="177"/>
      <c r="E614" s="178"/>
      <c r="F614" s="178"/>
      <c r="G614" s="340"/>
      <c r="H614" s="340"/>
      <c r="I614" s="179"/>
      <c r="J614" s="344"/>
      <c r="K614" s="345"/>
      <c r="L614" s="346"/>
      <c r="M614" s="347"/>
      <c r="N614" s="347"/>
      <c r="O614" s="132"/>
    </row>
    <row r="615" spans="2:15" ht="26.25" customHeight="1" x14ac:dyDescent="0.25">
      <c r="B615" s="130"/>
      <c r="C615" s="135"/>
      <c r="D615" s="177"/>
      <c r="E615" s="178"/>
      <c r="F615" s="178"/>
      <c r="G615" s="340"/>
      <c r="H615" s="340"/>
      <c r="I615" s="179"/>
      <c r="J615" s="344"/>
      <c r="K615" s="345"/>
      <c r="L615" s="346"/>
      <c r="M615" s="347"/>
      <c r="N615" s="347"/>
      <c r="O615" s="132"/>
    </row>
    <row r="616" spans="2:15" ht="26.25" customHeight="1" x14ac:dyDescent="0.25">
      <c r="B616" s="130"/>
      <c r="C616" s="135"/>
      <c r="D616" s="177"/>
      <c r="E616" s="178"/>
      <c r="F616" s="178"/>
      <c r="G616" s="340"/>
      <c r="H616" s="340"/>
      <c r="I616" s="179"/>
      <c r="J616" s="344"/>
      <c r="K616" s="345"/>
      <c r="L616" s="346"/>
      <c r="M616" s="347"/>
      <c r="N616" s="347"/>
      <c r="O616" s="132"/>
    </row>
    <row r="617" spans="2:15" ht="26.25" customHeight="1" x14ac:dyDescent="0.25">
      <c r="B617" s="130"/>
      <c r="C617" s="135"/>
      <c r="D617" s="177"/>
      <c r="E617" s="178"/>
      <c r="F617" s="178"/>
      <c r="G617" s="340"/>
      <c r="H617" s="340"/>
      <c r="I617" s="179"/>
      <c r="J617" s="344"/>
      <c r="K617" s="345"/>
      <c r="L617" s="346"/>
      <c r="M617" s="347"/>
      <c r="N617" s="347"/>
      <c r="O617" s="132"/>
    </row>
    <row r="618" spans="2:15" ht="26.25" customHeight="1" x14ac:dyDescent="0.25">
      <c r="B618" s="130"/>
      <c r="C618" s="135"/>
      <c r="D618" s="177"/>
      <c r="E618" s="178"/>
      <c r="F618" s="178"/>
      <c r="G618" s="340"/>
      <c r="H618" s="340"/>
      <c r="I618" s="179"/>
      <c r="J618" s="344"/>
      <c r="K618" s="345"/>
      <c r="L618" s="346"/>
      <c r="M618" s="347"/>
      <c r="N618" s="347"/>
      <c r="O618" s="132"/>
    </row>
    <row r="619" spans="2:15" ht="26.25" customHeight="1" x14ac:dyDescent="0.25">
      <c r="B619" s="130"/>
      <c r="C619" s="135"/>
      <c r="D619" s="177"/>
      <c r="E619" s="178"/>
      <c r="F619" s="178"/>
      <c r="G619" s="340"/>
      <c r="H619" s="340"/>
      <c r="I619" s="179"/>
      <c r="J619" s="344"/>
      <c r="K619" s="345"/>
      <c r="L619" s="346"/>
      <c r="M619" s="347"/>
      <c r="N619" s="347"/>
      <c r="O619" s="132"/>
    </row>
    <row r="620" spans="2:15" ht="26.25" customHeight="1" x14ac:dyDescent="0.25">
      <c r="B620" s="130"/>
      <c r="C620" s="135"/>
      <c r="D620" s="177"/>
      <c r="E620" s="178"/>
      <c r="F620" s="178"/>
      <c r="G620" s="340"/>
      <c r="H620" s="340"/>
      <c r="I620" s="179"/>
      <c r="J620" s="344"/>
      <c r="K620" s="345"/>
      <c r="L620" s="346"/>
      <c r="M620" s="347"/>
      <c r="N620" s="347"/>
      <c r="O620" s="132"/>
    </row>
    <row r="621" spans="2:15" ht="26.25" customHeight="1" x14ac:dyDescent="0.25">
      <c r="B621" s="130"/>
      <c r="C621" s="135"/>
      <c r="D621" s="177"/>
      <c r="E621" s="178"/>
      <c r="F621" s="178"/>
      <c r="G621" s="340"/>
      <c r="H621" s="340"/>
      <c r="I621" s="179"/>
      <c r="J621" s="344"/>
      <c r="K621" s="345"/>
      <c r="L621" s="346"/>
      <c r="M621" s="347"/>
      <c r="N621" s="347"/>
      <c r="O621" s="132"/>
    </row>
    <row r="622" spans="2:15" ht="26.25" customHeight="1" x14ac:dyDescent="0.25">
      <c r="B622" s="130"/>
      <c r="C622" s="135"/>
      <c r="D622" s="177"/>
      <c r="E622" s="178"/>
      <c r="F622" s="178"/>
      <c r="G622" s="340"/>
      <c r="H622" s="340"/>
      <c r="I622" s="179"/>
      <c r="J622" s="344"/>
      <c r="K622" s="345"/>
      <c r="L622" s="346"/>
      <c r="M622" s="347"/>
      <c r="N622" s="347"/>
      <c r="O622" s="132"/>
    </row>
    <row r="623" spans="2:15" ht="26.25" customHeight="1" x14ac:dyDescent="0.25">
      <c r="B623" s="130"/>
      <c r="C623" s="135"/>
      <c r="D623" s="177"/>
      <c r="E623" s="178"/>
      <c r="F623" s="178"/>
      <c r="G623" s="340"/>
      <c r="H623" s="340"/>
      <c r="I623" s="179"/>
      <c r="J623" s="344"/>
      <c r="K623" s="345"/>
      <c r="L623" s="346"/>
      <c r="M623" s="347"/>
      <c r="N623" s="347"/>
      <c r="O623" s="132"/>
    </row>
    <row r="624" spans="2:15" ht="26.25" customHeight="1" x14ac:dyDescent="0.25">
      <c r="B624" s="130"/>
      <c r="C624" s="135"/>
      <c r="D624" s="177"/>
      <c r="E624" s="178"/>
      <c r="F624" s="178"/>
      <c r="G624" s="340"/>
      <c r="H624" s="340"/>
      <c r="I624" s="179"/>
      <c r="J624" s="344"/>
      <c r="K624" s="345"/>
      <c r="L624" s="346"/>
      <c r="M624" s="347"/>
      <c r="N624" s="347"/>
      <c r="O624" s="132"/>
    </row>
    <row r="625" spans="2:15" ht="26.25" customHeight="1" x14ac:dyDescent="0.25">
      <c r="B625" s="130"/>
      <c r="C625" s="135"/>
      <c r="D625" s="177"/>
      <c r="E625" s="178"/>
      <c r="F625" s="178"/>
      <c r="G625" s="340"/>
      <c r="H625" s="340"/>
      <c r="I625" s="179"/>
      <c r="J625" s="344"/>
      <c r="K625" s="345"/>
      <c r="L625" s="346"/>
      <c r="M625" s="347"/>
      <c r="N625" s="347"/>
      <c r="O625" s="132"/>
    </row>
    <row r="626" spans="2:15" ht="26.25" customHeight="1" x14ac:dyDescent="0.25">
      <c r="B626" s="130"/>
      <c r="C626" s="135"/>
      <c r="D626" s="177"/>
      <c r="E626" s="178"/>
      <c r="F626" s="178"/>
      <c r="G626" s="340"/>
      <c r="H626" s="340"/>
      <c r="I626" s="179"/>
      <c r="J626" s="344"/>
      <c r="K626" s="345"/>
      <c r="L626" s="346"/>
      <c r="M626" s="347"/>
      <c r="N626" s="347"/>
      <c r="O626" s="132"/>
    </row>
    <row r="627" spans="2:15" ht="26.25" customHeight="1" x14ac:dyDescent="0.25">
      <c r="B627" s="130"/>
      <c r="C627" s="135"/>
      <c r="D627" s="177"/>
      <c r="E627" s="178"/>
      <c r="F627" s="178"/>
      <c r="G627" s="340"/>
      <c r="H627" s="340"/>
      <c r="I627" s="179"/>
      <c r="J627" s="344"/>
      <c r="K627" s="345"/>
      <c r="L627" s="346"/>
      <c r="M627" s="347"/>
      <c r="N627" s="347"/>
      <c r="O627" s="132"/>
    </row>
    <row r="628" spans="2:15" ht="26.25" customHeight="1" x14ac:dyDescent="0.25">
      <c r="B628" s="130"/>
      <c r="C628" s="135"/>
      <c r="D628" s="177"/>
      <c r="E628" s="178"/>
      <c r="F628" s="178"/>
      <c r="G628" s="340"/>
      <c r="H628" s="340"/>
      <c r="I628" s="179"/>
      <c r="J628" s="344"/>
      <c r="K628" s="345"/>
      <c r="L628" s="346"/>
      <c r="M628" s="347"/>
      <c r="N628" s="347"/>
      <c r="O628" s="132"/>
    </row>
    <row r="629" spans="2:15" ht="26.25" customHeight="1" x14ac:dyDescent="0.25">
      <c r="B629" s="130"/>
      <c r="C629" s="135"/>
      <c r="D629" s="177"/>
      <c r="E629" s="178"/>
      <c r="F629" s="178"/>
      <c r="G629" s="340"/>
      <c r="H629" s="340"/>
      <c r="I629" s="179"/>
      <c r="J629" s="344"/>
      <c r="K629" s="345"/>
      <c r="L629" s="346"/>
      <c r="M629" s="347"/>
      <c r="N629" s="347"/>
      <c r="O629" s="132"/>
    </row>
    <row r="630" spans="2:15" ht="26.25" customHeight="1" x14ac:dyDescent="0.25">
      <c r="B630" s="130"/>
      <c r="C630" s="135"/>
      <c r="D630" s="177"/>
      <c r="E630" s="178"/>
      <c r="F630" s="178"/>
      <c r="G630" s="340"/>
      <c r="H630" s="340"/>
      <c r="I630" s="179"/>
      <c r="J630" s="344"/>
      <c r="K630" s="345"/>
      <c r="L630" s="346"/>
      <c r="M630" s="347"/>
      <c r="N630" s="347"/>
      <c r="O630" s="132"/>
    </row>
    <row r="631" spans="2:15" ht="26.25" customHeight="1" x14ac:dyDescent="0.25">
      <c r="B631" s="130"/>
      <c r="C631" s="135"/>
      <c r="D631" s="177"/>
      <c r="E631" s="178"/>
      <c r="F631" s="178"/>
      <c r="G631" s="340"/>
      <c r="H631" s="340"/>
      <c r="I631" s="179"/>
      <c r="J631" s="344"/>
      <c r="K631" s="345"/>
      <c r="L631" s="346"/>
      <c r="M631" s="347"/>
      <c r="N631" s="347"/>
      <c r="O631" s="132"/>
    </row>
    <row r="632" spans="2:15" ht="26.25" customHeight="1" x14ac:dyDescent="0.25">
      <c r="B632" s="130"/>
      <c r="C632" s="135"/>
      <c r="D632" s="177"/>
      <c r="E632" s="178"/>
      <c r="F632" s="178"/>
      <c r="G632" s="340"/>
      <c r="H632" s="340"/>
      <c r="I632" s="179"/>
      <c r="J632" s="344"/>
      <c r="K632" s="345"/>
      <c r="L632" s="346"/>
      <c r="M632" s="347"/>
      <c r="N632" s="347"/>
      <c r="O632" s="132"/>
    </row>
    <row r="633" spans="2:15" ht="26.25" customHeight="1" x14ac:dyDescent="0.25">
      <c r="B633" s="130"/>
      <c r="C633" s="135"/>
      <c r="D633" s="177"/>
      <c r="E633" s="178"/>
      <c r="F633" s="178"/>
      <c r="G633" s="340"/>
      <c r="H633" s="340"/>
      <c r="I633" s="179"/>
      <c r="J633" s="344"/>
      <c r="K633" s="345"/>
      <c r="L633" s="346"/>
      <c r="M633" s="347"/>
      <c r="N633" s="347"/>
      <c r="O633" s="132"/>
    </row>
    <row r="634" spans="2:15" ht="26.25" customHeight="1" x14ac:dyDescent="0.25">
      <c r="B634" s="130"/>
      <c r="C634" s="135"/>
      <c r="D634" s="177"/>
      <c r="E634" s="178"/>
      <c r="F634" s="178"/>
      <c r="G634" s="340"/>
      <c r="H634" s="340"/>
      <c r="I634" s="179"/>
      <c r="J634" s="344"/>
      <c r="K634" s="345"/>
      <c r="L634" s="346"/>
      <c r="M634" s="347"/>
      <c r="N634" s="347"/>
      <c r="O634" s="132"/>
    </row>
    <row r="635" spans="2:15" ht="26.25" customHeight="1" x14ac:dyDescent="0.25">
      <c r="B635" s="130"/>
      <c r="C635" s="135"/>
      <c r="D635" s="177"/>
      <c r="E635" s="178"/>
      <c r="F635" s="178"/>
      <c r="G635" s="340"/>
      <c r="H635" s="340"/>
      <c r="I635" s="179"/>
      <c r="J635" s="344"/>
      <c r="K635" s="345"/>
      <c r="L635" s="346"/>
      <c r="M635" s="347"/>
      <c r="N635" s="347"/>
      <c r="O635" s="132"/>
    </row>
    <row r="636" spans="2:15" ht="26.25" customHeight="1" x14ac:dyDescent="0.25">
      <c r="B636" s="130"/>
      <c r="C636" s="135"/>
      <c r="D636" s="177"/>
      <c r="E636" s="178"/>
      <c r="F636" s="178"/>
      <c r="G636" s="340"/>
      <c r="H636" s="340"/>
      <c r="I636" s="179"/>
      <c r="J636" s="344"/>
      <c r="K636" s="345"/>
      <c r="L636" s="346"/>
      <c r="M636" s="347"/>
      <c r="N636" s="347"/>
      <c r="O636" s="132"/>
    </row>
    <row r="637" spans="2:15" ht="26.25" customHeight="1" x14ac:dyDescent="0.25">
      <c r="B637" s="130"/>
      <c r="C637" s="135"/>
      <c r="D637" s="177"/>
      <c r="E637" s="178"/>
      <c r="F637" s="178"/>
      <c r="G637" s="340"/>
      <c r="H637" s="340"/>
      <c r="I637" s="179"/>
      <c r="J637" s="344"/>
      <c r="K637" s="345"/>
      <c r="L637" s="346"/>
      <c r="M637" s="347"/>
      <c r="N637" s="347"/>
      <c r="O637" s="132"/>
    </row>
    <row r="638" spans="2:15" ht="26.25" customHeight="1" x14ac:dyDescent="0.25">
      <c r="B638" s="130"/>
      <c r="C638" s="135"/>
      <c r="D638" s="177"/>
      <c r="E638" s="178"/>
      <c r="F638" s="178"/>
      <c r="G638" s="340"/>
      <c r="H638" s="340"/>
      <c r="I638" s="179"/>
      <c r="J638" s="344"/>
      <c r="K638" s="345"/>
      <c r="L638" s="346"/>
      <c r="M638" s="347"/>
      <c r="N638" s="347"/>
      <c r="O638" s="132"/>
    </row>
    <row r="639" spans="2:15" ht="26.25" customHeight="1" x14ac:dyDescent="0.25">
      <c r="B639" s="130"/>
      <c r="C639" s="135"/>
      <c r="D639" s="177"/>
      <c r="E639" s="178"/>
      <c r="F639" s="178"/>
      <c r="G639" s="340"/>
      <c r="H639" s="340"/>
      <c r="I639" s="179"/>
      <c r="J639" s="344"/>
      <c r="K639" s="345"/>
      <c r="L639" s="346"/>
      <c r="M639" s="347"/>
      <c r="N639" s="347"/>
      <c r="O639" s="132"/>
    </row>
    <row r="640" spans="2:15" ht="26.25" customHeight="1" x14ac:dyDescent="0.25">
      <c r="B640" s="130"/>
      <c r="C640" s="135"/>
      <c r="D640" s="177"/>
      <c r="E640" s="178"/>
      <c r="F640" s="178"/>
      <c r="G640" s="340"/>
      <c r="H640" s="340"/>
      <c r="I640" s="179"/>
      <c r="J640" s="344"/>
      <c r="K640" s="345"/>
      <c r="L640" s="346"/>
      <c r="M640" s="347"/>
      <c r="N640" s="347"/>
      <c r="O640" s="132"/>
    </row>
    <row r="641" spans="2:15" ht="26.25" customHeight="1" x14ac:dyDescent="0.25">
      <c r="B641" s="130"/>
      <c r="C641" s="135"/>
      <c r="D641" s="177"/>
      <c r="E641" s="178"/>
      <c r="F641" s="178"/>
      <c r="G641" s="340"/>
      <c r="H641" s="340"/>
      <c r="I641" s="179"/>
      <c r="J641" s="344"/>
      <c r="K641" s="345"/>
      <c r="L641" s="346"/>
      <c r="M641" s="347"/>
      <c r="N641" s="347"/>
      <c r="O641" s="132"/>
    </row>
    <row r="642" spans="2:15" ht="26.25" customHeight="1" x14ac:dyDescent="0.25">
      <c r="B642" s="130"/>
      <c r="C642" s="135"/>
      <c r="D642" s="177"/>
      <c r="E642" s="178"/>
      <c r="F642" s="178"/>
      <c r="G642" s="340"/>
      <c r="H642" s="340"/>
      <c r="I642" s="179"/>
      <c r="J642" s="344"/>
      <c r="K642" s="345"/>
      <c r="L642" s="346"/>
      <c r="M642" s="347"/>
      <c r="N642" s="347"/>
      <c r="O642" s="132"/>
    </row>
    <row r="643" spans="2:15" ht="26.25" customHeight="1" x14ac:dyDescent="0.25">
      <c r="B643" s="130"/>
      <c r="C643" s="135"/>
      <c r="D643" s="177"/>
      <c r="E643" s="178"/>
      <c r="F643" s="178"/>
      <c r="G643" s="340"/>
      <c r="H643" s="340"/>
      <c r="I643" s="179"/>
      <c r="J643" s="344"/>
      <c r="K643" s="345"/>
      <c r="L643" s="346"/>
      <c r="M643" s="347"/>
      <c r="N643" s="347"/>
      <c r="O643" s="132"/>
    </row>
    <row r="644" spans="2:15" ht="26.25" customHeight="1" x14ac:dyDescent="0.25">
      <c r="B644" s="130"/>
      <c r="C644" s="135"/>
      <c r="D644" s="177"/>
      <c r="E644" s="178"/>
      <c r="F644" s="178"/>
      <c r="G644" s="340"/>
      <c r="H644" s="340"/>
      <c r="I644" s="179"/>
      <c r="J644" s="344"/>
      <c r="K644" s="345"/>
      <c r="L644" s="346"/>
      <c r="M644" s="347"/>
      <c r="N644" s="347"/>
      <c r="O644" s="132"/>
    </row>
    <row r="645" spans="2:15" ht="26.25" customHeight="1" x14ac:dyDescent="0.25">
      <c r="B645" s="130"/>
      <c r="C645" s="135"/>
      <c r="D645" s="177"/>
      <c r="E645" s="178"/>
      <c r="F645" s="178"/>
      <c r="G645" s="340"/>
      <c r="H645" s="340"/>
      <c r="I645" s="179"/>
      <c r="J645" s="344"/>
      <c r="K645" s="345"/>
      <c r="L645" s="346"/>
      <c r="M645" s="347"/>
      <c r="N645" s="347"/>
      <c r="O645" s="132"/>
    </row>
    <row r="646" spans="2:15" ht="26.25" customHeight="1" x14ac:dyDescent="0.25">
      <c r="B646" s="130"/>
      <c r="C646" s="135"/>
      <c r="D646" s="177"/>
      <c r="E646" s="178"/>
      <c r="F646" s="178"/>
      <c r="G646" s="340"/>
      <c r="H646" s="340"/>
      <c r="I646" s="179"/>
      <c r="J646" s="344"/>
      <c r="K646" s="345"/>
      <c r="L646" s="346"/>
      <c r="M646" s="347"/>
      <c r="N646" s="347"/>
      <c r="O646" s="132"/>
    </row>
    <row r="647" spans="2:15" ht="26.25" customHeight="1" x14ac:dyDescent="0.25">
      <c r="B647" s="130"/>
      <c r="C647" s="135"/>
      <c r="D647" s="177"/>
      <c r="E647" s="178"/>
      <c r="F647" s="178"/>
      <c r="G647" s="340"/>
      <c r="H647" s="340"/>
      <c r="I647" s="179"/>
      <c r="J647" s="344"/>
      <c r="K647" s="345"/>
      <c r="L647" s="346"/>
      <c r="M647" s="347"/>
      <c r="N647" s="347"/>
      <c r="O647" s="132"/>
    </row>
    <row r="648" spans="2:15" ht="26.25" customHeight="1" x14ac:dyDescent="0.25">
      <c r="B648" s="130"/>
      <c r="C648" s="135"/>
      <c r="D648" s="177"/>
      <c r="E648" s="178"/>
      <c r="F648" s="178"/>
      <c r="G648" s="340"/>
      <c r="H648" s="340"/>
      <c r="I648" s="179"/>
      <c r="J648" s="344"/>
      <c r="K648" s="345"/>
      <c r="L648" s="346"/>
      <c r="M648" s="347"/>
      <c r="N648" s="347"/>
      <c r="O648" s="132"/>
    </row>
    <row r="649" spans="2:15" ht="26.25" customHeight="1" x14ac:dyDescent="0.25">
      <c r="B649" s="130"/>
      <c r="C649" s="135"/>
      <c r="D649" s="177"/>
      <c r="E649" s="178"/>
      <c r="F649" s="178"/>
      <c r="G649" s="340"/>
      <c r="H649" s="340"/>
      <c r="I649" s="179"/>
      <c r="J649" s="344"/>
      <c r="K649" s="345"/>
      <c r="L649" s="346"/>
      <c r="M649" s="347"/>
      <c r="N649" s="347"/>
      <c r="O649" s="132"/>
    </row>
    <row r="650" spans="2:15" ht="26.25" customHeight="1" x14ac:dyDescent="0.25">
      <c r="B650" s="130"/>
      <c r="C650" s="135"/>
      <c r="D650" s="177"/>
      <c r="E650" s="178"/>
      <c r="F650" s="178"/>
      <c r="G650" s="340"/>
      <c r="H650" s="340"/>
      <c r="I650" s="179"/>
      <c r="J650" s="344"/>
      <c r="K650" s="345"/>
      <c r="L650" s="346"/>
      <c r="M650" s="347"/>
      <c r="N650" s="347"/>
      <c r="O650" s="132"/>
    </row>
    <row r="651" spans="2:15" ht="26.25" customHeight="1" x14ac:dyDescent="0.25">
      <c r="B651" s="130"/>
      <c r="C651" s="135"/>
      <c r="D651" s="177"/>
      <c r="E651" s="178"/>
      <c r="F651" s="178"/>
      <c r="G651" s="340"/>
      <c r="H651" s="340"/>
      <c r="I651" s="179"/>
      <c r="J651" s="344"/>
      <c r="K651" s="345"/>
      <c r="L651" s="346"/>
      <c r="M651" s="347"/>
      <c r="N651" s="347"/>
      <c r="O651" s="132"/>
    </row>
    <row r="652" spans="2:15" ht="26.25" customHeight="1" x14ac:dyDescent="0.25">
      <c r="B652" s="130"/>
      <c r="C652" s="135"/>
      <c r="D652" s="177"/>
      <c r="E652" s="178"/>
      <c r="F652" s="178"/>
      <c r="G652" s="340"/>
      <c r="H652" s="340"/>
      <c r="I652" s="179"/>
      <c r="J652" s="344"/>
      <c r="K652" s="345"/>
      <c r="L652" s="346"/>
      <c r="M652" s="347"/>
      <c r="N652" s="347"/>
      <c r="O652" s="132"/>
    </row>
    <row r="653" spans="2:15" ht="26.25" customHeight="1" x14ac:dyDescent="0.25">
      <c r="B653" s="130"/>
      <c r="C653" s="135"/>
      <c r="D653" s="177"/>
      <c r="E653" s="178"/>
      <c r="F653" s="178"/>
      <c r="G653" s="340"/>
      <c r="H653" s="340"/>
      <c r="I653" s="179"/>
      <c r="J653" s="344"/>
      <c r="K653" s="345"/>
      <c r="L653" s="346"/>
      <c r="M653" s="347"/>
      <c r="N653" s="347"/>
      <c r="O653" s="132"/>
    </row>
    <row r="654" spans="2:15" ht="26.25" customHeight="1" x14ac:dyDescent="0.25">
      <c r="B654" s="130"/>
      <c r="C654" s="135"/>
      <c r="D654" s="177"/>
      <c r="E654" s="178"/>
      <c r="F654" s="178"/>
      <c r="G654" s="340"/>
      <c r="H654" s="340"/>
      <c r="I654" s="179"/>
      <c r="J654" s="344"/>
      <c r="K654" s="345"/>
      <c r="L654" s="346"/>
      <c r="M654" s="347"/>
      <c r="N654" s="347"/>
      <c r="O654" s="132"/>
    </row>
    <row r="655" spans="2:15" ht="26.25" customHeight="1" x14ac:dyDescent="0.25">
      <c r="B655" s="130"/>
      <c r="C655" s="135"/>
      <c r="D655" s="177"/>
      <c r="E655" s="178"/>
      <c r="F655" s="178"/>
      <c r="G655" s="340"/>
      <c r="H655" s="340"/>
      <c r="I655" s="179"/>
      <c r="J655" s="344"/>
      <c r="K655" s="345"/>
      <c r="L655" s="346"/>
      <c r="M655" s="347"/>
      <c r="N655" s="347"/>
      <c r="O655" s="132"/>
    </row>
    <row r="656" spans="2:15" ht="26.25" customHeight="1" x14ac:dyDescent="0.25">
      <c r="B656" s="130"/>
      <c r="C656" s="135"/>
      <c r="D656" s="177"/>
      <c r="E656" s="178"/>
      <c r="F656" s="178"/>
      <c r="G656" s="340"/>
      <c r="H656" s="340"/>
      <c r="I656" s="179"/>
      <c r="J656" s="344"/>
      <c r="K656" s="345"/>
      <c r="L656" s="346"/>
      <c r="M656" s="347"/>
      <c r="N656" s="347"/>
      <c r="O656" s="132"/>
    </row>
    <row r="657" spans="2:15" ht="26.25" customHeight="1" x14ac:dyDescent="0.25">
      <c r="B657" s="130"/>
      <c r="C657" s="135"/>
      <c r="D657" s="177"/>
      <c r="E657" s="178"/>
      <c r="F657" s="178"/>
      <c r="G657" s="340"/>
      <c r="H657" s="340"/>
      <c r="I657" s="179"/>
      <c r="J657" s="344"/>
      <c r="K657" s="345"/>
      <c r="L657" s="346"/>
      <c r="M657" s="347"/>
      <c r="N657" s="347"/>
      <c r="O657" s="132"/>
    </row>
    <row r="658" spans="2:15" ht="26.25" customHeight="1" x14ac:dyDescent="0.25">
      <c r="B658" s="130"/>
      <c r="C658" s="135"/>
      <c r="D658" s="177"/>
      <c r="E658" s="178"/>
      <c r="F658" s="178"/>
      <c r="G658" s="340"/>
      <c r="H658" s="340"/>
      <c r="I658" s="179"/>
      <c r="J658" s="344"/>
      <c r="K658" s="345"/>
      <c r="L658" s="346"/>
      <c r="M658" s="347"/>
      <c r="N658" s="347"/>
      <c r="O658" s="132"/>
    </row>
    <row r="659" spans="2:15" ht="26.25" customHeight="1" x14ac:dyDescent="0.25">
      <c r="B659" s="130"/>
      <c r="C659" s="135"/>
      <c r="D659" s="177"/>
      <c r="E659" s="178"/>
      <c r="F659" s="178"/>
      <c r="G659" s="340"/>
      <c r="H659" s="340"/>
      <c r="I659" s="179"/>
      <c r="J659" s="344"/>
      <c r="K659" s="345"/>
      <c r="L659" s="346"/>
      <c r="M659" s="347"/>
      <c r="N659" s="347"/>
      <c r="O659" s="132"/>
    </row>
    <row r="660" spans="2:15" ht="26.25" customHeight="1" x14ac:dyDescent="0.25">
      <c r="B660" s="130"/>
      <c r="C660" s="135"/>
      <c r="D660" s="177"/>
      <c r="E660" s="178"/>
      <c r="F660" s="178"/>
      <c r="G660" s="340"/>
      <c r="H660" s="340"/>
      <c r="I660" s="179"/>
      <c r="J660" s="344"/>
      <c r="K660" s="345"/>
      <c r="L660" s="346"/>
      <c r="M660" s="347"/>
      <c r="N660" s="347"/>
      <c r="O660" s="132"/>
    </row>
    <row r="661" spans="2:15" ht="26.25" customHeight="1" x14ac:dyDescent="0.25">
      <c r="B661" s="130"/>
      <c r="C661" s="135"/>
      <c r="D661" s="177"/>
      <c r="E661" s="178"/>
      <c r="F661" s="178"/>
      <c r="G661" s="340"/>
      <c r="H661" s="340"/>
      <c r="I661" s="179"/>
      <c r="J661" s="344"/>
      <c r="K661" s="345"/>
      <c r="L661" s="346"/>
      <c r="M661" s="347"/>
      <c r="N661" s="347"/>
      <c r="O661" s="132"/>
    </row>
    <row r="662" spans="2:15" ht="26.25" customHeight="1" x14ac:dyDescent="0.25">
      <c r="B662" s="130"/>
      <c r="C662" s="135"/>
      <c r="D662" s="177"/>
      <c r="E662" s="178"/>
      <c r="F662" s="178"/>
      <c r="G662" s="340"/>
      <c r="H662" s="340"/>
      <c r="I662" s="179"/>
      <c r="J662" s="344"/>
      <c r="K662" s="345"/>
      <c r="L662" s="346"/>
      <c r="M662" s="347"/>
      <c r="N662" s="347"/>
      <c r="O662" s="132"/>
    </row>
    <row r="663" spans="2:15" ht="26.25" customHeight="1" x14ac:dyDescent="0.25">
      <c r="B663" s="130"/>
      <c r="C663" s="135"/>
      <c r="D663" s="177"/>
      <c r="E663" s="178"/>
      <c r="F663" s="178"/>
      <c r="G663" s="340"/>
      <c r="H663" s="340"/>
      <c r="I663" s="179"/>
      <c r="J663" s="344"/>
      <c r="K663" s="345"/>
      <c r="L663" s="346"/>
      <c r="M663" s="347"/>
      <c r="N663" s="347"/>
      <c r="O663" s="132"/>
    </row>
    <row r="664" spans="2:15" ht="26.25" customHeight="1" x14ac:dyDescent="0.25">
      <c r="B664" s="130"/>
      <c r="C664" s="135"/>
      <c r="D664" s="177"/>
      <c r="E664" s="178"/>
      <c r="F664" s="178"/>
      <c r="G664" s="340"/>
      <c r="H664" s="340"/>
      <c r="I664" s="179"/>
      <c r="J664" s="344"/>
      <c r="K664" s="345"/>
      <c r="L664" s="346"/>
      <c r="M664" s="347"/>
      <c r="N664" s="347"/>
      <c r="O664" s="132"/>
    </row>
    <row r="665" spans="2:15" ht="26.25" customHeight="1" x14ac:dyDescent="0.25">
      <c r="B665" s="130"/>
      <c r="C665" s="135"/>
      <c r="D665" s="177"/>
      <c r="E665" s="178"/>
      <c r="F665" s="178"/>
      <c r="G665" s="340"/>
      <c r="H665" s="340"/>
      <c r="I665" s="179"/>
      <c r="J665" s="344"/>
      <c r="K665" s="345"/>
      <c r="L665" s="346"/>
      <c r="M665" s="347"/>
      <c r="N665" s="347"/>
      <c r="O665" s="132"/>
    </row>
    <row r="666" spans="2:15" ht="26.25" customHeight="1" x14ac:dyDescent="0.25">
      <c r="B666" s="130"/>
      <c r="C666" s="135"/>
      <c r="D666" s="177"/>
      <c r="E666" s="178"/>
      <c r="F666" s="178"/>
      <c r="G666" s="340"/>
      <c r="H666" s="340"/>
      <c r="I666" s="179"/>
      <c r="J666" s="344"/>
      <c r="K666" s="345"/>
      <c r="L666" s="346"/>
      <c r="M666" s="347"/>
      <c r="N666" s="347"/>
      <c r="O666" s="132"/>
    </row>
    <row r="667" spans="2:15" ht="26.25" customHeight="1" x14ac:dyDescent="0.25">
      <c r="B667" s="130"/>
      <c r="C667" s="135"/>
      <c r="D667" s="177"/>
      <c r="E667" s="178"/>
      <c r="F667" s="178"/>
      <c r="G667" s="340"/>
      <c r="H667" s="340"/>
      <c r="I667" s="179"/>
      <c r="J667" s="344"/>
      <c r="K667" s="345"/>
      <c r="L667" s="346"/>
      <c r="M667" s="347"/>
      <c r="N667" s="347"/>
      <c r="O667" s="132"/>
    </row>
    <row r="668" spans="2:15" ht="26.25" customHeight="1" x14ac:dyDescent="0.25">
      <c r="B668" s="130"/>
      <c r="C668" s="135"/>
      <c r="D668" s="177"/>
      <c r="E668" s="178"/>
      <c r="F668" s="178"/>
      <c r="G668" s="340"/>
      <c r="H668" s="340"/>
      <c r="I668" s="179"/>
      <c r="J668" s="344"/>
      <c r="K668" s="345"/>
      <c r="L668" s="346"/>
      <c r="M668" s="347"/>
      <c r="N668" s="347"/>
      <c r="O668" s="132"/>
    </row>
    <row r="669" spans="2:15" ht="26.25" customHeight="1" x14ac:dyDescent="0.25">
      <c r="B669" s="130"/>
      <c r="C669" s="135"/>
      <c r="D669" s="177"/>
      <c r="E669" s="178"/>
      <c r="F669" s="178"/>
      <c r="G669" s="340"/>
      <c r="H669" s="340"/>
      <c r="I669" s="179"/>
      <c r="J669" s="344"/>
      <c r="K669" s="345"/>
      <c r="L669" s="346"/>
      <c r="M669" s="347"/>
      <c r="N669" s="347"/>
      <c r="O669" s="132"/>
    </row>
    <row r="670" spans="2:15" ht="26.25" customHeight="1" x14ac:dyDescent="0.25">
      <c r="B670" s="130"/>
      <c r="C670" s="135"/>
      <c r="D670" s="177"/>
      <c r="E670" s="178"/>
      <c r="F670" s="178"/>
      <c r="G670" s="340"/>
      <c r="H670" s="340"/>
      <c r="I670" s="179"/>
      <c r="J670" s="344"/>
      <c r="K670" s="345"/>
      <c r="L670" s="346"/>
      <c r="M670" s="347"/>
      <c r="N670" s="347"/>
      <c r="O670" s="132"/>
    </row>
    <row r="671" spans="2:15" ht="26.25" customHeight="1" x14ac:dyDescent="0.25">
      <c r="B671" s="130"/>
      <c r="C671" s="135"/>
      <c r="D671" s="177"/>
      <c r="E671" s="178"/>
      <c r="F671" s="178"/>
      <c r="G671" s="340"/>
      <c r="H671" s="340"/>
      <c r="I671" s="179"/>
      <c r="J671" s="344"/>
      <c r="K671" s="345"/>
      <c r="L671" s="346"/>
      <c r="M671" s="347"/>
      <c r="N671" s="347"/>
      <c r="O671" s="132"/>
    </row>
    <row r="672" spans="2:15" ht="26.25" customHeight="1" x14ac:dyDescent="0.25">
      <c r="B672" s="130"/>
      <c r="C672" s="135"/>
      <c r="D672" s="177"/>
      <c r="E672" s="178"/>
      <c r="F672" s="178"/>
      <c r="G672" s="340"/>
      <c r="H672" s="340"/>
      <c r="I672" s="179"/>
      <c r="J672" s="344"/>
      <c r="K672" s="345"/>
      <c r="L672" s="346"/>
      <c r="M672" s="347"/>
      <c r="N672" s="347"/>
      <c r="O672" s="132"/>
    </row>
    <row r="673" spans="2:15" ht="26.25" customHeight="1" x14ac:dyDescent="0.25">
      <c r="B673" s="130"/>
      <c r="C673" s="135"/>
      <c r="D673" s="177"/>
      <c r="E673" s="178"/>
      <c r="F673" s="178"/>
      <c r="G673" s="340"/>
      <c r="H673" s="340"/>
      <c r="I673" s="179"/>
      <c r="J673" s="344"/>
      <c r="K673" s="345"/>
      <c r="L673" s="346"/>
      <c r="M673" s="347"/>
      <c r="N673" s="347"/>
      <c r="O673" s="132"/>
    </row>
    <row r="674" spans="2:15" ht="26.25" customHeight="1" x14ac:dyDescent="0.25">
      <c r="B674" s="130"/>
      <c r="C674" s="135"/>
      <c r="D674" s="177"/>
      <c r="E674" s="178"/>
      <c r="F674" s="178"/>
      <c r="G674" s="340"/>
      <c r="H674" s="340"/>
      <c r="I674" s="179"/>
      <c r="J674" s="344"/>
      <c r="K674" s="345"/>
      <c r="L674" s="346"/>
      <c r="M674" s="347"/>
      <c r="N674" s="347"/>
      <c r="O674" s="132"/>
    </row>
    <row r="675" spans="2:15" ht="26.25" customHeight="1" x14ac:dyDescent="0.25">
      <c r="B675" s="130"/>
      <c r="C675" s="135"/>
      <c r="D675" s="177"/>
      <c r="E675" s="178"/>
      <c r="F675" s="178"/>
      <c r="G675" s="340"/>
      <c r="H675" s="340"/>
      <c r="I675" s="179"/>
      <c r="J675" s="344"/>
      <c r="K675" s="345"/>
      <c r="L675" s="346"/>
      <c r="M675" s="347"/>
      <c r="N675" s="347"/>
      <c r="O675" s="132"/>
    </row>
    <row r="676" spans="2:15" ht="26.25" customHeight="1" x14ac:dyDescent="0.25">
      <c r="B676" s="130"/>
      <c r="C676" s="135"/>
      <c r="D676" s="177"/>
      <c r="E676" s="178"/>
      <c r="F676" s="178"/>
      <c r="G676" s="340"/>
      <c r="H676" s="340"/>
      <c r="I676" s="179"/>
      <c r="J676" s="344"/>
      <c r="K676" s="345"/>
      <c r="L676" s="346"/>
      <c r="M676" s="347"/>
      <c r="N676" s="347"/>
      <c r="O676" s="132"/>
    </row>
    <row r="677" spans="2:15" ht="26.25" customHeight="1" x14ac:dyDescent="0.25">
      <c r="B677" s="130"/>
      <c r="C677" s="135"/>
      <c r="D677" s="177"/>
      <c r="E677" s="178"/>
      <c r="F677" s="178"/>
      <c r="G677" s="340"/>
      <c r="H677" s="340"/>
      <c r="I677" s="179"/>
      <c r="J677" s="344"/>
      <c r="K677" s="345"/>
      <c r="L677" s="346"/>
      <c r="M677" s="347"/>
      <c r="N677" s="347"/>
      <c r="O677" s="132"/>
    </row>
    <row r="678" spans="2:15" ht="26.25" customHeight="1" x14ac:dyDescent="0.25">
      <c r="B678" s="130"/>
      <c r="C678" s="135"/>
      <c r="D678" s="177"/>
      <c r="E678" s="178"/>
      <c r="F678" s="178"/>
      <c r="G678" s="340"/>
      <c r="H678" s="340"/>
      <c r="I678" s="179"/>
      <c r="J678" s="344"/>
      <c r="K678" s="345"/>
      <c r="L678" s="346"/>
      <c r="M678" s="347"/>
      <c r="N678" s="347"/>
      <c r="O678" s="132"/>
    </row>
    <row r="679" spans="2:15" ht="26.25" customHeight="1" x14ac:dyDescent="0.25">
      <c r="B679" s="130"/>
      <c r="C679" s="135"/>
      <c r="D679" s="177"/>
      <c r="E679" s="178"/>
      <c r="F679" s="178"/>
      <c r="G679" s="340"/>
      <c r="H679" s="340"/>
      <c r="I679" s="179"/>
      <c r="J679" s="344"/>
      <c r="K679" s="345"/>
      <c r="L679" s="346"/>
      <c r="M679" s="347"/>
      <c r="N679" s="347"/>
      <c r="O679" s="132"/>
    </row>
    <row r="680" spans="2:15" ht="26.25" customHeight="1" x14ac:dyDescent="0.25">
      <c r="B680" s="130"/>
      <c r="C680" s="135"/>
      <c r="D680" s="177"/>
      <c r="E680" s="178"/>
      <c r="F680" s="178"/>
      <c r="G680" s="340"/>
      <c r="H680" s="340"/>
      <c r="I680" s="179"/>
      <c r="J680" s="344"/>
      <c r="K680" s="345"/>
      <c r="L680" s="346"/>
      <c r="M680" s="347"/>
      <c r="N680" s="347"/>
      <c r="O680" s="132"/>
    </row>
    <row r="681" spans="2:15" ht="26.25" customHeight="1" x14ac:dyDescent="0.25">
      <c r="B681" s="130"/>
      <c r="C681" s="135"/>
      <c r="D681" s="177"/>
      <c r="E681" s="178"/>
      <c r="F681" s="178"/>
      <c r="G681" s="340"/>
      <c r="H681" s="340"/>
      <c r="I681" s="179"/>
      <c r="J681" s="344"/>
      <c r="K681" s="345"/>
      <c r="L681" s="346"/>
      <c r="M681" s="347"/>
      <c r="N681" s="347"/>
      <c r="O681" s="132"/>
    </row>
    <row r="682" spans="2:15" ht="26.25" customHeight="1" x14ac:dyDescent="0.25">
      <c r="B682" s="130"/>
      <c r="C682" s="135"/>
      <c r="D682" s="177"/>
      <c r="E682" s="178"/>
      <c r="F682" s="178"/>
      <c r="G682" s="340"/>
      <c r="H682" s="340"/>
      <c r="I682" s="179"/>
      <c r="J682" s="344"/>
      <c r="K682" s="345"/>
      <c r="L682" s="346"/>
      <c r="M682" s="347"/>
      <c r="N682" s="347"/>
      <c r="O682" s="132"/>
    </row>
    <row r="683" spans="2:15" ht="26.25" customHeight="1" x14ac:dyDescent="0.25">
      <c r="B683" s="130"/>
      <c r="C683" s="135"/>
      <c r="D683" s="177"/>
      <c r="E683" s="178"/>
      <c r="F683" s="178"/>
      <c r="G683" s="340"/>
      <c r="H683" s="340"/>
      <c r="I683" s="179"/>
      <c r="J683" s="344"/>
      <c r="K683" s="345"/>
      <c r="L683" s="346"/>
      <c r="M683" s="347"/>
      <c r="N683" s="347"/>
      <c r="O683" s="132"/>
    </row>
    <row r="684" spans="2:15" ht="26.25" customHeight="1" x14ac:dyDescent="0.25">
      <c r="B684" s="130"/>
      <c r="C684" s="135"/>
      <c r="D684" s="177"/>
      <c r="E684" s="178"/>
      <c r="F684" s="178"/>
      <c r="G684" s="340"/>
      <c r="H684" s="340"/>
      <c r="I684" s="179"/>
      <c r="J684" s="344"/>
      <c r="K684" s="345"/>
      <c r="L684" s="346"/>
      <c r="M684" s="347"/>
      <c r="N684" s="347"/>
      <c r="O684" s="132"/>
    </row>
    <row r="685" spans="2:15" ht="26.25" customHeight="1" x14ac:dyDescent="0.25">
      <c r="B685" s="130"/>
      <c r="C685" s="135"/>
      <c r="D685" s="177"/>
      <c r="E685" s="178"/>
      <c r="F685" s="178"/>
      <c r="G685" s="340"/>
      <c r="H685" s="340"/>
      <c r="I685" s="179"/>
      <c r="J685" s="344"/>
      <c r="K685" s="345"/>
      <c r="L685" s="346"/>
      <c r="M685" s="347"/>
      <c r="N685" s="347"/>
      <c r="O685" s="132"/>
    </row>
    <row r="686" spans="2:15" ht="26.25" customHeight="1" x14ac:dyDescent="0.25">
      <c r="B686" s="130"/>
      <c r="C686" s="135"/>
      <c r="D686" s="177"/>
      <c r="E686" s="178"/>
      <c r="F686" s="178"/>
      <c r="G686" s="340"/>
      <c r="H686" s="340"/>
      <c r="I686" s="179"/>
      <c r="J686" s="344"/>
      <c r="K686" s="345"/>
      <c r="L686" s="346"/>
      <c r="M686" s="347"/>
      <c r="N686" s="347"/>
      <c r="O686" s="132"/>
    </row>
    <row r="687" spans="2:15" ht="26.25" customHeight="1" x14ac:dyDescent="0.25">
      <c r="B687" s="130"/>
      <c r="C687" s="135"/>
      <c r="D687" s="177"/>
      <c r="E687" s="178"/>
      <c r="F687" s="178"/>
      <c r="G687" s="340"/>
      <c r="H687" s="340"/>
      <c r="I687" s="179"/>
      <c r="J687" s="344"/>
      <c r="K687" s="345"/>
      <c r="L687" s="346"/>
      <c r="M687" s="347"/>
      <c r="N687" s="347"/>
      <c r="O687" s="132"/>
    </row>
    <row r="688" spans="2:15" ht="26.25" customHeight="1" x14ac:dyDescent="0.25">
      <c r="B688" s="130"/>
      <c r="C688" s="135"/>
      <c r="D688" s="177"/>
      <c r="E688" s="178"/>
      <c r="F688" s="178"/>
      <c r="G688" s="340"/>
      <c r="H688" s="340"/>
      <c r="I688" s="179"/>
      <c r="J688" s="344"/>
      <c r="K688" s="345"/>
      <c r="L688" s="346"/>
      <c r="M688" s="347"/>
      <c r="N688" s="347"/>
      <c r="O688" s="132"/>
    </row>
    <row r="689" spans="2:15" ht="26.25" customHeight="1" x14ac:dyDescent="0.25">
      <c r="B689" s="130"/>
      <c r="C689" s="135"/>
      <c r="D689" s="177"/>
      <c r="E689" s="178"/>
      <c r="F689" s="178"/>
      <c r="G689" s="340"/>
      <c r="H689" s="340"/>
      <c r="I689" s="179"/>
      <c r="J689" s="344"/>
      <c r="K689" s="345"/>
      <c r="L689" s="346"/>
      <c r="M689" s="347"/>
      <c r="N689" s="347"/>
      <c r="O689" s="132"/>
    </row>
    <row r="690" spans="2:15" ht="26.25" customHeight="1" x14ac:dyDescent="0.25">
      <c r="B690" s="130"/>
      <c r="C690" s="135"/>
      <c r="D690" s="177"/>
      <c r="E690" s="178"/>
      <c r="F690" s="178"/>
      <c r="G690" s="340"/>
      <c r="H690" s="340"/>
      <c r="I690" s="179"/>
      <c r="J690" s="344"/>
      <c r="K690" s="345"/>
      <c r="L690" s="346"/>
      <c r="M690" s="347"/>
      <c r="N690" s="347"/>
      <c r="O690" s="132"/>
    </row>
    <row r="691" spans="2:15" ht="26.25" customHeight="1" x14ac:dyDescent="0.25">
      <c r="B691" s="130"/>
      <c r="C691" s="135"/>
      <c r="D691" s="177"/>
      <c r="E691" s="178"/>
      <c r="F691" s="178"/>
      <c r="G691" s="340"/>
      <c r="H691" s="340"/>
      <c r="I691" s="179"/>
      <c r="J691" s="344"/>
      <c r="K691" s="345"/>
      <c r="L691" s="346"/>
      <c r="M691" s="347"/>
      <c r="N691" s="347"/>
      <c r="O691" s="132"/>
    </row>
    <row r="692" spans="2:15" ht="26.25" customHeight="1" x14ac:dyDescent="0.25">
      <c r="B692" s="130"/>
      <c r="C692" s="135"/>
      <c r="D692" s="177"/>
      <c r="E692" s="178"/>
      <c r="F692" s="178"/>
      <c r="G692" s="340"/>
      <c r="H692" s="340"/>
      <c r="I692" s="179"/>
      <c r="J692" s="344"/>
      <c r="K692" s="345"/>
      <c r="L692" s="346"/>
      <c r="M692" s="347"/>
      <c r="N692" s="347"/>
      <c r="O692" s="132"/>
    </row>
    <row r="693" spans="2:15" ht="26.25" customHeight="1" x14ac:dyDescent="0.25">
      <c r="B693" s="130"/>
      <c r="C693" s="135"/>
      <c r="D693" s="177"/>
      <c r="E693" s="178"/>
      <c r="F693" s="178"/>
      <c r="G693" s="340"/>
      <c r="H693" s="340"/>
      <c r="I693" s="179"/>
      <c r="J693" s="344"/>
      <c r="K693" s="345"/>
      <c r="L693" s="346"/>
      <c r="M693" s="347"/>
      <c r="N693" s="347"/>
      <c r="O693" s="132"/>
    </row>
    <row r="694" spans="2:15" ht="26.25" customHeight="1" x14ac:dyDescent="0.25">
      <c r="B694" s="130"/>
      <c r="C694" s="135"/>
      <c r="D694" s="177"/>
      <c r="E694" s="178"/>
      <c r="F694" s="178"/>
      <c r="G694" s="340"/>
      <c r="H694" s="340"/>
      <c r="I694" s="179"/>
      <c r="J694" s="344"/>
      <c r="K694" s="345"/>
      <c r="L694" s="346"/>
      <c r="M694" s="347"/>
      <c r="N694" s="347"/>
      <c r="O694" s="132"/>
    </row>
    <row r="695" spans="2:15" ht="26.25" customHeight="1" x14ac:dyDescent="0.25">
      <c r="B695" s="130"/>
      <c r="C695" s="135"/>
      <c r="D695" s="177"/>
      <c r="E695" s="178"/>
      <c r="F695" s="178"/>
      <c r="G695" s="340"/>
      <c r="H695" s="340"/>
      <c r="I695" s="179"/>
      <c r="J695" s="344"/>
      <c r="K695" s="345"/>
      <c r="L695" s="346"/>
      <c r="M695" s="347"/>
      <c r="N695" s="347"/>
      <c r="O695" s="132"/>
    </row>
    <row r="696" spans="2:15" ht="26.25" customHeight="1" x14ac:dyDescent="0.25">
      <c r="B696" s="130"/>
      <c r="C696" s="135"/>
      <c r="D696" s="177"/>
      <c r="E696" s="178"/>
      <c r="F696" s="178"/>
      <c r="G696" s="340"/>
      <c r="H696" s="340"/>
      <c r="I696" s="179"/>
      <c r="J696" s="344"/>
      <c r="K696" s="345"/>
      <c r="L696" s="346"/>
      <c r="M696" s="347"/>
      <c r="N696" s="347"/>
      <c r="O696" s="132"/>
    </row>
    <row r="697" spans="2:15" ht="26.25" customHeight="1" x14ac:dyDescent="0.25">
      <c r="B697" s="130"/>
      <c r="C697" s="135"/>
      <c r="D697" s="177"/>
      <c r="E697" s="178"/>
      <c r="F697" s="178"/>
      <c r="G697" s="340"/>
      <c r="H697" s="340"/>
      <c r="I697" s="179"/>
      <c r="J697" s="344"/>
      <c r="K697" s="345"/>
      <c r="L697" s="346"/>
      <c r="M697" s="347"/>
      <c r="N697" s="347"/>
      <c r="O697" s="132"/>
    </row>
    <row r="698" spans="2:15" ht="26.25" customHeight="1" x14ac:dyDescent="0.25">
      <c r="B698" s="130"/>
      <c r="C698" s="135"/>
      <c r="D698" s="177"/>
      <c r="E698" s="178"/>
      <c r="F698" s="178"/>
      <c r="G698" s="340"/>
      <c r="H698" s="340"/>
      <c r="I698" s="179"/>
      <c r="J698" s="344"/>
      <c r="K698" s="345"/>
      <c r="L698" s="346"/>
      <c r="M698" s="347"/>
      <c r="N698" s="347"/>
      <c r="O698" s="132"/>
    </row>
    <row r="699" spans="2:15" ht="26.25" customHeight="1" x14ac:dyDescent="0.25">
      <c r="B699" s="130"/>
      <c r="C699" s="135"/>
      <c r="D699" s="177"/>
      <c r="E699" s="178"/>
      <c r="F699" s="178"/>
      <c r="G699" s="340"/>
      <c r="H699" s="340"/>
      <c r="I699" s="179"/>
      <c r="J699" s="344"/>
      <c r="K699" s="345"/>
      <c r="L699" s="346"/>
      <c r="M699" s="347"/>
      <c r="N699" s="347"/>
      <c r="O699" s="132"/>
    </row>
    <row r="700" spans="2:15" ht="26.25" customHeight="1" x14ac:dyDescent="0.25">
      <c r="B700" s="130"/>
      <c r="C700" s="135"/>
      <c r="D700" s="177"/>
      <c r="E700" s="178"/>
      <c r="F700" s="178"/>
      <c r="G700" s="340"/>
      <c r="H700" s="340"/>
      <c r="I700" s="179"/>
      <c r="J700" s="344"/>
      <c r="K700" s="345"/>
      <c r="L700" s="346"/>
      <c r="M700" s="347"/>
      <c r="N700" s="347"/>
      <c r="O700" s="132"/>
    </row>
    <row r="701" spans="2:15" ht="26.25" customHeight="1" x14ac:dyDescent="0.25">
      <c r="B701" s="130"/>
      <c r="C701" s="135"/>
      <c r="D701" s="177"/>
      <c r="E701" s="178"/>
      <c r="F701" s="178"/>
      <c r="G701" s="340"/>
      <c r="H701" s="340"/>
      <c r="I701" s="179"/>
      <c r="J701" s="344"/>
      <c r="K701" s="345"/>
      <c r="L701" s="346"/>
      <c r="M701" s="347"/>
      <c r="N701" s="347"/>
      <c r="O701" s="132"/>
    </row>
    <row r="702" spans="2:15" ht="26.25" customHeight="1" x14ac:dyDescent="0.25">
      <c r="B702" s="130"/>
      <c r="C702" s="135"/>
      <c r="D702" s="177"/>
      <c r="E702" s="178"/>
      <c r="F702" s="178"/>
      <c r="G702" s="340"/>
      <c r="H702" s="340"/>
      <c r="I702" s="179"/>
      <c r="J702" s="344"/>
      <c r="K702" s="345"/>
      <c r="L702" s="346"/>
      <c r="M702" s="347"/>
      <c r="N702" s="347"/>
      <c r="O702" s="132"/>
    </row>
    <row r="703" spans="2:15" ht="26.25" customHeight="1" x14ac:dyDescent="0.25">
      <c r="B703" s="130"/>
      <c r="C703" s="135"/>
      <c r="D703" s="177"/>
      <c r="E703" s="178"/>
      <c r="F703" s="178"/>
      <c r="G703" s="340"/>
      <c r="H703" s="340"/>
      <c r="I703" s="179"/>
      <c r="J703" s="344"/>
      <c r="K703" s="345"/>
      <c r="L703" s="346"/>
      <c r="M703" s="347"/>
      <c r="N703" s="347"/>
      <c r="O703" s="132"/>
    </row>
    <row r="704" spans="2:15" ht="26.25" customHeight="1" x14ac:dyDescent="0.25">
      <c r="B704" s="130"/>
      <c r="C704" s="135"/>
      <c r="D704" s="177"/>
      <c r="E704" s="178"/>
      <c r="F704" s="178"/>
      <c r="G704" s="340"/>
      <c r="H704" s="340"/>
      <c r="I704" s="179"/>
      <c r="J704" s="344"/>
      <c r="K704" s="345"/>
      <c r="L704" s="346"/>
      <c r="M704" s="347"/>
      <c r="N704" s="347"/>
      <c r="O704" s="132"/>
    </row>
    <row r="705" spans="2:15" ht="26.25" customHeight="1" x14ac:dyDescent="0.25">
      <c r="B705" s="130"/>
      <c r="C705" s="135"/>
      <c r="D705" s="177"/>
      <c r="E705" s="178"/>
      <c r="F705" s="178"/>
      <c r="G705" s="340"/>
      <c r="H705" s="340"/>
      <c r="I705" s="179"/>
      <c r="J705" s="344"/>
      <c r="K705" s="345"/>
      <c r="L705" s="346"/>
      <c r="M705" s="347"/>
      <c r="N705" s="347"/>
      <c r="O705" s="132"/>
    </row>
    <row r="706" spans="2:15" ht="26.25" customHeight="1" x14ac:dyDescent="0.25">
      <c r="B706" s="130"/>
      <c r="C706" s="135"/>
      <c r="D706" s="177"/>
      <c r="E706" s="178"/>
      <c r="F706" s="178"/>
      <c r="G706" s="340"/>
      <c r="H706" s="340"/>
      <c r="I706" s="179"/>
      <c r="J706" s="344"/>
      <c r="K706" s="345"/>
      <c r="L706" s="346"/>
      <c r="M706" s="347"/>
      <c r="N706" s="347"/>
      <c r="O706" s="132"/>
    </row>
    <row r="707" spans="2:15" ht="26.25" customHeight="1" x14ac:dyDescent="0.25">
      <c r="B707" s="130"/>
      <c r="C707" s="135"/>
      <c r="D707" s="177"/>
      <c r="E707" s="178"/>
      <c r="F707" s="178"/>
      <c r="G707" s="340"/>
      <c r="H707" s="340"/>
      <c r="I707" s="179"/>
      <c r="J707" s="344"/>
      <c r="K707" s="345"/>
      <c r="L707" s="346"/>
      <c r="M707" s="347"/>
      <c r="N707" s="347"/>
      <c r="O707" s="132"/>
    </row>
    <row r="708" spans="2:15" ht="26.25" customHeight="1" x14ac:dyDescent="0.25">
      <c r="B708" s="130"/>
      <c r="C708" s="135"/>
      <c r="D708" s="177"/>
      <c r="E708" s="178"/>
      <c r="F708" s="178"/>
      <c r="G708" s="340"/>
      <c r="H708" s="340"/>
      <c r="I708" s="179"/>
      <c r="J708" s="344"/>
      <c r="K708" s="345"/>
      <c r="L708" s="346"/>
      <c r="M708" s="347"/>
      <c r="N708" s="347"/>
      <c r="O708" s="132"/>
    </row>
    <row r="709" spans="2:15" ht="26.25" customHeight="1" x14ac:dyDescent="0.25">
      <c r="B709" s="130"/>
      <c r="C709" s="135"/>
      <c r="D709" s="177"/>
      <c r="E709" s="178"/>
      <c r="F709" s="178"/>
      <c r="G709" s="340"/>
      <c r="H709" s="340"/>
      <c r="I709" s="179"/>
      <c r="J709" s="344"/>
      <c r="K709" s="345"/>
      <c r="L709" s="346"/>
      <c r="M709" s="347"/>
      <c r="N709" s="347"/>
      <c r="O709" s="132"/>
    </row>
    <row r="710" spans="2:15" ht="26.25" customHeight="1" x14ac:dyDescent="0.25">
      <c r="B710" s="130"/>
      <c r="C710" s="135"/>
      <c r="D710" s="177"/>
      <c r="E710" s="178"/>
      <c r="F710" s="178"/>
      <c r="G710" s="340"/>
      <c r="H710" s="340"/>
      <c r="I710" s="179"/>
      <c r="J710" s="344"/>
      <c r="K710" s="345"/>
      <c r="L710" s="346"/>
      <c r="M710" s="347"/>
      <c r="N710" s="347"/>
      <c r="O710" s="132"/>
    </row>
    <row r="711" spans="2:15" ht="26.25" customHeight="1" x14ac:dyDescent="0.25">
      <c r="B711" s="130"/>
      <c r="C711" s="135"/>
      <c r="D711" s="177"/>
      <c r="E711" s="178"/>
      <c r="F711" s="178"/>
      <c r="G711" s="340"/>
      <c r="H711" s="340"/>
      <c r="I711" s="179"/>
      <c r="J711" s="344"/>
      <c r="K711" s="345"/>
      <c r="L711" s="346"/>
      <c r="M711" s="347"/>
      <c r="N711" s="347"/>
      <c r="O711" s="132"/>
    </row>
    <row r="712" spans="2:15" ht="26.25" customHeight="1" x14ac:dyDescent="0.25">
      <c r="B712" s="130"/>
      <c r="C712" s="135"/>
      <c r="D712" s="177"/>
      <c r="E712" s="178"/>
      <c r="F712" s="178"/>
      <c r="G712" s="340"/>
      <c r="H712" s="340"/>
      <c r="I712" s="179"/>
      <c r="J712" s="344"/>
      <c r="K712" s="345"/>
      <c r="L712" s="346"/>
      <c r="M712" s="347"/>
      <c r="N712" s="347"/>
      <c r="O712" s="132"/>
    </row>
    <row r="713" spans="2:15" ht="26.25" customHeight="1" x14ac:dyDescent="0.25">
      <c r="B713" s="130"/>
      <c r="C713" s="135"/>
      <c r="D713" s="177"/>
      <c r="E713" s="178"/>
      <c r="F713" s="178"/>
      <c r="G713" s="340"/>
      <c r="H713" s="340"/>
      <c r="I713" s="179"/>
      <c r="J713" s="344"/>
      <c r="K713" s="345"/>
      <c r="L713" s="346"/>
      <c r="M713" s="347"/>
      <c r="N713" s="347"/>
      <c r="O713" s="132"/>
    </row>
    <row r="714" spans="2:15" ht="26.25" customHeight="1" x14ac:dyDescent="0.25">
      <c r="B714" s="130"/>
      <c r="C714" s="135"/>
      <c r="D714" s="177"/>
      <c r="E714" s="178"/>
      <c r="F714" s="178"/>
      <c r="G714" s="340"/>
      <c r="H714" s="340"/>
      <c r="I714" s="179"/>
      <c r="J714" s="344"/>
      <c r="K714" s="345"/>
      <c r="L714" s="346"/>
      <c r="M714" s="347"/>
      <c r="N714" s="347"/>
      <c r="O714" s="132"/>
    </row>
    <row r="715" spans="2:15" ht="26.25" customHeight="1" x14ac:dyDescent="0.25">
      <c r="B715" s="130"/>
      <c r="C715" s="135"/>
      <c r="D715" s="177"/>
      <c r="E715" s="178"/>
      <c r="F715" s="178"/>
      <c r="G715" s="340"/>
      <c r="H715" s="340"/>
      <c r="I715" s="179"/>
      <c r="J715" s="344"/>
      <c r="K715" s="345"/>
      <c r="L715" s="346"/>
      <c r="M715" s="347"/>
      <c r="N715" s="347"/>
      <c r="O715" s="132"/>
    </row>
    <row r="716" spans="2:15" ht="26.25" customHeight="1" x14ac:dyDescent="0.25">
      <c r="B716" s="130"/>
      <c r="C716" s="135"/>
      <c r="D716" s="177"/>
      <c r="E716" s="178"/>
      <c r="F716" s="178"/>
      <c r="G716" s="340"/>
      <c r="H716" s="340"/>
      <c r="I716" s="179"/>
      <c r="J716" s="344"/>
      <c r="K716" s="345"/>
      <c r="L716" s="346"/>
      <c r="M716" s="347"/>
      <c r="N716" s="347"/>
      <c r="O716" s="132"/>
    </row>
    <row r="717" spans="2:15" ht="26.25" customHeight="1" x14ac:dyDescent="0.25">
      <c r="B717" s="130"/>
      <c r="C717" s="135"/>
      <c r="D717" s="177"/>
      <c r="E717" s="178"/>
      <c r="F717" s="178"/>
      <c r="G717" s="340"/>
      <c r="H717" s="340"/>
      <c r="I717" s="179"/>
      <c r="J717" s="344"/>
      <c r="K717" s="345"/>
      <c r="L717" s="346"/>
      <c r="M717" s="347"/>
      <c r="N717" s="347"/>
      <c r="O717" s="132"/>
    </row>
    <row r="718" spans="2:15" ht="26.25" customHeight="1" x14ac:dyDescent="0.25">
      <c r="B718" s="130"/>
      <c r="C718" s="135"/>
      <c r="D718" s="177"/>
      <c r="E718" s="178"/>
      <c r="F718" s="178"/>
      <c r="G718" s="340"/>
      <c r="H718" s="340"/>
      <c r="I718" s="179"/>
      <c r="J718" s="344"/>
      <c r="K718" s="345"/>
      <c r="L718" s="346"/>
      <c r="M718" s="347"/>
      <c r="N718" s="347"/>
      <c r="O718" s="132"/>
    </row>
    <row r="719" spans="2:15" ht="26.25" customHeight="1" x14ac:dyDescent="0.25">
      <c r="B719" s="130"/>
      <c r="C719" s="135"/>
      <c r="D719" s="177"/>
      <c r="E719" s="178"/>
      <c r="F719" s="178"/>
      <c r="G719" s="340"/>
      <c r="H719" s="340"/>
      <c r="I719" s="179"/>
      <c r="J719" s="344"/>
      <c r="K719" s="345"/>
      <c r="L719" s="346"/>
      <c r="M719" s="347"/>
      <c r="N719" s="347"/>
      <c r="O719" s="132"/>
    </row>
    <row r="720" spans="2:15" ht="26.25" customHeight="1" x14ac:dyDescent="0.25">
      <c r="B720" s="130"/>
      <c r="C720" s="135"/>
      <c r="D720" s="177"/>
      <c r="E720" s="178"/>
      <c r="F720" s="178"/>
      <c r="G720" s="340"/>
      <c r="H720" s="340"/>
      <c r="I720" s="179"/>
      <c r="J720" s="344"/>
      <c r="K720" s="345"/>
      <c r="L720" s="346"/>
      <c r="M720" s="347"/>
      <c r="N720" s="347"/>
      <c r="O720" s="132"/>
    </row>
    <row r="721" spans="2:15" ht="26.25" customHeight="1" x14ac:dyDescent="0.25">
      <c r="B721" s="130"/>
      <c r="C721" s="135"/>
      <c r="D721" s="177"/>
      <c r="E721" s="178"/>
      <c r="F721" s="178"/>
      <c r="G721" s="340"/>
      <c r="H721" s="340"/>
      <c r="I721" s="179"/>
      <c r="J721" s="344"/>
      <c r="K721" s="345"/>
      <c r="L721" s="346"/>
      <c r="M721" s="347"/>
      <c r="N721" s="347"/>
      <c r="O721" s="132"/>
    </row>
    <row r="722" spans="2:15" ht="26.25" customHeight="1" x14ac:dyDescent="0.25">
      <c r="B722" s="130"/>
      <c r="C722" s="135"/>
      <c r="D722" s="177"/>
      <c r="E722" s="178"/>
      <c r="F722" s="178"/>
      <c r="G722" s="340"/>
      <c r="H722" s="340"/>
      <c r="I722" s="179"/>
      <c r="J722" s="344"/>
      <c r="K722" s="345"/>
      <c r="L722" s="346"/>
      <c r="M722" s="347"/>
      <c r="N722" s="347"/>
      <c r="O722" s="132"/>
    </row>
    <row r="723" spans="2:15" ht="26.25" customHeight="1" x14ac:dyDescent="0.25">
      <c r="B723" s="130"/>
      <c r="C723" s="135"/>
      <c r="D723" s="177"/>
      <c r="E723" s="178"/>
      <c r="F723" s="178"/>
      <c r="G723" s="340"/>
      <c r="H723" s="340"/>
      <c r="I723" s="179"/>
      <c r="J723" s="344"/>
      <c r="K723" s="345"/>
      <c r="L723" s="346"/>
      <c r="M723" s="347"/>
      <c r="N723" s="347"/>
      <c r="O723" s="132"/>
    </row>
    <row r="724" spans="2:15" ht="26.25" customHeight="1" x14ac:dyDescent="0.25">
      <c r="B724" s="130"/>
      <c r="C724" s="135"/>
      <c r="D724" s="177"/>
      <c r="E724" s="178"/>
      <c r="F724" s="178"/>
      <c r="G724" s="340"/>
      <c r="H724" s="340"/>
      <c r="I724" s="179"/>
      <c r="J724" s="344"/>
      <c r="K724" s="345"/>
      <c r="L724" s="346"/>
      <c r="M724" s="347"/>
      <c r="N724" s="347"/>
      <c r="O724" s="132"/>
    </row>
    <row r="725" spans="2:15" ht="26.25" customHeight="1" x14ac:dyDescent="0.25">
      <c r="B725" s="130"/>
      <c r="C725" s="135"/>
      <c r="D725" s="177"/>
      <c r="E725" s="178"/>
      <c r="F725" s="178"/>
      <c r="G725" s="340"/>
      <c r="H725" s="340"/>
      <c r="I725" s="179"/>
      <c r="J725" s="344"/>
      <c r="K725" s="345"/>
      <c r="L725" s="346"/>
      <c r="M725" s="347"/>
      <c r="N725" s="347"/>
      <c r="O725" s="132"/>
    </row>
    <row r="726" spans="2:15" ht="26.25" customHeight="1" x14ac:dyDescent="0.25">
      <c r="B726" s="130"/>
      <c r="C726" s="135"/>
      <c r="D726" s="177"/>
      <c r="E726" s="178"/>
      <c r="F726" s="178"/>
      <c r="G726" s="340"/>
      <c r="H726" s="340"/>
      <c r="I726" s="179"/>
      <c r="J726" s="344"/>
      <c r="K726" s="345"/>
      <c r="L726" s="346"/>
      <c r="M726" s="347"/>
      <c r="N726" s="347"/>
      <c r="O726" s="132"/>
    </row>
    <row r="727" spans="2:15" ht="26.25" customHeight="1" x14ac:dyDescent="0.25">
      <c r="B727" s="130"/>
      <c r="C727" s="135"/>
      <c r="D727" s="177"/>
      <c r="E727" s="178"/>
      <c r="F727" s="178"/>
      <c r="G727" s="340"/>
      <c r="H727" s="340"/>
      <c r="I727" s="179"/>
      <c r="J727" s="344"/>
      <c r="K727" s="345"/>
      <c r="L727" s="346"/>
      <c r="M727" s="347"/>
      <c r="N727" s="347"/>
      <c r="O727" s="132"/>
    </row>
    <row r="728" spans="2:15" ht="26.25" customHeight="1" x14ac:dyDescent="0.25">
      <c r="B728" s="130"/>
      <c r="C728" s="135"/>
      <c r="D728" s="177"/>
      <c r="E728" s="178"/>
      <c r="F728" s="178"/>
      <c r="G728" s="340"/>
      <c r="H728" s="340"/>
      <c r="I728" s="179"/>
      <c r="J728" s="344"/>
      <c r="K728" s="345"/>
      <c r="L728" s="346"/>
      <c r="M728" s="347"/>
      <c r="N728" s="347"/>
      <c r="O728" s="132"/>
    </row>
    <row r="729" spans="2:15" ht="26.25" customHeight="1" x14ac:dyDescent="0.25">
      <c r="B729" s="130"/>
      <c r="C729" s="135"/>
      <c r="D729" s="177"/>
      <c r="E729" s="178"/>
      <c r="F729" s="178"/>
      <c r="G729" s="340"/>
      <c r="H729" s="340"/>
      <c r="I729" s="179"/>
      <c r="J729" s="344"/>
      <c r="K729" s="345"/>
      <c r="L729" s="346"/>
      <c r="M729" s="347"/>
      <c r="N729" s="347"/>
      <c r="O729" s="132"/>
    </row>
    <row r="730" spans="2:15" ht="26.25" customHeight="1" x14ac:dyDescent="0.25">
      <c r="B730" s="130"/>
      <c r="C730" s="135"/>
      <c r="D730" s="177"/>
      <c r="E730" s="178"/>
      <c r="F730" s="178"/>
      <c r="G730" s="340"/>
      <c r="H730" s="340"/>
      <c r="I730" s="179"/>
      <c r="J730" s="344"/>
      <c r="K730" s="345"/>
      <c r="L730" s="346"/>
      <c r="M730" s="347"/>
      <c r="N730" s="347"/>
      <c r="O730" s="132"/>
    </row>
    <row r="731" spans="2:15" ht="26.25" customHeight="1" x14ac:dyDescent="0.25">
      <c r="B731" s="130"/>
      <c r="C731" s="135"/>
      <c r="D731" s="177"/>
      <c r="E731" s="178"/>
      <c r="F731" s="178"/>
      <c r="G731" s="340"/>
      <c r="H731" s="340"/>
      <c r="I731" s="179"/>
      <c r="J731" s="344"/>
      <c r="K731" s="345"/>
      <c r="L731" s="346"/>
      <c r="M731" s="347"/>
      <c r="N731" s="347"/>
      <c r="O731" s="132"/>
    </row>
    <row r="732" spans="2:15" ht="26.25" customHeight="1" x14ac:dyDescent="0.25">
      <c r="B732" s="130"/>
      <c r="C732" s="135"/>
      <c r="D732" s="177"/>
      <c r="E732" s="178"/>
      <c r="F732" s="178"/>
      <c r="G732" s="340"/>
      <c r="H732" s="340"/>
      <c r="I732" s="179"/>
      <c r="J732" s="344"/>
      <c r="K732" s="345"/>
      <c r="L732" s="346"/>
      <c r="M732" s="347"/>
      <c r="N732" s="347"/>
      <c r="O732" s="132"/>
    </row>
    <row r="733" spans="2:15" ht="26.25" customHeight="1" x14ac:dyDescent="0.25">
      <c r="B733" s="130"/>
      <c r="C733" s="135"/>
      <c r="D733" s="177"/>
      <c r="E733" s="178"/>
      <c r="F733" s="178"/>
      <c r="G733" s="340"/>
      <c r="H733" s="340"/>
      <c r="I733" s="179"/>
      <c r="J733" s="344"/>
      <c r="K733" s="345"/>
      <c r="L733" s="346"/>
      <c r="M733" s="347"/>
      <c r="N733" s="347"/>
      <c r="O733" s="132"/>
    </row>
    <row r="734" spans="2:15" ht="26.25" customHeight="1" x14ac:dyDescent="0.25">
      <c r="B734" s="130"/>
      <c r="C734" s="135"/>
      <c r="D734" s="177"/>
      <c r="E734" s="178"/>
      <c r="F734" s="178"/>
      <c r="G734" s="340"/>
      <c r="H734" s="340"/>
      <c r="I734" s="179"/>
      <c r="J734" s="344"/>
      <c r="K734" s="345"/>
      <c r="L734" s="346"/>
      <c r="M734" s="347"/>
      <c r="N734" s="347"/>
      <c r="O734" s="132"/>
    </row>
    <row r="735" spans="2:15" ht="26.25" customHeight="1" x14ac:dyDescent="0.25">
      <c r="B735" s="130"/>
      <c r="C735" s="135"/>
      <c r="D735" s="177"/>
      <c r="E735" s="178"/>
      <c r="F735" s="178"/>
      <c r="G735" s="340"/>
      <c r="H735" s="340"/>
      <c r="I735" s="179"/>
      <c r="J735" s="344"/>
      <c r="K735" s="345"/>
      <c r="L735" s="346"/>
      <c r="M735" s="347"/>
      <c r="N735" s="347"/>
      <c r="O735" s="132"/>
    </row>
    <row r="736" spans="2:15" ht="26.25" customHeight="1" x14ac:dyDescent="0.25">
      <c r="B736" s="130"/>
      <c r="C736" s="135"/>
      <c r="D736" s="177"/>
      <c r="E736" s="178"/>
      <c r="F736" s="178"/>
      <c r="G736" s="340"/>
      <c r="H736" s="340"/>
      <c r="I736" s="179"/>
      <c r="J736" s="344"/>
      <c r="K736" s="345"/>
      <c r="L736" s="346"/>
      <c r="M736" s="347"/>
      <c r="N736" s="347"/>
      <c r="O736" s="132"/>
    </row>
    <row r="737" spans="2:15" ht="26.25" customHeight="1" x14ac:dyDescent="0.25">
      <c r="B737" s="130"/>
      <c r="C737" s="135"/>
      <c r="D737" s="177"/>
      <c r="E737" s="178"/>
      <c r="F737" s="178"/>
      <c r="G737" s="340"/>
      <c r="H737" s="340"/>
      <c r="I737" s="179"/>
      <c r="J737" s="344"/>
      <c r="K737" s="345"/>
      <c r="L737" s="346"/>
      <c r="M737" s="347"/>
      <c r="N737" s="347"/>
      <c r="O737" s="132"/>
    </row>
    <row r="738" spans="2:15" ht="26.25" customHeight="1" x14ac:dyDescent="0.25">
      <c r="B738" s="130"/>
      <c r="C738" s="135"/>
      <c r="D738" s="177"/>
      <c r="E738" s="178"/>
      <c r="F738" s="178"/>
      <c r="G738" s="340"/>
      <c r="H738" s="340"/>
      <c r="I738" s="179"/>
      <c r="J738" s="344"/>
      <c r="K738" s="345"/>
      <c r="L738" s="346"/>
      <c r="M738" s="347"/>
      <c r="N738" s="347"/>
      <c r="O738" s="132"/>
    </row>
    <row r="739" spans="2:15" ht="26.25" customHeight="1" x14ac:dyDescent="0.25">
      <c r="B739" s="130"/>
      <c r="C739" s="135"/>
      <c r="D739" s="177"/>
      <c r="E739" s="178"/>
      <c r="F739" s="178"/>
      <c r="G739" s="340"/>
      <c r="H739" s="340"/>
      <c r="I739" s="179"/>
      <c r="J739" s="344"/>
      <c r="K739" s="345"/>
      <c r="L739" s="346"/>
      <c r="M739" s="347"/>
      <c r="N739" s="347"/>
      <c r="O739" s="132"/>
    </row>
    <row r="740" spans="2:15" ht="26.25" customHeight="1" x14ac:dyDescent="0.25">
      <c r="B740" s="130"/>
      <c r="C740" s="135"/>
      <c r="D740" s="177"/>
      <c r="E740" s="178"/>
      <c r="F740" s="178"/>
      <c r="G740" s="340"/>
      <c r="H740" s="340"/>
      <c r="I740" s="179"/>
      <c r="J740" s="344"/>
      <c r="K740" s="345"/>
      <c r="L740" s="346"/>
      <c r="M740" s="347"/>
      <c r="N740" s="347"/>
      <c r="O740" s="132"/>
    </row>
    <row r="741" spans="2:15" ht="26.25" customHeight="1" x14ac:dyDescent="0.25">
      <c r="B741" s="130"/>
      <c r="C741" s="135"/>
      <c r="D741" s="177"/>
      <c r="E741" s="178"/>
      <c r="F741" s="178"/>
      <c r="G741" s="340"/>
      <c r="H741" s="340"/>
      <c r="I741" s="179"/>
      <c r="J741" s="344"/>
      <c r="K741" s="345"/>
      <c r="L741" s="346"/>
      <c r="M741" s="347"/>
      <c r="N741" s="347"/>
      <c r="O741" s="132"/>
    </row>
    <row r="742" spans="2:15" ht="26.25" customHeight="1" x14ac:dyDescent="0.25">
      <c r="B742" s="130"/>
      <c r="C742" s="135"/>
      <c r="D742" s="177"/>
      <c r="E742" s="178"/>
      <c r="F742" s="178"/>
      <c r="G742" s="340"/>
      <c r="H742" s="340"/>
      <c r="I742" s="179"/>
      <c r="J742" s="344"/>
      <c r="K742" s="345"/>
      <c r="L742" s="346"/>
      <c r="M742" s="347"/>
      <c r="N742" s="347"/>
      <c r="O742" s="132"/>
    </row>
    <row r="743" spans="2:15" ht="26.25" customHeight="1" x14ac:dyDescent="0.25">
      <c r="B743" s="130"/>
      <c r="C743" s="135"/>
      <c r="D743" s="177"/>
      <c r="E743" s="178"/>
      <c r="F743" s="178"/>
      <c r="G743" s="340"/>
      <c r="H743" s="340"/>
      <c r="I743" s="179"/>
      <c r="J743" s="344"/>
      <c r="K743" s="345"/>
      <c r="L743" s="346"/>
      <c r="M743" s="347"/>
      <c r="N743" s="347"/>
      <c r="O743" s="132"/>
    </row>
    <row r="744" spans="2:15" ht="26.25" customHeight="1" x14ac:dyDescent="0.25">
      <c r="B744" s="130"/>
      <c r="C744" s="135"/>
      <c r="D744" s="177"/>
      <c r="E744" s="178"/>
      <c r="F744" s="178"/>
      <c r="G744" s="340"/>
      <c r="H744" s="340"/>
      <c r="I744" s="179"/>
      <c r="J744" s="344"/>
      <c r="K744" s="345"/>
      <c r="L744" s="346"/>
      <c r="M744" s="347"/>
      <c r="N744" s="347"/>
      <c r="O744" s="132"/>
    </row>
    <row r="745" spans="2:15" ht="26.25" customHeight="1" x14ac:dyDescent="0.25">
      <c r="B745" s="130"/>
      <c r="C745" s="135"/>
      <c r="D745" s="177"/>
      <c r="E745" s="178"/>
      <c r="F745" s="178"/>
      <c r="G745" s="340"/>
      <c r="H745" s="340"/>
      <c r="I745" s="179"/>
      <c r="J745" s="344"/>
      <c r="K745" s="345"/>
      <c r="L745" s="346"/>
      <c r="M745" s="347"/>
      <c r="N745" s="347"/>
      <c r="O745" s="132"/>
    </row>
    <row r="746" spans="2:15" ht="26.25" customHeight="1" x14ac:dyDescent="0.25">
      <c r="B746" s="130"/>
      <c r="C746" s="135"/>
      <c r="D746" s="177"/>
      <c r="E746" s="178"/>
      <c r="F746" s="178"/>
      <c r="G746" s="340"/>
      <c r="H746" s="340"/>
      <c r="I746" s="179"/>
      <c r="J746" s="344"/>
      <c r="K746" s="345"/>
      <c r="L746" s="346"/>
      <c r="M746" s="347"/>
      <c r="N746" s="347"/>
      <c r="O746" s="132"/>
    </row>
    <row r="747" spans="2:15" ht="26.25" customHeight="1" x14ac:dyDescent="0.25">
      <c r="B747" s="130"/>
      <c r="C747" s="135"/>
      <c r="D747" s="177"/>
      <c r="E747" s="178"/>
      <c r="F747" s="178"/>
      <c r="G747" s="340"/>
      <c r="H747" s="340"/>
      <c r="I747" s="179"/>
      <c r="J747" s="344"/>
      <c r="K747" s="345"/>
      <c r="L747" s="346"/>
      <c r="M747" s="347"/>
      <c r="N747" s="347"/>
      <c r="O747" s="132"/>
    </row>
    <row r="748" spans="2:15" ht="26.25" customHeight="1" x14ac:dyDescent="0.25">
      <c r="B748" s="130"/>
      <c r="C748" s="135"/>
      <c r="D748" s="177"/>
      <c r="E748" s="178"/>
      <c r="F748" s="178"/>
      <c r="G748" s="340"/>
      <c r="H748" s="340"/>
      <c r="I748" s="179"/>
      <c r="J748" s="344"/>
      <c r="K748" s="345"/>
      <c r="L748" s="346"/>
      <c r="M748" s="347"/>
      <c r="N748" s="347"/>
      <c r="O748" s="132"/>
    </row>
    <row r="749" spans="2:15" ht="26.25" customHeight="1" x14ac:dyDescent="0.25">
      <c r="B749" s="130"/>
      <c r="C749" s="135"/>
      <c r="D749" s="177"/>
      <c r="E749" s="178"/>
      <c r="F749" s="178"/>
      <c r="G749" s="340"/>
      <c r="H749" s="340"/>
      <c r="I749" s="179"/>
      <c r="J749" s="344"/>
      <c r="K749" s="345"/>
      <c r="L749" s="346"/>
      <c r="M749" s="347"/>
      <c r="N749" s="347"/>
      <c r="O749" s="132"/>
    </row>
    <row r="750" spans="2:15" ht="26.25" customHeight="1" x14ac:dyDescent="0.25">
      <c r="B750" s="130"/>
      <c r="C750" s="135"/>
      <c r="D750" s="177"/>
      <c r="E750" s="178"/>
      <c r="F750" s="178"/>
      <c r="G750" s="340"/>
      <c r="H750" s="340"/>
      <c r="I750" s="179"/>
      <c r="J750" s="344"/>
      <c r="K750" s="345"/>
      <c r="L750" s="346"/>
      <c r="M750" s="347"/>
      <c r="N750" s="347"/>
      <c r="O750" s="132"/>
    </row>
    <row r="751" spans="2:15" ht="26.25" customHeight="1" x14ac:dyDescent="0.25">
      <c r="B751" s="130"/>
      <c r="C751" s="135"/>
      <c r="D751" s="177"/>
      <c r="E751" s="178"/>
      <c r="F751" s="178"/>
      <c r="G751" s="340"/>
      <c r="H751" s="340"/>
      <c r="I751" s="179"/>
      <c r="J751" s="344"/>
      <c r="K751" s="345"/>
      <c r="L751" s="346"/>
      <c r="M751" s="347"/>
      <c r="N751" s="347"/>
      <c r="O751" s="132"/>
    </row>
    <row r="752" spans="2:15" ht="26.25" customHeight="1" x14ac:dyDescent="0.25">
      <c r="B752" s="130"/>
      <c r="C752" s="135"/>
      <c r="D752" s="177"/>
      <c r="E752" s="178"/>
      <c r="F752" s="178"/>
      <c r="G752" s="340"/>
      <c r="H752" s="340"/>
      <c r="I752" s="179"/>
      <c r="J752" s="344"/>
      <c r="K752" s="345"/>
      <c r="L752" s="346"/>
      <c r="M752" s="347"/>
      <c r="N752" s="347"/>
      <c r="O752" s="132"/>
    </row>
    <row r="753" spans="2:15" ht="26.25" customHeight="1" x14ac:dyDescent="0.25">
      <c r="B753" s="130"/>
      <c r="C753" s="135"/>
      <c r="D753" s="177"/>
      <c r="E753" s="178"/>
      <c r="F753" s="178"/>
      <c r="G753" s="340"/>
      <c r="H753" s="340"/>
      <c r="I753" s="179"/>
      <c r="J753" s="344"/>
      <c r="K753" s="345"/>
      <c r="L753" s="346"/>
      <c r="M753" s="347"/>
      <c r="N753" s="347"/>
      <c r="O753" s="132"/>
    </row>
    <row r="754" spans="2:15" ht="26.25" customHeight="1" x14ac:dyDescent="0.25">
      <c r="B754" s="130"/>
      <c r="C754" s="135"/>
      <c r="D754" s="177"/>
      <c r="E754" s="178"/>
      <c r="F754" s="178"/>
      <c r="G754" s="340"/>
      <c r="H754" s="340"/>
      <c r="I754" s="179"/>
      <c r="J754" s="344"/>
      <c r="K754" s="345"/>
      <c r="L754" s="346"/>
      <c r="M754" s="347"/>
      <c r="N754" s="347"/>
      <c r="O754" s="132"/>
    </row>
    <row r="755" spans="2:15" ht="26.25" customHeight="1" x14ac:dyDescent="0.25">
      <c r="B755" s="130"/>
      <c r="C755" s="135"/>
      <c r="D755" s="177"/>
      <c r="E755" s="178"/>
      <c r="F755" s="178"/>
      <c r="G755" s="340"/>
      <c r="H755" s="340"/>
      <c r="I755" s="179"/>
      <c r="J755" s="344"/>
      <c r="K755" s="345"/>
      <c r="L755" s="346"/>
      <c r="M755" s="347"/>
      <c r="N755" s="347"/>
      <c r="O755" s="132"/>
    </row>
    <row r="756" spans="2:15" ht="26.25" customHeight="1" x14ac:dyDescent="0.25">
      <c r="B756" s="130"/>
      <c r="C756" s="135"/>
      <c r="D756" s="177"/>
      <c r="E756" s="178"/>
      <c r="F756" s="178"/>
      <c r="G756" s="340"/>
      <c r="H756" s="340"/>
      <c r="I756" s="179"/>
      <c r="J756" s="344"/>
      <c r="K756" s="345"/>
      <c r="L756" s="346"/>
      <c r="M756" s="347"/>
      <c r="N756" s="347"/>
      <c r="O756" s="132"/>
    </row>
    <row r="757" spans="2:15" ht="26.25" customHeight="1" x14ac:dyDescent="0.25">
      <c r="B757" s="130"/>
      <c r="C757" s="135"/>
      <c r="D757" s="177"/>
      <c r="E757" s="178"/>
      <c r="F757" s="178"/>
      <c r="G757" s="340"/>
      <c r="H757" s="340"/>
      <c r="I757" s="179"/>
      <c r="J757" s="344"/>
      <c r="K757" s="345"/>
      <c r="L757" s="346"/>
      <c r="M757" s="347"/>
      <c r="N757" s="347"/>
      <c r="O757" s="132"/>
    </row>
    <row r="758" spans="2:15" ht="26.25" customHeight="1" x14ac:dyDescent="0.25">
      <c r="B758" s="130"/>
      <c r="C758" s="135"/>
      <c r="D758" s="177"/>
      <c r="E758" s="178"/>
      <c r="F758" s="178"/>
      <c r="G758" s="340"/>
      <c r="H758" s="340"/>
      <c r="I758" s="179"/>
      <c r="J758" s="344"/>
      <c r="K758" s="345"/>
      <c r="L758" s="346"/>
      <c r="M758" s="347"/>
      <c r="N758" s="347"/>
      <c r="O758" s="132"/>
    </row>
    <row r="759" spans="2:15" ht="26.25" customHeight="1" x14ac:dyDescent="0.25">
      <c r="B759" s="130"/>
      <c r="C759" s="135"/>
      <c r="D759" s="177"/>
      <c r="E759" s="178"/>
      <c r="F759" s="178"/>
      <c r="G759" s="340"/>
      <c r="H759" s="340"/>
      <c r="I759" s="179"/>
      <c r="J759" s="344"/>
      <c r="K759" s="345"/>
      <c r="L759" s="346"/>
      <c r="M759" s="347"/>
      <c r="N759" s="347"/>
      <c r="O759" s="132"/>
    </row>
    <row r="760" spans="2:15" ht="26.25" customHeight="1" x14ac:dyDescent="0.25">
      <c r="B760" s="130"/>
      <c r="C760" s="135"/>
      <c r="D760" s="177"/>
      <c r="E760" s="178"/>
      <c r="F760" s="178"/>
      <c r="G760" s="340"/>
      <c r="H760" s="340"/>
      <c r="I760" s="179"/>
      <c r="J760" s="344"/>
      <c r="K760" s="345"/>
      <c r="L760" s="346"/>
      <c r="M760" s="347"/>
      <c r="N760" s="347"/>
      <c r="O760" s="132"/>
    </row>
    <row r="761" spans="2:15" ht="26.25" customHeight="1" x14ac:dyDescent="0.25">
      <c r="B761" s="130"/>
      <c r="C761" s="135"/>
      <c r="D761" s="177"/>
      <c r="E761" s="178"/>
      <c r="F761" s="178"/>
      <c r="G761" s="340"/>
      <c r="H761" s="340"/>
      <c r="I761" s="179"/>
      <c r="J761" s="344"/>
      <c r="K761" s="345"/>
      <c r="L761" s="346"/>
      <c r="M761" s="347"/>
      <c r="N761" s="347"/>
      <c r="O761" s="132"/>
    </row>
    <row r="762" spans="2:15" ht="26.25" customHeight="1" x14ac:dyDescent="0.25">
      <c r="B762" s="130"/>
      <c r="C762" s="135"/>
      <c r="D762" s="177"/>
      <c r="E762" s="178"/>
      <c r="F762" s="178"/>
      <c r="G762" s="340"/>
      <c r="H762" s="340"/>
      <c r="I762" s="179"/>
      <c r="J762" s="344"/>
      <c r="K762" s="345"/>
      <c r="L762" s="346"/>
      <c r="M762" s="347"/>
      <c r="N762" s="347"/>
      <c r="O762" s="132"/>
    </row>
    <row r="763" spans="2:15" ht="26.25" customHeight="1" x14ac:dyDescent="0.25">
      <c r="B763" s="130"/>
      <c r="C763" s="135"/>
      <c r="D763" s="177"/>
      <c r="E763" s="178"/>
      <c r="F763" s="178"/>
      <c r="G763" s="340"/>
      <c r="H763" s="340"/>
      <c r="I763" s="179"/>
      <c r="J763" s="344"/>
      <c r="K763" s="345"/>
      <c r="L763" s="346"/>
      <c r="M763" s="347"/>
      <c r="N763" s="347"/>
      <c r="O763" s="132"/>
    </row>
    <row r="764" spans="2:15" ht="26.25" customHeight="1" x14ac:dyDescent="0.25">
      <c r="B764" s="130"/>
      <c r="C764" s="135"/>
      <c r="D764" s="177"/>
      <c r="E764" s="178"/>
      <c r="F764" s="178"/>
      <c r="G764" s="340"/>
      <c r="H764" s="340"/>
      <c r="I764" s="179"/>
      <c r="J764" s="344"/>
      <c r="K764" s="345"/>
      <c r="L764" s="346"/>
      <c r="M764" s="347"/>
      <c r="N764" s="347"/>
      <c r="O764" s="132"/>
    </row>
    <row r="765" spans="2:15" ht="26.25" customHeight="1" x14ac:dyDescent="0.25">
      <c r="B765" s="130"/>
      <c r="C765" s="135"/>
      <c r="D765" s="177"/>
      <c r="E765" s="178"/>
      <c r="F765" s="178"/>
      <c r="G765" s="340"/>
      <c r="H765" s="340"/>
      <c r="I765" s="179"/>
      <c r="J765" s="344"/>
      <c r="K765" s="345"/>
      <c r="L765" s="346"/>
      <c r="M765" s="347"/>
      <c r="N765" s="347"/>
      <c r="O765" s="132"/>
    </row>
    <row r="766" spans="2:15" ht="26.25" customHeight="1" x14ac:dyDescent="0.25">
      <c r="B766" s="130"/>
      <c r="C766" s="135"/>
      <c r="D766" s="177"/>
      <c r="E766" s="178"/>
      <c r="F766" s="178"/>
      <c r="G766" s="340"/>
      <c r="H766" s="340"/>
      <c r="I766" s="179"/>
      <c r="J766" s="344"/>
      <c r="K766" s="345"/>
      <c r="L766" s="346"/>
      <c r="M766" s="347"/>
      <c r="N766" s="347"/>
      <c r="O766" s="132"/>
    </row>
    <row r="767" spans="2:15" ht="26.25" customHeight="1" x14ac:dyDescent="0.25">
      <c r="B767" s="130"/>
      <c r="C767" s="135"/>
      <c r="D767" s="177"/>
      <c r="E767" s="178"/>
      <c r="F767" s="178"/>
      <c r="G767" s="340"/>
      <c r="H767" s="340"/>
      <c r="I767" s="179"/>
      <c r="J767" s="344"/>
      <c r="K767" s="345"/>
      <c r="L767" s="346"/>
      <c r="M767" s="347"/>
      <c r="N767" s="347"/>
      <c r="O767" s="132"/>
    </row>
    <row r="768" spans="2:15" ht="26.25" customHeight="1" x14ac:dyDescent="0.25">
      <c r="B768" s="130"/>
      <c r="C768" s="135"/>
      <c r="D768" s="177"/>
      <c r="E768" s="178"/>
      <c r="F768" s="178"/>
      <c r="G768" s="340"/>
      <c r="H768" s="340"/>
      <c r="I768" s="179"/>
      <c r="J768" s="344"/>
      <c r="K768" s="345"/>
      <c r="L768" s="346"/>
      <c r="M768" s="347"/>
      <c r="N768" s="347"/>
      <c r="O768" s="132"/>
    </row>
    <row r="769" spans="2:15" ht="26.25" customHeight="1" x14ac:dyDescent="0.25">
      <c r="B769" s="130"/>
      <c r="C769" s="135"/>
      <c r="D769" s="177"/>
      <c r="E769" s="178"/>
      <c r="F769" s="178"/>
      <c r="G769" s="340"/>
      <c r="H769" s="340"/>
      <c r="I769" s="179"/>
      <c r="J769" s="344"/>
      <c r="K769" s="345"/>
      <c r="L769" s="346"/>
      <c r="M769" s="347"/>
      <c r="N769" s="347"/>
      <c r="O769" s="132"/>
    </row>
    <row r="770" spans="2:15" ht="26.25" customHeight="1" x14ac:dyDescent="0.25">
      <c r="B770" s="130"/>
      <c r="C770" s="135"/>
      <c r="D770" s="177"/>
      <c r="E770" s="178"/>
      <c r="F770" s="178"/>
      <c r="G770" s="340"/>
      <c r="H770" s="340"/>
      <c r="I770" s="179"/>
      <c r="J770" s="344"/>
      <c r="K770" s="345"/>
      <c r="L770" s="346"/>
      <c r="M770" s="347"/>
      <c r="N770" s="347"/>
      <c r="O770" s="132"/>
    </row>
    <row r="771" spans="2:15" ht="26.25" customHeight="1" x14ac:dyDescent="0.25">
      <c r="B771" s="130"/>
      <c r="C771" s="135"/>
      <c r="D771" s="177"/>
      <c r="E771" s="178"/>
      <c r="F771" s="178"/>
      <c r="G771" s="340"/>
      <c r="H771" s="340"/>
      <c r="I771" s="179"/>
      <c r="J771" s="344"/>
      <c r="K771" s="345"/>
      <c r="L771" s="346"/>
      <c r="M771" s="347"/>
      <c r="N771" s="347"/>
      <c r="O771" s="132"/>
    </row>
    <row r="772" spans="2:15" ht="26.25" customHeight="1" x14ac:dyDescent="0.25">
      <c r="B772" s="130"/>
      <c r="C772" s="135"/>
      <c r="D772" s="177"/>
      <c r="E772" s="178"/>
      <c r="F772" s="178"/>
      <c r="G772" s="340"/>
      <c r="H772" s="340"/>
      <c r="I772" s="179"/>
      <c r="J772" s="344"/>
      <c r="K772" s="345"/>
      <c r="L772" s="346"/>
      <c r="M772" s="347"/>
      <c r="N772" s="347"/>
      <c r="O772" s="132"/>
    </row>
    <row r="773" spans="2:15" ht="26.25" customHeight="1" x14ac:dyDescent="0.25">
      <c r="B773" s="130"/>
      <c r="C773" s="135"/>
      <c r="D773" s="177"/>
      <c r="E773" s="178"/>
      <c r="F773" s="178"/>
      <c r="G773" s="340"/>
      <c r="H773" s="340"/>
      <c r="I773" s="179"/>
      <c r="J773" s="344"/>
      <c r="K773" s="345"/>
      <c r="L773" s="346"/>
      <c r="M773" s="347"/>
      <c r="N773" s="347"/>
      <c r="O773" s="132"/>
    </row>
    <row r="774" spans="2:15" ht="26.25" customHeight="1" x14ac:dyDescent="0.25">
      <c r="B774" s="130"/>
      <c r="C774" s="135"/>
      <c r="D774" s="177"/>
      <c r="E774" s="178"/>
      <c r="F774" s="178"/>
      <c r="G774" s="340"/>
      <c r="H774" s="340"/>
      <c r="I774" s="179"/>
      <c r="J774" s="344"/>
      <c r="K774" s="345"/>
      <c r="L774" s="346"/>
      <c r="M774" s="347"/>
      <c r="N774" s="347"/>
      <c r="O774" s="132"/>
    </row>
    <row r="775" spans="2:15" ht="26.25" customHeight="1" x14ac:dyDescent="0.25">
      <c r="B775" s="130"/>
      <c r="C775" s="135"/>
      <c r="D775" s="177"/>
      <c r="E775" s="178"/>
      <c r="F775" s="178"/>
      <c r="G775" s="340"/>
      <c r="H775" s="340"/>
      <c r="I775" s="179"/>
      <c r="J775" s="344"/>
      <c r="K775" s="345"/>
      <c r="L775" s="346"/>
      <c r="M775" s="347"/>
      <c r="N775" s="347"/>
      <c r="O775" s="132"/>
    </row>
    <row r="776" spans="2:15" ht="26.25" customHeight="1" x14ac:dyDescent="0.25">
      <c r="B776" s="130"/>
      <c r="C776" s="135"/>
      <c r="D776" s="177"/>
      <c r="E776" s="178"/>
      <c r="F776" s="178"/>
      <c r="G776" s="340"/>
      <c r="H776" s="340"/>
      <c r="I776" s="179"/>
      <c r="J776" s="344"/>
      <c r="K776" s="345"/>
      <c r="L776" s="346"/>
      <c r="M776" s="347"/>
      <c r="N776" s="347"/>
      <c r="O776" s="132"/>
    </row>
    <row r="777" spans="2:15" ht="26.25" customHeight="1" x14ac:dyDescent="0.25">
      <c r="B777" s="130"/>
      <c r="C777" s="135"/>
      <c r="D777" s="177"/>
      <c r="E777" s="178"/>
      <c r="F777" s="178"/>
      <c r="G777" s="340"/>
      <c r="H777" s="340"/>
      <c r="I777" s="179"/>
      <c r="J777" s="344"/>
      <c r="K777" s="345"/>
      <c r="L777" s="346"/>
      <c r="M777" s="347"/>
      <c r="N777" s="347"/>
      <c r="O777" s="132"/>
    </row>
    <row r="778" spans="2:15" ht="26.25" customHeight="1" x14ac:dyDescent="0.25">
      <c r="B778" s="130"/>
      <c r="C778" s="135"/>
      <c r="D778" s="177"/>
      <c r="E778" s="178"/>
      <c r="F778" s="178"/>
      <c r="G778" s="340"/>
      <c r="H778" s="340"/>
      <c r="I778" s="179"/>
      <c r="J778" s="344"/>
      <c r="K778" s="345"/>
      <c r="L778" s="346"/>
      <c r="M778" s="347"/>
      <c r="N778" s="347"/>
      <c r="O778" s="132"/>
    </row>
    <row r="779" spans="2:15" ht="26.25" customHeight="1" x14ac:dyDescent="0.25">
      <c r="B779" s="130"/>
      <c r="C779" s="135"/>
      <c r="D779" s="177"/>
      <c r="E779" s="178"/>
      <c r="F779" s="178"/>
      <c r="G779" s="340"/>
      <c r="H779" s="340"/>
      <c r="I779" s="179"/>
      <c r="J779" s="344"/>
      <c r="K779" s="345"/>
      <c r="L779" s="346"/>
      <c r="M779" s="347"/>
      <c r="N779" s="347"/>
      <c r="O779" s="132"/>
    </row>
    <row r="780" spans="2:15" ht="26.25" customHeight="1" x14ac:dyDescent="0.25">
      <c r="B780" s="130"/>
      <c r="C780" s="135"/>
      <c r="D780" s="177"/>
      <c r="E780" s="178"/>
      <c r="F780" s="178"/>
      <c r="G780" s="340"/>
      <c r="H780" s="340"/>
      <c r="I780" s="179"/>
      <c r="J780" s="344"/>
      <c r="K780" s="345"/>
      <c r="L780" s="346"/>
      <c r="M780" s="347"/>
      <c r="N780" s="347"/>
      <c r="O780" s="132"/>
    </row>
    <row r="781" spans="2:15" ht="26.25" customHeight="1" x14ac:dyDescent="0.25">
      <c r="B781" s="130"/>
      <c r="C781" s="135"/>
      <c r="D781" s="177"/>
      <c r="E781" s="178"/>
      <c r="F781" s="178"/>
      <c r="G781" s="340"/>
      <c r="H781" s="340"/>
      <c r="I781" s="179"/>
      <c r="J781" s="344"/>
      <c r="K781" s="345"/>
      <c r="L781" s="346"/>
      <c r="M781" s="347"/>
      <c r="N781" s="347"/>
      <c r="O781" s="132"/>
    </row>
    <row r="782" spans="2:15" ht="26.25" customHeight="1" x14ac:dyDescent="0.25">
      <c r="B782" s="130"/>
      <c r="C782" s="135"/>
      <c r="D782" s="177"/>
      <c r="E782" s="178"/>
      <c r="F782" s="178"/>
      <c r="G782" s="340"/>
      <c r="H782" s="340"/>
      <c r="I782" s="179"/>
      <c r="J782" s="344"/>
      <c r="K782" s="345"/>
      <c r="L782" s="346"/>
      <c r="M782" s="347"/>
      <c r="N782" s="347"/>
      <c r="O782" s="132"/>
    </row>
    <row r="783" spans="2:15" ht="26.25" customHeight="1" x14ac:dyDescent="0.25">
      <c r="B783" s="130"/>
      <c r="C783" s="135"/>
      <c r="D783" s="177"/>
      <c r="E783" s="178"/>
      <c r="F783" s="178"/>
      <c r="G783" s="340"/>
      <c r="H783" s="340"/>
      <c r="I783" s="179"/>
      <c r="J783" s="344"/>
      <c r="K783" s="345"/>
      <c r="L783" s="346"/>
      <c r="M783" s="347"/>
      <c r="N783" s="347"/>
      <c r="O783" s="132"/>
    </row>
    <row r="784" spans="2:15" ht="26.25" customHeight="1" x14ac:dyDescent="0.25">
      <c r="B784" s="130"/>
      <c r="C784" s="135"/>
      <c r="D784" s="177"/>
      <c r="E784" s="178"/>
      <c r="F784" s="178"/>
      <c r="G784" s="340"/>
      <c r="H784" s="340"/>
      <c r="I784" s="179"/>
      <c r="J784" s="344"/>
      <c r="K784" s="345"/>
      <c r="L784" s="346"/>
      <c r="M784" s="347"/>
      <c r="N784" s="347"/>
      <c r="O784" s="132"/>
    </row>
    <row r="785" spans="2:15" ht="26.25" customHeight="1" x14ac:dyDescent="0.25">
      <c r="B785" s="130"/>
      <c r="C785" s="135"/>
      <c r="D785" s="177"/>
      <c r="E785" s="178"/>
      <c r="F785" s="178"/>
      <c r="G785" s="340"/>
      <c r="H785" s="340"/>
      <c r="I785" s="179"/>
      <c r="J785" s="344"/>
      <c r="K785" s="345"/>
      <c r="L785" s="346"/>
      <c r="M785" s="347"/>
      <c r="N785" s="347"/>
      <c r="O785" s="132"/>
    </row>
    <row r="786" spans="2:15" ht="26.25" customHeight="1" x14ac:dyDescent="0.25">
      <c r="B786" s="130"/>
      <c r="C786" s="135"/>
      <c r="D786" s="177"/>
      <c r="E786" s="178"/>
      <c r="F786" s="178"/>
      <c r="G786" s="340"/>
      <c r="H786" s="340"/>
      <c r="I786" s="179"/>
      <c r="J786" s="344"/>
      <c r="K786" s="345"/>
      <c r="L786" s="346"/>
      <c r="M786" s="347"/>
      <c r="N786" s="347"/>
      <c r="O786" s="132"/>
    </row>
    <row r="787" spans="2:15" ht="26.25" customHeight="1" x14ac:dyDescent="0.25">
      <c r="B787" s="130"/>
      <c r="C787" s="135"/>
      <c r="D787" s="177"/>
      <c r="E787" s="178"/>
      <c r="F787" s="178"/>
      <c r="G787" s="340"/>
      <c r="H787" s="340"/>
      <c r="I787" s="179"/>
      <c r="J787" s="344"/>
      <c r="K787" s="345"/>
      <c r="L787" s="346"/>
      <c r="M787" s="347"/>
      <c r="N787" s="347"/>
      <c r="O787" s="132"/>
    </row>
    <row r="788" spans="2:15" ht="26.25" customHeight="1" x14ac:dyDescent="0.25">
      <c r="B788" s="130"/>
      <c r="C788" s="135"/>
      <c r="D788" s="177"/>
      <c r="E788" s="178"/>
      <c r="F788" s="178"/>
      <c r="G788" s="340"/>
      <c r="H788" s="340"/>
      <c r="I788" s="179"/>
      <c r="J788" s="344"/>
      <c r="K788" s="345"/>
      <c r="L788" s="346"/>
      <c r="M788" s="347"/>
      <c r="N788" s="347"/>
      <c r="O788" s="132"/>
    </row>
    <row r="789" spans="2:15" ht="26.25" customHeight="1" x14ac:dyDescent="0.25">
      <c r="B789" s="130"/>
      <c r="C789" s="135"/>
      <c r="D789" s="177"/>
      <c r="E789" s="178"/>
      <c r="F789" s="178"/>
      <c r="G789" s="340"/>
      <c r="H789" s="340"/>
      <c r="I789" s="179"/>
      <c r="J789" s="344"/>
      <c r="K789" s="345"/>
      <c r="L789" s="346"/>
      <c r="M789" s="347"/>
      <c r="N789" s="347"/>
      <c r="O789" s="132"/>
    </row>
    <row r="790" spans="2:15" ht="26.25" customHeight="1" x14ac:dyDescent="0.25">
      <c r="B790" s="130"/>
      <c r="C790" s="135"/>
      <c r="D790" s="177"/>
      <c r="E790" s="178"/>
      <c r="F790" s="178"/>
      <c r="G790" s="340"/>
      <c r="H790" s="340"/>
      <c r="I790" s="179"/>
      <c r="J790" s="344"/>
      <c r="K790" s="345"/>
      <c r="L790" s="346"/>
      <c r="M790" s="347"/>
      <c r="N790" s="347"/>
      <c r="O790" s="132"/>
    </row>
    <row r="791" spans="2:15" ht="26.25" customHeight="1" x14ac:dyDescent="0.25">
      <c r="B791" s="130"/>
      <c r="C791" s="135"/>
      <c r="D791" s="177"/>
      <c r="E791" s="178"/>
      <c r="F791" s="178"/>
      <c r="G791" s="340"/>
      <c r="H791" s="340"/>
      <c r="I791" s="179"/>
      <c r="J791" s="344"/>
      <c r="K791" s="345"/>
      <c r="L791" s="346"/>
      <c r="M791" s="347"/>
      <c r="N791" s="347"/>
      <c r="O791" s="132"/>
    </row>
    <row r="792" spans="2:15" ht="26.25" customHeight="1" x14ac:dyDescent="0.25">
      <c r="B792" s="130"/>
      <c r="C792" s="135"/>
      <c r="D792" s="177"/>
      <c r="E792" s="178"/>
      <c r="F792" s="178"/>
      <c r="G792" s="340"/>
      <c r="H792" s="340"/>
      <c r="I792" s="179"/>
      <c r="J792" s="344"/>
      <c r="K792" s="345"/>
      <c r="L792" s="346"/>
      <c r="M792" s="347"/>
      <c r="N792" s="347"/>
      <c r="O792" s="132"/>
    </row>
    <row r="793" spans="2:15" ht="26.25" customHeight="1" x14ac:dyDescent="0.25">
      <c r="B793" s="130"/>
      <c r="C793" s="135"/>
      <c r="D793" s="177"/>
      <c r="E793" s="178"/>
      <c r="F793" s="178"/>
      <c r="G793" s="340"/>
      <c r="H793" s="340"/>
      <c r="I793" s="179"/>
      <c r="J793" s="344"/>
      <c r="K793" s="345"/>
      <c r="L793" s="346"/>
      <c r="M793" s="347"/>
      <c r="N793" s="347"/>
      <c r="O793" s="132"/>
    </row>
    <row r="794" spans="2:15" ht="26.25" customHeight="1" x14ac:dyDescent="0.25">
      <c r="B794" s="130"/>
      <c r="C794" s="135"/>
      <c r="D794" s="177"/>
      <c r="E794" s="178"/>
      <c r="F794" s="178"/>
      <c r="G794" s="340"/>
      <c r="H794" s="340"/>
      <c r="I794" s="179"/>
      <c r="J794" s="344"/>
      <c r="K794" s="345"/>
      <c r="L794" s="346"/>
      <c r="M794" s="347"/>
      <c r="N794" s="347"/>
      <c r="O794" s="132"/>
    </row>
    <row r="795" spans="2:15" ht="26.25" customHeight="1" x14ac:dyDescent="0.25">
      <c r="B795" s="130"/>
      <c r="C795" s="135"/>
      <c r="D795" s="177"/>
      <c r="E795" s="178"/>
      <c r="F795" s="178"/>
      <c r="G795" s="340"/>
      <c r="H795" s="340"/>
      <c r="I795" s="179"/>
      <c r="J795" s="344"/>
      <c r="K795" s="345"/>
      <c r="L795" s="346"/>
      <c r="M795" s="347"/>
      <c r="N795" s="347"/>
      <c r="O795" s="132"/>
    </row>
    <row r="796" spans="2:15" ht="26.25" customHeight="1" x14ac:dyDescent="0.25">
      <c r="B796" s="130"/>
      <c r="C796" s="135"/>
      <c r="D796" s="177"/>
      <c r="E796" s="178"/>
      <c r="F796" s="178"/>
      <c r="G796" s="340"/>
      <c r="H796" s="340"/>
      <c r="I796" s="179"/>
      <c r="J796" s="344"/>
      <c r="K796" s="345"/>
      <c r="L796" s="346"/>
      <c r="M796" s="347"/>
      <c r="N796" s="347"/>
      <c r="O796" s="132"/>
    </row>
    <row r="797" spans="2:15" ht="26.25" customHeight="1" x14ac:dyDescent="0.25">
      <c r="B797" s="130"/>
      <c r="C797" s="135"/>
      <c r="D797" s="177"/>
      <c r="E797" s="178"/>
      <c r="F797" s="178"/>
      <c r="G797" s="340"/>
      <c r="H797" s="340"/>
      <c r="I797" s="179"/>
      <c r="J797" s="344"/>
      <c r="K797" s="345"/>
      <c r="L797" s="346"/>
      <c r="M797" s="347"/>
      <c r="N797" s="347"/>
      <c r="O797" s="132"/>
    </row>
    <row r="798" spans="2:15" ht="26.25" customHeight="1" x14ac:dyDescent="0.25">
      <c r="B798" s="130"/>
      <c r="C798" s="135"/>
      <c r="D798" s="177"/>
      <c r="E798" s="178"/>
      <c r="F798" s="178"/>
      <c r="G798" s="340"/>
      <c r="H798" s="340"/>
      <c r="I798" s="179"/>
      <c r="J798" s="344"/>
      <c r="K798" s="345"/>
      <c r="L798" s="346"/>
      <c r="M798" s="347"/>
      <c r="N798" s="347"/>
      <c r="O798" s="132"/>
    </row>
    <row r="799" spans="2:15" ht="26.25" customHeight="1" x14ac:dyDescent="0.25">
      <c r="B799" s="130"/>
      <c r="C799" s="135"/>
      <c r="D799" s="177"/>
      <c r="E799" s="178"/>
      <c r="F799" s="178"/>
      <c r="G799" s="340"/>
      <c r="H799" s="340"/>
      <c r="I799" s="179"/>
      <c r="J799" s="344"/>
      <c r="K799" s="345"/>
      <c r="L799" s="346"/>
      <c r="M799" s="347"/>
      <c r="N799" s="347"/>
      <c r="O799" s="132"/>
    </row>
    <row r="800" spans="2:15" ht="26.25" customHeight="1" x14ac:dyDescent="0.25">
      <c r="B800" s="130"/>
      <c r="C800" s="135"/>
      <c r="D800" s="177"/>
      <c r="E800" s="178"/>
      <c r="F800" s="178"/>
      <c r="G800" s="340"/>
      <c r="H800" s="340"/>
      <c r="I800" s="179"/>
      <c r="J800" s="344"/>
      <c r="K800" s="345"/>
      <c r="L800" s="346"/>
      <c r="M800" s="347"/>
      <c r="N800" s="347"/>
      <c r="O800" s="132"/>
    </row>
    <row r="801" spans="2:15" ht="26.25" customHeight="1" x14ac:dyDescent="0.25">
      <c r="B801" s="130"/>
      <c r="C801" s="135"/>
      <c r="D801" s="177"/>
      <c r="E801" s="178"/>
      <c r="F801" s="178"/>
      <c r="G801" s="340"/>
      <c r="H801" s="340"/>
      <c r="I801" s="179"/>
      <c r="J801" s="344"/>
      <c r="K801" s="345"/>
      <c r="L801" s="346"/>
      <c r="M801" s="347"/>
      <c r="N801" s="347"/>
      <c r="O801" s="132"/>
    </row>
    <row r="802" spans="2:15" ht="26.25" customHeight="1" x14ac:dyDescent="0.25">
      <c r="B802" s="130"/>
      <c r="C802" s="135"/>
      <c r="D802" s="177"/>
      <c r="E802" s="178"/>
      <c r="F802" s="178"/>
      <c r="G802" s="340"/>
      <c r="H802" s="340"/>
      <c r="I802" s="179"/>
      <c r="J802" s="344"/>
      <c r="K802" s="345"/>
      <c r="L802" s="346"/>
      <c r="M802" s="347"/>
      <c r="N802" s="347"/>
      <c r="O802" s="132"/>
    </row>
    <row r="803" spans="2:15" ht="26.25" customHeight="1" x14ac:dyDescent="0.25">
      <c r="B803" s="130"/>
      <c r="C803" s="135"/>
      <c r="D803" s="177"/>
      <c r="E803" s="178"/>
      <c r="F803" s="178"/>
      <c r="G803" s="340"/>
      <c r="H803" s="340"/>
      <c r="I803" s="179"/>
      <c r="J803" s="344"/>
      <c r="K803" s="345"/>
      <c r="L803" s="346"/>
      <c r="M803" s="347"/>
      <c r="N803" s="347"/>
      <c r="O803" s="132"/>
    </row>
    <row r="804" spans="2:15" ht="26.25" customHeight="1" x14ac:dyDescent="0.25">
      <c r="B804" s="130"/>
      <c r="C804" s="135"/>
      <c r="D804" s="177"/>
      <c r="E804" s="178"/>
      <c r="F804" s="178"/>
      <c r="G804" s="340"/>
      <c r="H804" s="340"/>
      <c r="I804" s="179"/>
      <c r="J804" s="344"/>
      <c r="K804" s="345"/>
      <c r="L804" s="346"/>
      <c r="M804" s="347"/>
      <c r="N804" s="347"/>
      <c r="O804" s="132"/>
    </row>
    <row r="805" spans="2:15" ht="26.25" customHeight="1" x14ac:dyDescent="0.25">
      <c r="B805" s="130"/>
      <c r="C805" s="135"/>
      <c r="D805" s="177"/>
      <c r="E805" s="178"/>
      <c r="F805" s="178"/>
      <c r="G805" s="340"/>
      <c r="H805" s="340"/>
      <c r="I805" s="179"/>
      <c r="J805" s="344"/>
      <c r="K805" s="345"/>
      <c r="L805" s="346"/>
      <c r="M805" s="347"/>
      <c r="N805" s="347"/>
      <c r="O805" s="132"/>
    </row>
    <row r="806" spans="2:15" ht="26.25" customHeight="1" x14ac:dyDescent="0.25">
      <c r="B806" s="130"/>
      <c r="C806" s="135"/>
      <c r="D806" s="177"/>
      <c r="E806" s="178"/>
      <c r="F806" s="178"/>
      <c r="G806" s="340"/>
      <c r="H806" s="340"/>
      <c r="I806" s="179"/>
      <c r="J806" s="344"/>
      <c r="K806" s="345"/>
      <c r="L806" s="346"/>
      <c r="M806" s="347"/>
      <c r="N806" s="347"/>
      <c r="O806" s="132"/>
    </row>
    <row r="807" spans="2:15" ht="26.25" customHeight="1" x14ac:dyDescent="0.25">
      <c r="B807" s="130"/>
      <c r="C807" s="135"/>
      <c r="D807" s="177"/>
      <c r="E807" s="178"/>
      <c r="F807" s="178"/>
      <c r="G807" s="340"/>
      <c r="H807" s="340"/>
      <c r="I807" s="179"/>
      <c r="J807" s="344"/>
      <c r="K807" s="345"/>
      <c r="L807" s="346"/>
      <c r="M807" s="347"/>
      <c r="N807" s="347"/>
      <c r="O807" s="132"/>
    </row>
    <row r="808" spans="2:15" ht="26.25" customHeight="1" x14ac:dyDescent="0.25">
      <c r="B808" s="130"/>
      <c r="C808" s="135"/>
      <c r="D808" s="177"/>
      <c r="E808" s="178"/>
      <c r="F808" s="178"/>
      <c r="G808" s="340"/>
      <c r="H808" s="340"/>
      <c r="I808" s="179"/>
      <c r="J808" s="344"/>
      <c r="K808" s="345"/>
      <c r="L808" s="346"/>
      <c r="M808" s="347"/>
      <c r="N808" s="347"/>
      <c r="O808" s="132"/>
    </row>
    <row r="809" spans="2:15" ht="26.25" customHeight="1" x14ac:dyDescent="0.25">
      <c r="B809" s="130"/>
      <c r="C809" s="135"/>
      <c r="D809" s="177"/>
      <c r="E809" s="178"/>
      <c r="F809" s="178"/>
      <c r="G809" s="340"/>
      <c r="H809" s="340"/>
      <c r="I809" s="179"/>
      <c r="J809" s="344"/>
      <c r="K809" s="345"/>
      <c r="L809" s="346"/>
      <c r="M809" s="347"/>
      <c r="N809" s="347"/>
      <c r="O809" s="132"/>
    </row>
    <row r="810" spans="2:15" ht="26.25" customHeight="1" x14ac:dyDescent="0.25">
      <c r="B810" s="130"/>
      <c r="C810" s="135"/>
      <c r="D810" s="177"/>
      <c r="E810" s="178"/>
      <c r="F810" s="178"/>
      <c r="G810" s="340"/>
      <c r="H810" s="340"/>
      <c r="I810" s="179"/>
      <c r="J810" s="344"/>
      <c r="K810" s="345"/>
      <c r="L810" s="346"/>
      <c r="M810" s="347"/>
      <c r="N810" s="347"/>
      <c r="O810" s="132"/>
    </row>
    <row r="811" spans="2:15" ht="26.25" customHeight="1" x14ac:dyDescent="0.25">
      <c r="B811" s="130"/>
      <c r="C811" s="135"/>
      <c r="D811" s="177"/>
      <c r="E811" s="178"/>
      <c r="F811" s="178"/>
      <c r="G811" s="340"/>
      <c r="H811" s="340"/>
      <c r="I811" s="179"/>
      <c r="J811" s="344"/>
      <c r="K811" s="345"/>
      <c r="L811" s="346"/>
      <c r="M811" s="347"/>
      <c r="N811" s="347"/>
      <c r="O811" s="132"/>
    </row>
    <row r="812" spans="2:15" ht="26.25" customHeight="1" x14ac:dyDescent="0.25">
      <c r="B812" s="130"/>
      <c r="C812" s="135"/>
      <c r="D812" s="177"/>
      <c r="E812" s="178"/>
      <c r="F812" s="178"/>
      <c r="G812" s="340"/>
      <c r="H812" s="340"/>
      <c r="I812" s="179"/>
      <c r="J812" s="344"/>
      <c r="K812" s="345"/>
      <c r="L812" s="346"/>
      <c r="M812" s="347"/>
      <c r="N812" s="347"/>
      <c r="O812" s="132"/>
    </row>
    <row r="813" spans="2:15" ht="26.25" customHeight="1" x14ac:dyDescent="0.25">
      <c r="B813" s="130"/>
      <c r="C813" s="135"/>
      <c r="D813" s="177"/>
      <c r="E813" s="178"/>
      <c r="F813" s="178"/>
      <c r="G813" s="340"/>
      <c r="H813" s="340"/>
      <c r="I813" s="179"/>
      <c r="J813" s="344"/>
      <c r="K813" s="345"/>
      <c r="L813" s="346"/>
      <c r="M813" s="347"/>
      <c r="N813" s="347"/>
      <c r="O813" s="132"/>
    </row>
    <row r="814" spans="2:15" ht="26.25" customHeight="1" x14ac:dyDescent="0.25">
      <c r="B814" s="130"/>
      <c r="C814" s="135"/>
      <c r="D814" s="177"/>
      <c r="E814" s="178"/>
      <c r="F814" s="178"/>
      <c r="G814" s="340"/>
      <c r="H814" s="340"/>
      <c r="I814" s="179"/>
      <c r="J814" s="344"/>
      <c r="K814" s="345"/>
      <c r="L814" s="346"/>
      <c r="M814" s="347"/>
      <c r="N814" s="347"/>
      <c r="O814" s="132"/>
    </row>
    <row r="815" spans="2:15" ht="26.25" customHeight="1" x14ac:dyDescent="0.25">
      <c r="B815" s="130"/>
      <c r="C815" s="135"/>
      <c r="D815" s="177"/>
      <c r="E815" s="178"/>
      <c r="F815" s="178"/>
      <c r="G815" s="340"/>
      <c r="H815" s="340"/>
      <c r="I815" s="179"/>
      <c r="J815" s="344"/>
      <c r="K815" s="345"/>
      <c r="L815" s="346"/>
      <c r="M815" s="347"/>
      <c r="N815" s="347"/>
      <c r="O815" s="132"/>
    </row>
    <row r="816" spans="2:15" ht="26.25" customHeight="1" x14ac:dyDescent="0.25">
      <c r="B816" s="130"/>
      <c r="C816" s="135"/>
      <c r="D816" s="177"/>
      <c r="E816" s="178"/>
      <c r="F816" s="178"/>
      <c r="G816" s="340"/>
      <c r="H816" s="340"/>
      <c r="I816" s="179"/>
      <c r="J816" s="344"/>
      <c r="K816" s="345"/>
      <c r="L816" s="346"/>
      <c r="M816" s="347"/>
      <c r="N816" s="347"/>
      <c r="O816" s="132"/>
    </row>
    <row r="817" spans="2:15" ht="26.25" customHeight="1" x14ac:dyDescent="0.25">
      <c r="B817" s="130"/>
      <c r="C817" s="135"/>
      <c r="D817" s="177"/>
      <c r="E817" s="178"/>
      <c r="F817" s="178"/>
      <c r="G817" s="340"/>
      <c r="H817" s="340"/>
      <c r="I817" s="179"/>
      <c r="J817" s="344"/>
      <c r="K817" s="345"/>
      <c r="L817" s="346"/>
      <c r="M817" s="347"/>
      <c r="N817" s="347"/>
      <c r="O817" s="132"/>
    </row>
    <row r="818" spans="2:15" ht="26.25" customHeight="1" x14ac:dyDescent="0.25">
      <c r="B818" s="130"/>
      <c r="C818" s="135"/>
      <c r="D818" s="177"/>
      <c r="E818" s="178"/>
      <c r="F818" s="178"/>
      <c r="G818" s="340"/>
      <c r="H818" s="340"/>
      <c r="I818" s="179"/>
      <c r="J818" s="344"/>
      <c r="K818" s="345"/>
      <c r="L818" s="346"/>
      <c r="M818" s="347"/>
      <c r="N818" s="347"/>
      <c r="O818" s="132"/>
    </row>
    <row r="819" spans="2:15" ht="26.25" customHeight="1" x14ac:dyDescent="0.25">
      <c r="B819" s="130"/>
      <c r="C819" s="135"/>
      <c r="D819" s="177"/>
      <c r="E819" s="178"/>
      <c r="F819" s="178"/>
      <c r="G819" s="340"/>
      <c r="H819" s="340"/>
      <c r="I819" s="179"/>
      <c r="J819" s="344"/>
      <c r="K819" s="345"/>
      <c r="L819" s="346"/>
      <c r="M819" s="347"/>
      <c r="N819" s="347"/>
      <c r="O819" s="132"/>
    </row>
    <row r="820" spans="2:15" ht="26.25" customHeight="1" x14ac:dyDescent="0.25">
      <c r="B820" s="130"/>
      <c r="C820" s="135"/>
      <c r="D820" s="177"/>
      <c r="E820" s="178"/>
      <c r="F820" s="178"/>
      <c r="G820" s="340"/>
      <c r="H820" s="340"/>
      <c r="I820" s="179"/>
      <c r="J820" s="344"/>
      <c r="K820" s="345"/>
      <c r="L820" s="346"/>
      <c r="M820" s="347"/>
      <c r="N820" s="347"/>
      <c r="O820" s="132"/>
    </row>
    <row r="821" spans="2:15" ht="26.25" customHeight="1" x14ac:dyDescent="0.25">
      <c r="B821" s="130"/>
      <c r="C821" s="135"/>
      <c r="D821" s="177"/>
      <c r="E821" s="178"/>
      <c r="F821" s="178"/>
      <c r="G821" s="340"/>
      <c r="H821" s="340"/>
      <c r="I821" s="179"/>
      <c r="J821" s="344"/>
      <c r="K821" s="345"/>
      <c r="L821" s="346"/>
      <c r="M821" s="347"/>
      <c r="N821" s="347"/>
      <c r="O821" s="132"/>
    </row>
    <row r="822" spans="2:15" ht="26.25" customHeight="1" x14ac:dyDescent="0.25">
      <c r="B822" s="130"/>
      <c r="C822" s="135"/>
      <c r="D822" s="177"/>
      <c r="E822" s="178"/>
      <c r="F822" s="178"/>
      <c r="G822" s="340"/>
      <c r="H822" s="340"/>
      <c r="I822" s="179"/>
      <c r="J822" s="344"/>
      <c r="K822" s="345"/>
      <c r="L822" s="346"/>
      <c r="M822" s="347"/>
      <c r="N822" s="347"/>
      <c r="O822" s="132"/>
    </row>
    <row r="823" spans="2:15" ht="26.25" customHeight="1" x14ac:dyDescent="0.25">
      <c r="B823" s="130"/>
      <c r="C823" s="135"/>
      <c r="D823" s="177"/>
      <c r="E823" s="178"/>
      <c r="F823" s="178"/>
      <c r="G823" s="340"/>
      <c r="H823" s="340"/>
      <c r="I823" s="179"/>
      <c r="J823" s="344"/>
      <c r="K823" s="345"/>
      <c r="L823" s="346"/>
      <c r="M823" s="347"/>
      <c r="N823" s="347"/>
      <c r="O823" s="132"/>
    </row>
    <row r="824" spans="2:15" ht="26.25" customHeight="1" x14ac:dyDescent="0.25">
      <c r="B824" s="130"/>
      <c r="C824" s="135"/>
      <c r="D824" s="177"/>
      <c r="E824" s="178"/>
      <c r="F824" s="178"/>
      <c r="G824" s="340"/>
      <c r="H824" s="340"/>
      <c r="I824" s="179"/>
      <c r="J824" s="344"/>
      <c r="K824" s="345"/>
      <c r="L824" s="346"/>
      <c r="M824" s="347"/>
      <c r="N824" s="347"/>
      <c r="O824" s="132"/>
    </row>
    <row r="825" spans="2:15" ht="26.25" customHeight="1" x14ac:dyDescent="0.25">
      <c r="B825" s="130"/>
      <c r="C825" s="135"/>
      <c r="D825" s="177"/>
      <c r="E825" s="178"/>
      <c r="F825" s="178"/>
      <c r="G825" s="340"/>
      <c r="H825" s="340"/>
      <c r="I825" s="179"/>
      <c r="J825" s="344"/>
      <c r="K825" s="345"/>
      <c r="L825" s="346"/>
      <c r="M825" s="347"/>
      <c r="N825" s="347"/>
      <c r="O825" s="132"/>
    </row>
    <row r="826" spans="2:15" ht="26.25" customHeight="1" x14ac:dyDescent="0.25">
      <c r="B826" s="130"/>
      <c r="C826" s="135"/>
      <c r="D826" s="177"/>
      <c r="E826" s="178"/>
      <c r="F826" s="178"/>
      <c r="G826" s="340"/>
      <c r="H826" s="340"/>
      <c r="I826" s="179"/>
      <c r="J826" s="344"/>
      <c r="K826" s="345"/>
      <c r="L826" s="346"/>
      <c r="M826" s="347"/>
      <c r="N826" s="347"/>
      <c r="O826" s="132"/>
    </row>
    <row r="827" spans="2:15" ht="26.25" customHeight="1" x14ac:dyDescent="0.25">
      <c r="B827" s="130"/>
      <c r="C827" s="135"/>
      <c r="D827" s="177"/>
      <c r="E827" s="178"/>
      <c r="F827" s="178"/>
      <c r="G827" s="340"/>
      <c r="H827" s="340"/>
      <c r="I827" s="179"/>
      <c r="J827" s="344"/>
      <c r="K827" s="345"/>
      <c r="L827" s="346"/>
      <c r="M827" s="347"/>
      <c r="N827" s="347"/>
      <c r="O827" s="132"/>
    </row>
    <row r="828" spans="2:15" ht="26.25" customHeight="1" x14ac:dyDescent="0.25">
      <c r="B828" s="130"/>
      <c r="C828" s="135"/>
      <c r="D828" s="177"/>
      <c r="E828" s="178"/>
      <c r="F828" s="178"/>
      <c r="G828" s="340"/>
      <c r="H828" s="340"/>
      <c r="I828" s="179"/>
      <c r="J828" s="344"/>
      <c r="K828" s="345"/>
      <c r="L828" s="346"/>
      <c r="M828" s="347"/>
      <c r="N828" s="347"/>
      <c r="O828" s="132"/>
    </row>
    <row r="829" spans="2:15" ht="26.25" customHeight="1" x14ac:dyDescent="0.25">
      <c r="B829" s="130"/>
      <c r="C829" s="135"/>
      <c r="D829" s="177"/>
      <c r="E829" s="178"/>
      <c r="F829" s="178"/>
      <c r="G829" s="340"/>
      <c r="H829" s="340"/>
      <c r="I829" s="179"/>
      <c r="J829" s="344"/>
      <c r="K829" s="345"/>
      <c r="L829" s="346"/>
      <c r="M829" s="347"/>
      <c r="N829" s="347"/>
      <c r="O829" s="132"/>
    </row>
    <row r="830" spans="2:15" ht="26.25" customHeight="1" x14ac:dyDescent="0.25">
      <c r="B830" s="130"/>
      <c r="C830" s="135"/>
      <c r="D830" s="177"/>
      <c r="E830" s="178"/>
      <c r="F830" s="178"/>
      <c r="G830" s="340"/>
      <c r="H830" s="340"/>
      <c r="I830" s="179"/>
      <c r="J830" s="344"/>
      <c r="K830" s="345"/>
      <c r="L830" s="346"/>
      <c r="M830" s="347"/>
      <c r="N830" s="347"/>
      <c r="O830" s="132"/>
    </row>
    <row r="831" spans="2:15" ht="26.25" customHeight="1" x14ac:dyDescent="0.25">
      <c r="B831" s="130"/>
      <c r="C831" s="135"/>
      <c r="D831" s="177"/>
      <c r="E831" s="178"/>
      <c r="F831" s="178"/>
      <c r="G831" s="340"/>
      <c r="H831" s="340"/>
      <c r="I831" s="179"/>
      <c r="J831" s="344"/>
      <c r="K831" s="345"/>
      <c r="L831" s="346"/>
      <c r="M831" s="347"/>
      <c r="N831" s="347"/>
      <c r="O831" s="132"/>
    </row>
    <row r="832" spans="2:15" ht="26.25" customHeight="1" x14ac:dyDescent="0.25">
      <c r="B832" s="130"/>
      <c r="C832" s="135"/>
      <c r="D832" s="177"/>
      <c r="E832" s="178"/>
      <c r="F832" s="178"/>
      <c r="G832" s="340"/>
      <c r="H832" s="340"/>
      <c r="I832" s="179"/>
      <c r="J832" s="344"/>
      <c r="K832" s="345"/>
      <c r="L832" s="346"/>
      <c r="M832" s="347"/>
      <c r="N832" s="347"/>
      <c r="O832" s="132"/>
    </row>
    <row r="833" spans="2:15" ht="26.25" customHeight="1" x14ac:dyDescent="0.25">
      <c r="B833" s="130"/>
      <c r="C833" s="135"/>
      <c r="D833" s="177"/>
      <c r="E833" s="178"/>
      <c r="F833" s="178"/>
      <c r="G833" s="340"/>
      <c r="H833" s="340"/>
      <c r="I833" s="179"/>
      <c r="J833" s="344"/>
      <c r="K833" s="345"/>
      <c r="L833" s="346"/>
      <c r="M833" s="347"/>
      <c r="N833" s="347"/>
      <c r="O833" s="132"/>
    </row>
    <row r="834" spans="2:15" ht="26.25" customHeight="1" x14ac:dyDescent="0.25">
      <c r="B834" s="130"/>
      <c r="C834" s="135"/>
      <c r="D834" s="177"/>
      <c r="E834" s="178"/>
      <c r="F834" s="178"/>
      <c r="G834" s="340"/>
      <c r="H834" s="340"/>
      <c r="I834" s="179"/>
      <c r="J834" s="344"/>
      <c r="K834" s="345"/>
      <c r="L834" s="346"/>
      <c r="M834" s="347"/>
      <c r="N834" s="347"/>
      <c r="O834" s="132"/>
    </row>
    <row r="835" spans="2:15" ht="26.25" customHeight="1" x14ac:dyDescent="0.25">
      <c r="B835" s="130"/>
      <c r="C835" s="135"/>
      <c r="D835" s="177"/>
      <c r="E835" s="178"/>
      <c r="F835" s="178"/>
      <c r="G835" s="340"/>
      <c r="H835" s="340"/>
      <c r="I835" s="179"/>
      <c r="J835" s="344"/>
      <c r="K835" s="345"/>
      <c r="L835" s="346"/>
      <c r="M835" s="347"/>
      <c r="N835" s="347"/>
      <c r="O835" s="132"/>
    </row>
    <row r="836" spans="2:15" ht="26.25" customHeight="1" x14ac:dyDescent="0.25">
      <c r="B836" s="130"/>
      <c r="C836" s="135"/>
      <c r="D836" s="177"/>
      <c r="E836" s="178"/>
      <c r="F836" s="178"/>
      <c r="G836" s="340"/>
      <c r="H836" s="340"/>
      <c r="I836" s="179"/>
      <c r="J836" s="344"/>
      <c r="K836" s="345"/>
      <c r="L836" s="346"/>
      <c r="M836" s="347"/>
      <c r="N836" s="347"/>
      <c r="O836" s="132"/>
    </row>
    <row r="837" spans="2:15" ht="26.25" customHeight="1" x14ac:dyDescent="0.25">
      <c r="B837" s="130"/>
      <c r="C837" s="135"/>
      <c r="D837" s="177"/>
      <c r="E837" s="178"/>
      <c r="F837" s="178"/>
      <c r="G837" s="340"/>
      <c r="H837" s="340"/>
      <c r="I837" s="179"/>
      <c r="J837" s="344"/>
      <c r="K837" s="345"/>
      <c r="L837" s="346"/>
      <c r="M837" s="347"/>
      <c r="N837" s="347"/>
      <c r="O837" s="132"/>
    </row>
    <row r="838" spans="2:15" ht="26.25" customHeight="1" x14ac:dyDescent="0.25">
      <c r="B838" s="130"/>
      <c r="C838" s="135"/>
      <c r="D838" s="177"/>
      <c r="E838" s="178"/>
      <c r="F838" s="178"/>
      <c r="G838" s="340"/>
      <c r="H838" s="340"/>
      <c r="I838" s="179"/>
      <c r="J838" s="344"/>
      <c r="K838" s="345"/>
      <c r="L838" s="346"/>
      <c r="M838" s="347"/>
      <c r="N838" s="347"/>
      <c r="O838" s="132"/>
    </row>
    <row r="839" spans="2:15" ht="26.25" customHeight="1" x14ac:dyDescent="0.25">
      <c r="B839" s="130"/>
      <c r="C839" s="135"/>
      <c r="D839" s="177"/>
      <c r="E839" s="178"/>
      <c r="F839" s="178"/>
      <c r="G839" s="340"/>
      <c r="H839" s="340"/>
      <c r="I839" s="179"/>
      <c r="J839" s="344"/>
      <c r="K839" s="345"/>
      <c r="L839" s="346"/>
      <c r="M839" s="347"/>
      <c r="N839" s="347"/>
      <c r="O839" s="132"/>
    </row>
    <row r="840" spans="2:15" ht="26.25" customHeight="1" x14ac:dyDescent="0.25">
      <c r="B840" s="130"/>
      <c r="C840" s="135"/>
      <c r="D840" s="177"/>
      <c r="E840" s="178"/>
      <c r="F840" s="178"/>
      <c r="G840" s="340"/>
      <c r="H840" s="340"/>
      <c r="I840" s="179"/>
      <c r="J840" s="344"/>
      <c r="K840" s="345"/>
      <c r="L840" s="346"/>
      <c r="M840" s="347"/>
      <c r="N840" s="347"/>
      <c r="O840" s="132"/>
    </row>
    <row r="841" spans="2:15" ht="26.25" customHeight="1" x14ac:dyDescent="0.25">
      <c r="B841" s="130"/>
      <c r="C841" s="135"/>
      <c r="D841" s="177"/>
      <c r="E841" s="178"/>
      <c r="F841" s="178"/>
      <c r="G841" s="340"/>
      <c r="H841" s="340"/>
      <c r="I841" s="179"/>
      <c r="J841" s="344"/>
      <c r="K841" s="345"/>
      <c r="L841" s="346"/>
      <c r="M841" s="347"/>
      <c r="N841" s="347"/>
      <c r="O841" s="132"/>
    </row>
    <row r="842" spans="2:15" ht="26.25" customHeight="1" x14ac:dyDescent="0.25">
      <c r="B842" s="130"/>
      <c r="C842" s="135"/>
      <c r="D842" s="177"/>
      <c r="E842" s="178"/>
      <c r="F842" s="178"/>
      <c r="G842" s="340"/>
      <c r="H842" s="340"/>
      <c r="I842" s="179"/>
      <c r="J842" s="344"/>
      <c r="K842" s="345"/>
      <c r="L842" s="346"/>
      <c r="M842" s="347"/>
      <c r="N842" s="347"/>
      <c r="O842" s="132"/>
    </row>
    <row r="843" spans="2:15" ht="26.25" customHeight="1" x14ac:dyDescent="0.25">
      <c r="B843" s="130"/>
      <c r="C843" s="135"/>
      <c r="D843" s="177"/>
      <c r="E843" s="178"/>
      <c r="F843" s="178"/>
      <c r="G843" s="340"/>
      <c r="H843" s="340"/>
      <c r="I843" s="179"/>
      <c r="J843" s="344"/>
      <c r="K843" s="345"/>
      <c r="L843" s="346"/>
      <c r="M843" s="347"/>
      <c r="N843" s="347"/>
      <c r="O843" s="132"/>
    </row>
    <row r="844" spans="2:15" ht="26.25" customHeight="1" x14ac:dyDescent="0.25">
      <c r="B844" s="130"/>
      <c r="C844" s="135"/>
      <c r="D844" s="177"/>
      <c r="E844" s="178"/>
      <c r="F844" s="178"/>
      <c r="G844" s="340"/>
      <c r="H844" s="340"/>
      <c r="I844" s="179"/>
      <c r="J844" s="344"/>
      <c r="K844" s="345"/>
      <c r="L844" s="346"/>
      <c r="M844" s="347"/>
      <c r="N844" s="347"/>
      <c r="O844" s="132"/>
    </row>
    <row r="845" spans="2:15" ht="26.25" customHeight="1" x14ac:dyDescent="0.25">
      <c r="B845" s="130"/>
      <c r="C845" s="135"/>
      <c r="D845" s="177"/>
      <c r="E845" s="178"/>
      <c r="F845" s="178"/>
      <c r="G845" s="340"/>
      <c r="H845" s="340"/>
      <c r="I845" s="179"/>
      <c r="J845" s="344"/>
      <c r="K845" s="345"/>
      <c r="L845" s="346"/>
      <c r="M845" s="347"/>
      <c r="N845" s="347"/>
      <c r="O845" s="132"/>
    </row>
    <row r="846" spans="2:15" ht="26.25" customHeight="1" x14ac:dyDescent="0.25">
      <c r="B846" s="130"/>
      <c r="C846" s="135"/>
      <c r="D846" s="177"/>
      <c r="E846" s="178"/>
      <c r="F846" s="178"/>
      <c r="G846" s="340"/>
      <c r="H846" s="340"/>
      <c r="I846" s="179"/>
      <c r="J846" s="344"/>
      <c r="K846" s="345"/>
      <c r="L846" s="346"/>
      <c r="M846" s="347"/>
      <c r="N846" s="347"/>
      <c r="O846" s="132"/>
    </row>
    <row r="847" spans="2:15" ht="26.25" customHeight="1" x14ac:dyDescent="0.25">
      <c r="B847" s="130"/>
      <c r="C847" s="135"/>
      <c r="D847" s="177"/>
      <c r="E847" s="178"/>
      <c r="F847" s="178"/>
      <c r="G847" s="340"/>
      <c r="H847" s="340"/>
      <c r="I847" s="179"/>
      <c r="J847" s="344"/>
      <c r="K847" s="345"/>
      <c r="L847" s="346"/>
      <c r="M847" s="347"/>
      <c r="N847" s="347"/>
      <c r="O847" s="132"/>
    </row>
    <row r="848" spans="2:15" ht="26.25" customHeight="1" x14ac:dyDescent="0.25">
      <c r="B848" s="130"/>
      <c r="C848" s="135"/>
      <c r="D848" s="177"/>
      <c r="E848" s="178"/>
      <c r="F848" s="178"/>
      <c r="G848" s="340"/>
      <c r="H848" s="340"/>
      <c r="I848" s="179"/>
      <c r="J848" s="344"/>
      <c r="K848" s="345"/>
      <c r="L848" s="346"/>
      <c r="M848" s="347"/>
      <c r="N848" s="347"/>
      <c r="O848" s="132"/>
    </row>
    <row r="849" spans="2:15" ht="26.25" customHeight="1" x14ac:dyDescent="0.25">
      <c r="B849" s="130"/>
      <c r="C849" s="135"/>
      <c r="D849" s="177"/>
      <c r="E849" s="178"/>
      <c r="F849" s="178"/>
      <c r="G849" s="340"/>
      <c r="H849" s="340"/>
      <c r="I849" s="179"/>
      <c r="J849" s="344"/>
      <c r="K849" s="345"/>
      <c r="L849" s="346"/>
      <c r="M849" s="347"/>
      <c r="N849" s="347"/>
      <c r="O849" s="132"/>
    </row>
    <row r="850" spans="2:15" ht="26.25" customHeight="1" x14ac:dyDescent="0.25">
      <c r="B850" s="130"/>
      <c r="C850" s="135"/>
      <c r="D850" s="177"/>
      <c r="E850" s="178"/>
      <c r="F850" s="178"/>
      <c r="G850" s="340"/>
      <c r="H850" s="340"/>
      <c r="I850" s="179"/>
      <c r="J850" s="344"/>
      <c r="K850" s="345"/>
      <c r="L850" s="346"/>
      <c r="M850" s="347"/>
      <c r="N850" s="347"/>
      <c r="O850" s="132"/>
    </row>
    <row r="851" spans="2:15" ht="26.25" customHeight="1" x14ac:dyDescent="0.25">
      <c r="B851" s="130"/>
      <c r="C851" s="135"/>
      <c r="D851" s="177"/>
      <c r="E851" s="178"/>
      <c r="F851" s="178"/>
      <c r="G851" s="340"/>
      <c r="H851" s="340"/>
      <c r="I851" s="179"/>
      <c r="J851" s="344"/>
      <c r="K851" s="345"/>
      <c r="L851" s="346"/>
      <c r="M851" s="347"/>
      <c r="N851" s="347"/>
      <c r="O851" s="132"/>
    </row>
    <row r="852" spans="2:15" ht="26.25" customHeight="1" x14ac:dyDescent="0.25">
      <c r="B852" s="130"/>
      <c r="C852" s="135"/>
      <c r="D852" s="177"/>
      <c r="E852" s="178"/>
      <c r="F852" s="178"/>
      <c r="G852" s="340"/>
      <c r="H852" s="340"/>
      <c r="I852" s="179"/>
      <c r="J852" s="344"/>
      <c r="K852" s="345"/>
      <c r="L852" s="346"/>
      <c r="M852" s="347"/>
      <c r="N852" s="347"/>
      <c r="O852" s="132"/>
    </row>
    <row r="853" spans="2:15" ht="26.25" customHeight="1" x14ac:dyDescent="0.25">
      <c r="B853" s="130"/>
      <c r="C853" s="135"/>
      <c r="D853" s="177"/>
      <c r="E853" s="178"/>
      <c r="F853" s="178"/>
      <c r="G853" s="340"/>
      <c r="H853" s="340"/>
      <c r="I853" s="179"/>
      <c r="J853" s="344"/>
      <c r="K853" s="345"/>
      <c r="L853" s="346"/>
      <c r="M853" s="347"/>
      <c r="N853" s="347"/>
      <c r="O853" s="132"/>
    </row>
    <row r="854" spans="2:15" ht="26.25" customHeight="1" x14ac:dyDescent="0.25">
      <c r="B854" s="130"/>
      <c r="C854" s="135"/>
      <c r="D854" s="177"/>
      <c r="E854" s="178"/>
      <c r="F854" s="178"/>
      <c r="G854" s="340"/>
      <c r="H854" s="340"/>
      <c r="I854" s="179"/>
      <c r="J854" s="344"/>
      <c r="K854" s="345"/>
      <c r="L854" s="346"/>
      <c r="M854" s="347"/>
      <c r="N854" s="347"/>
      <c r="O854" s="132"/>
    </row>
    <row r="855" spans="2:15" ht="26.25" customHeight="1" x14ac:dyDescent="0.25">
      <c r="B855" s="130"/>
      <c r="C855" s="135"/>
      <c r="D855" s="177"/>
      <c r="E855" s="178"/>
      <c r="F855" s="178"/>
      <c r="G855" s="340"/>
      <c r="H855" s="340"/>
      <c r="I855" s="179"/>
      <c r="J855" s="344"/>
      <c r="K855" s="345"/>
      <c r="L855" s="346"/>
      <c r="M855" s="347"/>
      <c r="N855" s="347"/>
      <c r="O855" s="132"/>
    </row>
    <row r="856" spans="2:15" ht="26.25" customHeight="1" x14ac:dyDescent="0.25">
      <c r="B856" s="130"/>
      <c r="C856" s="135"/>
      <c r="D856" s="177"/>
      <c r="E856" s="178"/>
      <c r="F856" s="178"/>
      <c r="G856" s="340"/>
      <c r="H856" s="340"/>
      <c r="I856" s="179"/>
      <c r="J856" s="344"/>
      <c r="K856" s="345"/>
      <c r="L856" s="346"/>
      <c r="M856" s="347"/>
      <c r="N856" s="347"/>
      <c r="O856" s="132"/>
    </row>
    <row r="857" spans="2:15" ht="26.25" customHeight="1" x14ac:dyDescent="0.25">
      <c r="B857" s="130"/>
      <c r="C857" s="135"/>
      <c r="D857" s="177"/>
      <c r="E857" s="178"/>
      <c r="F857" s="178"/>
      <c r="G857" s="340"/>
      <c r="H857" s="340"/>
      <c r="I857" s="179"/>
      <c r="J857" s="344"/>
      <c r="K857" s="345"/>
      <c r="L857" s="346"/>
      <c r="M857" s="347"/>
      <c r="N857" s="347"/>
      <c r="O857" s="132"/>
    </row>
    <row r="858" spans="2:15" ht="26.25" customHeight="1" x14ac:dyDescent="0.25">
      <c r="B858" s="130"/>
      <c r="C858" s="135"/>
      <c r="D858" s="177"/>
      <c r="E858" s="178"/>
      <c r="F858" s="178"/>
      <c r="G858" s="340"/>
      <c r="H858" s="340"/>
      <c r="I858" s="179"/>
      <c r="J858" s="344"/>
      <c r="K858" s="345"/>
      <c r="L858" s="346"/>
      <c r="M858" s="347"/>
      <c r="N858" s="347"/>
      <c r="O858" s="132"/>
    </row>
    <row r="859" spans="2:15" ht="26.25" customHeight="1" x14ac:dyDescent="0.25">
      <c r="B859" s="130"/>
      <c r="C859" s="135"/>
      <c r="D859" s="177"/>
      <c r="E859" s="178"/>
      <c r="F859" s="178"/>
      <c r="G859" s="340"/>
      <c r="H859" s="340"/>
      <c r="I859" s="179"/>
      <c r="J859" s="344"/>
      <c r="K859" s="345"/>
      <c r="L859" s="346"/>
      <c r="M859" s="347"/>
      <c r="N859" s="347"/>
      <c r="O859" s="132"/>
    </row>
    <row r="860" spans="2:15" ht="26.25" customHeight="1" x14ac:dyDescent="0.25">
      <c r="B860" s="130"/>
      <c r="C860" s="135"/>
      <c r="D860" s="177"/>
      <c r="E860" s="178"/>
      <c r="F860" s="178"/>
      <c r="G860" s="340"/>
      <c r="H860" s="340"/>
      <c r="I860" s="179"/>
      <c r="J860" s="344"/>
      <c r="K860" s="345"/>
      <c r="L860" s="346"/>
      <c r="M860" s="347"/>
      <c r="N860" s="347"/>
      <c r="O860" s="132"/>
    </row>
    <row r="861" spans="2:15" ht="26.25" customHeight="1" x14ac:dyDescent="0.25">
      <c r="B861" s="130"/>
      <c r="C861" s="135"/>
      <c r="D861" s="177"/>
      <c r="E861" s="178"/>
      <c r="F861" s="178"/>
      <c r="G861" s="340"/>
      <c r="H861" s="340"/>
      <c r="I861" s="179"/>
      <c r="J861" s="344"/>
      <c r="K861" s="345"/>
      <c r="L861" s="346"/>
      <c r="M861" s="347"/>
      <c r="N861" s="347"/>
      <c r="O861" s="132"/>
    </row>
    <row r="862" spans="2:15" ht="26.25" customHeight="1" x14ac:dyDescent="0.25">
      <c r="B862" s="130"/>
      <c r="C862" s="135"/>
      <c r="D862" s="177"/>
      <c r="E862" s="178"/>
      <c r="F862" s="178"/>
      <c r="G862" s="340"/>
      <c r="H862" s="340"/>
      <c r="I862" s="179"/>
      <c r="J862" s="344"/>
      <c r="K862" s="345"/>
      <c r="L862" s="346"/>
      <c r="M862" s="347"/>
      <c r="N862" s="347"/>
      <c r="O862" s="132"/>
    </row>
    <row r="863" spans="2:15" ht="26.25" customHeight="1" x14ac:dyDescent="0.25">
      <c r="B863" s="130"/>
      <c r="C863" s="135"/>
      <c r="D863" s="177"/>
      <c r="E863" s="178"/>
      <c r="F863" s="178"/>
      <c r="G863" s="340"/>
      <c r="H863" s="340"/>
      <c r="I863" s="179"/>
      <c r="J863" s="344"/>
      <c r="K863" s="345"/>
      <c r="L863" s="346"/>
      <c r="M863" s="347"/>
      <c r="N863" s="347"/>
      <c r="O863" s="132"/>
    </row>
    <row r="864" spans="2:15" ht="26.25" customHeight="1" x14ac:dyDescent="0.25">
      <c r="B864" s="130"/>
      <c r="C864" s="135"/>
      <c r="D864" s="177"/>
      <c r="E864" s="178"/>
      <c r="F864" s="178"/>
      <c r="G864" s="340"/>
      <c r="H864" s="340"/>
      <c r="I864" s="179"/>
      <c r="J864" s="344"/>
      <c r="K864" s="345"/>
      <c r="L864" s="346"/>
      <c r="M864" s="347"/>
      <c r="N864" s="347"/>
      <c r="O864" s="132"/>
    </row>
    <row r="865" spans="2:15" ht="26.25" customHeight="1" x14ac:dyDescent="0.25">
      <c r="B865" s="130"/>
      <c r="C865" s="135"/>
      <c r="D865" s="177"/>
      <c r="E865" s="178"/>
      <c r="F865" s="178"/>
      <c r="G865" s="340"/>
      <c r="H865" s="340"/>
      <c r="I865" s="179"/>
      <c r="J865" s="344"/>
      <c r="K865" s="345"/>
      <c r="L865" s="346"/>
      <c r="M865" s="347"/>
      <c r="N865" s="347"/>
      <c r="O865" s="132"/>
    </row>
    <row r="866" spans="2:15" ht="26.25" customHeight="1" x14ac:dyDescent="0.25">
      <c r="B866" s="130"/>
      <c r="C866" s="135"/>
      <c r="D866" s="177"/>
      <c r="E866" s="178"/>
      <c r="F866" s="178"/>
      <c r="G866" s="340"/>
      <c r="H866" s="340"/>
      <c r="I866" s="179"/>
      <c r="J866" s="344"/>
      <c r="K866" s="345"/>
      <c r="L866" s="346"/>
      <c r="M866" s="347"/>
      <c r="N866" s="347"/>
      <c r="O866" s="132"/>
    </row>
    <row r="867" spans="2:15" ht="26.25" customHeight="1" x14ac:dyDescent="0.25">
      <c r="B867" s="130"/>
      <c r="C867" s="135"/>
      <c r="D867" s="177"/>
      <c r="E867" s="178"/>
      <c r="F867" s="178"/>
      <c r="G867" s="340"/>
      <c r="H867" s="340"/>
      <c r="I867" s="179"/>
      <c r="J867" s="344"/>
      <c r="K867" s="345"/>
      <c r="L867" s="346"/>
      <c r="M867" s="347"/>
      <c r="N867" s="347"/>
      <c r="O867" s="132"/>
    </row>
    <row r="868" spans="2:15" ht="26.25" customHeight="1" x14ac:dyDescent="0.25">
      <c r="B868" s="130"/>
      <c r="C868" s="135"/>
      <c r="D868" s="177"/>
      <c r="E868" s="178"/>
      <c r="F868" s="178"/>
      <c r="G868" s="340"/>
      <c r="H868" s="340"/>
      <c r="I868" s="179"/>
      <c r="J868" s="344"/>
      <c r="K868" s="345"/>
      <c r="L868" s="346"/>
      <c r="M868" s="347"/>
      <c r="N868" s="347"/>
      <c r="O868" s="132"/>
    </row>
    <row r="869" spans="2:15" ht="26.25" customHeight="1" x14ac:dyDescent="0.25">
      <c r="B869" s="130"/>
      <c r="C869" s="135"/>
      <c r="D869" s="177"/>
      <c r="E869" s="178"/>
      <c r="F869" s="178"/>
      <c r="G869" s="340"/>
      <c r="H869" s="340"/>
      <c r="I869" s="179"/>
      <c r="J869" s="344"/>
      <c r="K869" s="345"/>
      <c r="L869" s="346"/>
      <c r="M869" s="347"/>
      <c r="N869" s="347"/>
      <c r="O869" s="132"/>
    </row>
    <row r="870" spans="2:15" ht="26.25" customHeight="1" x14ac:dyDescent="0.25">
      <c r="B870" s="130"/>
      <c r="C870" s="135"/>
      <c r="D870" s="177"/>
      <c r="E870" s="178"/>
      <c r="F870" s="178"/>
      <c r="G870" s="340"/>
      <c r="H870" s="340"/>
      <c r="I870" s="179"/>
      <c r="J870" s="344"/>
      <c r="K870" s="345"/>
      <c r="L870" s="346"/>
      <c r="M870" s="347"/>
      <c r="N870" s="347"/>
      <c r="O870" s="132"/>
    </row>
    <row r="871" spans="2:15" ht="26.25" customHeight="1" x14ac:dyDescent="0.25">
      <c r="B871" s="130"/>
      <c r="C871" s="135"/>
      <c r="D871" s="177"/>
      <c r="E871" s="178"/>
      <c r="F871" s="178"/>
      <c r="G871" s="340"/>
      <c r="H871" s="340"/>
      <c r="I871" s="179"/>
      <c r="J871" s="344"/>
      <c r="K871" s="345"/>
      <c r="L871" s="346"/>
      <c r="M871" s="347"/>
      <c r="N871" s="347"/>
      <c r="O871" s="132"/>
    </row>
    <row r="872" spans="2:15" ht="26.25" customHeight="1" x14ac:dyDescent="0.25">
      <c r="B872" s="130"/>
      <c r="C872" s="135"/>
      <c r="D872" s="177"/>
      <c r="E872" s="178"/>
      <c r="F872" s="178"/>
      <c r="G872" s="340"/>
      <c r="H872" s="340"/>
      <c r="I872" s="179"/>
      <c r="J872" s="344"/>
      <c r="K872" s="345"/>
      <c r="L872" s="346"/>
      <c r="M872" s="347"/>
      <c r="N872" s="347"/>
      <c r="O872" s="132"/>
    </row>
    <row r="873" spans="2:15" ht="26.25" customHeight="1" x14ac:dyDescent="0.25">
      <c r="B873" s="130"/>
      <c r="C873" s="135"/>
      <c r="D873" s="177"/>
      <c r="E873" s="178"/>
      <c r="F873" s="178"/>
      <c r="G873" s="340"/>
      <c r="H873" s="340"/>
      <c r="I873" s="179"/>
      <c r="J873" s="344"/>
      <c r="K873" s="345"/>
      <c r="L873" s="346"/>
      <c r="M873" s="347"/>
      <c r="N873" s="347"/>
      <c r="O873" s="132"/>
    </row>
    <row r="874" spans="2:15" ht="26.25" customHeight="1" x14ac:dyDescent="0.25">
      <c r="B874" s="130"/>
      <c r="C874" s="135"/>
      <c r="D874" s="177"/>
      <c r="E874" s="178"/>
      <c r="F874" s="178"/>
      <c r="G874" s="340"/>
      <c r="H874" s="340"/>
      <c r="I874" s="179"/>
      <c r="J874" s="344"/>
      <c r="K874" s="345"/>
      <c r="L874" s="346"/>
      <c r="M874" s="347"/>
      <c r="N874" s="347"/>
      <c r="O874" s="132"/>
    </row>
    <row r="875" spans="2:15" ht="26.25" customHeight="1" x14ac:dyDescent="0.25">
      <c r="B875" s="130"/>
      <c r="C875" s="135"/>
      <c r="D875" s="177"/>
      <c r="E875" s="178"/>
      <c r="F875" s="178"/>
      <c r="G875" s="340"/>
      <c r="H875" s="340"/>
      <c r="I875" s="179"/>
      <c r="J875" s="344"/>
      <c r="K875" s="345"/>
      <c r="L875" s="346"/>
      <c r="M875" s="347"/>
      <c r="N875" s="347"/>
      <c r="O875" s="132"/>
    </row>
    <row r="876" spans="2:15" ht="26.25" customHeight="1" x14ac:dyDescent="0.25">
      <c r="B876" s="130"/>
      <c r="C876" s="135"/>
      <c r="D876" s="177"/>
      <c r="E876" s="178"/>
      <c r="F876" s="178"/>
      <c r="G876" s="340"/>
      <c r="H876" s="340"/>
      <c r="I876" s="179"/>
      <c r="J876" s="344"/>
      <c r="K876" s="345"/>
      <c r="L876" s="346"/>
      <c r="M876" s="347"/>
      <c r="N876" s="347"/>
      <c r="O876" s="132"/>
    </row>
    <row r="877" spans="2:15" ht="26.25" customHeight="1" x14ac:dyDescent="0.25">
      <c r="B877" s="130"/>
      <c r="C877" s="135"/>
      <c r="D877" s="177"/>
      <c r="E877" s="178"/>
      <c r="F877" s="178"/>
      <c r="G877" s="340"/>
      <c r="H877" s="340"/>
      <c r="I877" s="179"/>
      <c r="J877" s="344"/>
      <c r="K877" s="345"/>
      <c r="L877" s="346"/>
      <c r="M877" s="347"/>
      <c r="N877" s="347"/>
      <c r="O877" s="132"/>
    </row>
    <row r="878" spans="2:15" ht="26.25" customHeight="1" x14ac:dyDescent="0.25">
      <c r="B878" s="130"/>
      <c r="C878" s="135"/>
      <c r="D878" s="177"/>
      <c r="E878" s="178"/>
      <c r="F878" s="178"/>
      <c r="G878" s="340"/>
      <c r="H878" s="340"/>
      <c r="I878" s="179"/>
      <c r="J878" s="344"/>
      <c r="K878" s="345"/>
      <c r="L878" s="346"/>
      <c r="M878" s="347"/>
      <c r="N878" s="347"/>
      <c r="O878" s="132"/>
    </row>
    <row r="879" spans="2:15" ht="26.25" customHeight="1" x14ac:dyDescent="0.25">
      <c r="B879" s="130"/>
      <c r="C879" s="135"/>
      <c r="D879" s="177"/>
      <c r="E879" s="178"/>
      <c r="F879" s="178"/>
      <c r="G879" s="340"/>
      <c r="H879" s="340"/>
      <c r="I879" s="179"/>
      <c r="J879" s="344"/>
      <c r="K879" s="345"/>
      <c r="L879" s="346"/>
      <c r="M879" s="347"/>
      <c r="N879" s="347"/>
      <c r="O879" s="132"/>
    </row>
    <row r="880" spans="2:15" ht="26.25" customHeight="1" x14ac:dyDescent="0.25">
      <c r="B880" s="130"/>
      <c r="C880" s="135"/>
      <c r="D880" s="177"/>
      <c r="E880" s="178"/>
      <c r="F880" s="178"/>
      <c r="G880" s="340"/>
      <c r="H880" s="340"/>
      <c r="I880" s="179"/>
      <c r="J880" s="344"/>
      <c r="K880" s="345"/>
      <c r="L880" s="346"/>
      <c r="M880" s="347"/>
      <c r="N880" s="347"/>
      <c r="O880" s="132"/>
    </row>
    <row r="881" spans="2:15" ht="26.25" customHeight="1" x14ac:dyDescent="0.25">
      <c r="B881" s="130"/>
      <c r="C881" s="135"/>
      <c r="D881" s="177"/>
      <c r="E881" s="178"/>
      <c r="F881" s="178"/>
      <c r="G881" s="340"/>
      <c r="H881" s="340"/>
      <c r="I881" s="179"/>
      <c r="J881" s="344"/>
      <c r="K881" s="345"/>
      <c r="L881" s="346"/>
      <c r="M881" s="347"/>
      <c r="N881" s="347"/>
      <c r="O881" s="132"/>
    </row>
    <row r="882" spans="2:15" ht="26.25" customHeight="1" x14ac:dyDescent="0.25">
      <c r="B882" s="130"/>
      <c r="C882" s="135"/>
      <c r="D882" s="177"/>
      <c r="E882" s="178"/>
      <c r="F882" s="178"/>
      <c r="G882" s="340"/>
      <c r="H882" s="340"/>
      <c r="I882" s="179"/>
      <c r="J882" s="344"/>
      <c r="K882" s="345"/>
      <c r="L882" s="346"/>
      <c r="M882" s="347"/>
      <c r="N882" s="347"/>
      <c r="O882" s="132"/>
    </row>
    <row r="883" spans="2:15" ht="26.25" customHeight="1" x14ac:dyDescent="0.25">
      <c r="B883" s="130"/>
      <c r="C883" s="135"/>
      <c r="D883" s="177"/>
      <c r="E883" s="178"/>
      <c r="F883" s="178"/>
      <c r="G883" s="340"/>
      <c r="H883" s="340"/>
      <c r="I883" s="179"/>
      <c r="J883" s="344"/>
      <c r="K883" s="345"/>
      <c r="L883" s="346"/>
      <c r="M883" s="347"/>
      <c r="N883" s="347"/>
      <c r="O883" s="132"/>
    </row>
    <row r="884" spans="2:15" ht="26.25" customHeight="1" x14ac:dyDescent="0.25">
      <c r="B884" s="130"/>
      <c r="C884" s="135"/>
      <c r="D884" s="177"/>
      <c r="E884" s="178"/>
      <c r="F884" s="178"/>
      <c r="G884" s="340"/>
      <c r="H884" s="340"/>
      <c r="I884" s="179"/>
      <c r="J884" s="344"/>
      <c r="K884" s="345"/>
      <c r="L884" s="346"/>
      <c r="M884" s="347"/>
      <c r="N884" s="347"/>
      <c r="O884" s="132"/>
    </row>
    <row r="885" spans="2:15" ht="26.25" customHeight="1" x14ac:dyDescent="0.25">
      <c r="B885" s="130"/>
      <c r="C885" s="135"/>
      <c r="D885" s="177"/>
      <c r="E885" s="178"/>
      <c r="F885" s="178"/>
      <c r="G885" s="340"/>
      <c r="H885" s="340"/>
      <c r="I885" s="179"/>
      <c r="J885" s="344"/>
      <c r="K885" s="345"/>
      <c r="L885" s="346"/>
      <c r="M885" s="347"/>
      <c r="N885" s="347"/>
      <c r="O885" s="132"/>
    </row>
    <row r="886" spans="2:15" ht="26.25" customHeight="1" x14ac:dyDescent="0.25">
      <c r="B886" s="130"/>
      <c r="C886" s="135"/>
      <c r="D886" s="177"/>
      <c r="E886" s="178"/>
      <c r="F886" s="178"/>
      <c r="G886" s="340"/>
      <c r="H886" s="340"/>
      <c r="I886" s="179"/>
      <c r="J886" s="344"/>
      <c r="K886" s="345"/>
      <c r="L886" s="346"/>
      <c r="M886" s="347"/>
      <c r="N886" s="347"/>
      <c r="O886" s="132"/>
    </row>
    <row r="887" spans="2:15" ht="26.25" customHeight="1" x14ac:dyDescent="0.25">
      <c r="B887" s="130"/>
      <c r="C887" s="135"/>
      <c r="D887" s="177"/>
      <c r="E887" s="178"/>
      <c r="F887" s="178"/>
      <c r="G887" s="340"/>
      <c r="H887" s="340"/>
      <c r="I887" s="179"/>
      <c r="J887" s="344"/>
      <c r="K887" s="345"/>
      <c r="L887" s="346"/>
      <c r="M887" s="347"/>
      <c r="N887" s="347"/>
      <c r="O887" s="132"/>
    </row>
    <row r="888" spans="2:15" ht="26.25" customHeight="1" x14ac:dyDescent="0.25">
      <c r="B888" s="130"/>
      <c r="C888" s="135"/>
      <c r="D888" s="177"/>
      <c r="E888" s="178"/>
      <c r="F888" s="178"/>
      <c r="G888" s="340"/>
      <c r="H888" s="340"/>
      <c r="I888" s="179"/>
      <c r="J888" s="344"/>
      <c r="K888" s="345"/>
      <c r="L888" s="346"/>
      <c r="M888" s="347"/>
      <c r="N888" s="347"/>
      <c r="O888" s="132"/>
    </row>
    <row r="889" spans="2:15" ht="26.25" customHeight="1" x14ac:dyDescent="0.25">
      <c r="B889" s="130"/>
      <c r="C889" s="135"/>
      <c r="D889" s="177"/>
      <c r="E889" s="178"/>
      <c r="F889" s="178"/>
      <c r="G889" s="340"/>
      <c r="H889" s="340"/>
      <c r="I889" s="179"/>
      <c r="J889" s="344"/>
      <c r="K889" s="345"/>
      <c r="L889" s="346"/>
      <c r="M889" s="347"/>
      <c r="N889" s="347"/>
      <c r="O889" s="132"/>
    </row>
    <row r="890" spans="2:15" ht="26.25" customHeight="1" x14ac:dyDescent="0.25">
      <c r="B890" s="130"/>
      <c r="C890" s="135"/>
      <c r="D890" s="177"/>
      <c r="E890" s="178"/>
      <c r="F890" s="178"/>
      <c r="G890" s="340"/>
      <c r="H890" s="340"/>
      <c r="I890" s="179"/>
      <c r="J890" s="344"/>
      <c r="K890" s="345"/>
      <c r="L890" s="346"/>
      <c r="M890" s="347"/>
      <c r="N890" s="347"/>
      <c r="O890" s="132"/>
    </row>
    <row r="891" spans="2:15" ht="26.25" customHeight="1" x14ac:dyDescent="0.25">
      <c r="B891" s="130"/>
      <c r="C891" s="135"/>
      <c r="D891" s="177"/>
      <c r="E891" s="178"/>
      <c r="F891" s="178"/>
      <c r="G891" s="340"/>
      <c r="H891" s="340"/>
      <c r="I891" s="179"/>
      <c r="J891" s="344"/>
      <c r="K891" s="345"/>
      <c r="L891" s="346"/>
      <c r="M891" s="347"/>
      <c r="N891" s="347"/>
      <c r="O891" s="132"/>
    </row>
    <row r="892" spans="2:15" ht="26.25" customHeight="1" x14ac:dyDescent="0.25">
      <c r="B892" s="130"/>
      <c r="C892" s="135"/>
      <c r="D892" s="177"/>
      <c r="E892" s="178"/>
      <c r="F892" s="178"/>
      <c r="G892" s="340"/>
      <c r="H892" s="340"/>
      <c r="I892" s="179"/>
      <c r="J892" s="344"/>
      <c r="K892" s="345"/>
      <c r="L892" s="346"/>
      <c r="M892" s="347"/>
      <c r="N892" s="347"/>
      <c r="O892" s="132"/>
    </row>
    <row r="893" spans="2:15" ht="26.25" customHeight="1" x14ac:dyDescent="0.25">
      <c r="B893" s="130"/>
      <c r="C893" s="135"/>
      <c r="D893" s="177"/>
      <c r="E893" s="178"/>
      <c r="F893" s="178"/>
      <c r="G893" s="340"/>
      <c r="H893" s="340"/>
      <c r="I893" s="179"/>
      <c r="J893" s="344"/>
      <c r="K893" s="345"/>
      <c r="L893" s="346"/>
      <c r="M893" s="347"/>
      <c r="N893" s="347"/>
      <c r="O893" s="132"/>
    </row>
    <row r="894" spans="2:15" ht="26.25" customHeight="1" x14ac:dyDescent="0.25">
      <c r="B894" s="130"/>
      <c r="C894" s="135"/>
      <c r="D894" s="177"/>
      <c r="E894" s="178"/>
      <c r="F894" s="178"/>
      <c r="G894" s="340"/>
      <c r="H894" s="340"/>
      <c r="I894" s="179"/>
      <c r="J894" s="344"/>
      <c r="K894" s="345"/>
      <c r="L894" s="346"/>
      <c r="M894" s="347"/>
      <c r="N894" s="347"/>
      <c r="O894" s="132"/>
    </row>
    <row r="895" spans="2:15" ht="26.25" customHeight="1" x14ac:dyDescent="0.25">
      <c r="B895" s="130"/>
      <c r="C895" s="135"/>
      <c r="D895" s="177"/>
      <c r="E895" s="178"/>
      <c r="F895" s="178"/>
      <c r="G895" s="340"/>
      <c r="H895" s="340"/>
      <c r="I895" s="179"/>
      <c r="J895" s="344"/>
      <c r="K895" s="345"/>
      <c r="L895" s="346"/>
      <c r="M895" s="347"/>
      <c r="N895" s="347"/>
      <c r="O895" s="132"/>
    </row>
    <row r="896" spans="2:15" ht="26.25" customHeight="1" x14ac:dyDescent="0.25">
      <c r="B896" s="130"/>
      <c r="C896" s="135"/>
      <c r="D896" s="177"/>
      <c r="E896" s="178"/>
      <c r="F896" s="178"/>
      <c r="G896" s="340"/>
      <c r="H896" s="340"/>
      <c r="I896" s="179"/>
      <c r="J896" s="344"/>
      <c r="K896" s="345"/>
      <c r="L896" s="346"/>
      <c r="M896" s="347"/>
      <c r="N896" s="347"/>
      <c r="O896" s="132"/>
    </row>
    <row r="897" spans="2:15" ht="26.25" customHeight="1" x14ac:dyDescent="0.25">
      <c r="B897" s="130"/>
      <c r="C897" s="135"/>
      <c r="D897" s="177"/>
      <c r="E897" s="178"/>
      <c r="F897" s="178"/>
      <c r="G897" s="340"/>
      <c r="H897" s="340"/>
      <c r="I897" s="179"/>
      <c r="J897" s="344"/>
      <c r="K897" s="345"/>
      <c r="L897" s="346"/>
      <c r="M897" s="347"/>
      <c r="N897" s="347"/>
      <c r="O897" s="132"/>
    </row>
    <row r="898" spans="2:15" ht="26.25" customHeight="1" x14ac:dyDescent="0.25">
      <c r="B898" s="130"/>
      <c r="C898" s="135"/>
      <c r="D898" s="177"/>
      <c r="E898" s="178"/>
      <c r="F898" s="178"/>
      <c r="G898" s="340"/>
      <c r="H898" s="340"/>
      <c r="I898" s="179"/>
      <c r="J898" s="344"/>
      <c r="K898" s="345"/>
      <c r="L898" s="346"/>
      <c r="M898" s="347"/>
      <c r="N898" s="347"/>
      <c r="O898" s="132"/>
    </row>
    <row r="899" spans="2:15" ht="26.25" customHeight="1" x14ac:dyDescent="0.25">
      <c r="B899" s="130"/>
      <c r="C899" s="135"/>
      <c r="D899" s="177"/>
      <c r="E899" s="178"/>
      <c r="F899" s="178"/>
      <c r="G899" s="340"/>
      <c r="H899" s="340"/>
      <c r="I899" s="179"/>
      <c r="J899" s="344"/>
      <c r="K899" s="345"/>
      <c r="L899" s="346"/>
      <c r="M899" s="347"/>
      <c r="N899" s="347"/>
      <c r="O899" s="132"/>
    </row>
    <row r="900" spans="2:15" ht="26.25" customHeight="1" x14ac:dyDescent="0.25">
      <c r="B900" s="130"/>
      <c r="C900" s="135"/>
      <c r="D900" s="177"/>
      <c r="E900" s="178"/>
      <c r="F900" s="178"/>
      <c r="G900" s="340"/>
      <c r="H900" s="340"/>
      <c r="I900" s="179"/>
      <c r="J900" s="344"/>
      <c r="K900" s="345"/>
      <c r="L900" s="346"/>
      <c r="M900" s="347"/>
      <c r="N900" s="347"/>
      <c r="O900" s="132"/>
    </row>
    <row r="901" spans="2:15" ht="26.25" customHeight="1" x14ac:dyDescent="0.25">
      <c r="B901" s="130"/>
      <c r="C901" s="135"/>
      <c r="D901" s="177"/>
      <c r="E901" s="178"/>
      <c r="F901" s="178"/>
      <c r="G901" s="340"/>
      <c r="H901" s="340"/>
      <c r="I901" s="179"/>
      <c r="J901" s="344"/>
      <c r="K901" s="345"/>
      <c r="L901" s="346"/>
      <c r="M901" s="347"/>
      <c r="N901" s="347"/>
      <c r="O901" s="132"/>
    </row>
    <row r="902" spans="2:15" ht="26.25" customHeight="1" x14ac:dyDescent="0.25">
      <c r="B902" s="130"/>
      <c r="C902" s="135"/>
      <c r="D902" s="177"/>
      <c r="E902" s="178"/>
      <c r="F902" s="178"/>
      <c r="G902" s="340"/>
      <c r="H902" s="340"/>
      <c r="I902" s="179"/>
      <c r="J902" s="344"/>
      <c r="K902" s="345"/>
      <c r="L902" s="346"/>
      <c r="M902" s="347"/>
      <c r="N902" s="347"/>
      <c r="O902" s="132"/>
    </row>
    <row r="903" spans="2:15" ht="26.25" customHeight="1" x14ac:dyDescent="0.25">
      <c r="B903" s="130"/>
      <c r="C903" s="135"/>
      <c r="D903" s="177"/>
      <c r="E903" s="178"/>
      <c r="F903" s="178"/>
      <c r="G903" s="340"/>
      <c r="H903" s="340"/>
      <c r="I903" s="179"/>
      <c r="J903" s="344"/>
      <c r="K903" s="345"/>
      <c r="L903" s="346"/>
      <c r="M903" s="347"/>
      <c r="N903" s="347"/>
      <c r="O903" s="132"/>
    </row>
    <row r="904" spans="2:15" ht="26.25" customHeight="1" x14ac:dyDescent="0.25">
      <c r="B904" s="130"/>
      <c r="C904" s="135"/>
      <c r="D904" s="177"/>
      <c r="E904" s="178"/>
      <c r="F904" s="178"/>
      <c r="G904" s="340"/>
      <c r="H904" s="340"/>
      <c r="I904" s="179"/>
      <c r="J904" s="344"/>
      <c r="K904" s="345"/>
      <c r="L904" s="346"/>
      <c r="M904" s="347"/>
      <c r="N904" s="347"/>
      <c r="O904" s="132"/>
    </row>
    <row r="905" spans="2:15" ht="26.25" customHeight="1" x14ac:dyDescent="0.25">
      <c r="B905" s="130"/>
      <c r="C905" s="135"/>
      <c r="D905" s="177"/>
      <c r="E905" s="178"/>
      <c r="F905" s="178"/>
      <c r="G905" s="340"/>
      <c r="H905" s="340"/>
      <c r="I905" s="179"/>
      <c r="J905" s="344"/>
      <c r="K905" s="345"/>
      <c r="L905" s="346"/>
      <c r="M905" s="347"/>
      <c r="N905" s="347"/>
      <c r="O905" s="132"/>
    </row>
    <row r="906" spans="2:15" ht="26.25" customHeight="1" x14ac:dyDescent="0.25">
      <c r="B906" s="130"/>
      <c r="C906" s="135"/>
      <c r="D906" s="177"/>
      <c r="E906" s="178"/>
      <c r="F906" s="178"/>
      <c r="G906" s="340"/>
      <c r="H906" s="340"/>
      <c r="I906" s="179"/>
      <c r="J906" s="344"/>
      <c r="K906" s="345"/>
      <c r="L906" s="346"/>
      <c r="M906" s="347"/>
      <c r="N906" s="347"/>
      <c r="O906" s="132"/>
    </row>
    <row r="907" spans="2:15" ht="26.25" customHeight="1" x14ac:dyDescent="0.25">
      <c r="B907" s="130"/>
      <c r="C907" s="135"/>
      <c r="D907" s="177"/>
      <c r="E907" s="178"/>
      <c r="F907" s="178"/>
      <c r="G907" s="340"/>
      <c r="H907" s="340"/>
      <c r="I907" s="179"/>
      <c r="J907" s="344"/>
      <c r="K907" s="345"/>
      <c r="L907" s="346"/>
      <c r="M907" s="347"/>
      <c r="N907" s="347"/>
      <c r="O907" s="132"/>
    </row>
    <row r="908" spans="2:15" ht="26.25" customHeight="1" x14ac:dyDescent="0.25">
      <c r="B908" s="130"/>
      <c r="C908" s="135"/>
      <c r="D908" s="177"/>
      <c r="E908" s="178"/>
      <c r="F908" s="178"/>
      <c r="G908" s="340"/>
      <c r="H908" s="340"/>
      <c r="I908" s="179"/>
      <c r="J908" s="344"/>
      <c r="K908" s="345"/>
      <c r="L908" s="346"/>
      <c r="M908" s="347"/>
      <c r="N908" s="347"/>
      <c r="O908" s="132"/>
    </row>
    <row r="909" spans="2:15" ht="26.25" customHeight="1" x14ac:dyDescent="0.25">
      <c r="B909" s="130"/>
      <c r="C909" s="135"/>
      <c r="D909" s="177"/>
      <c r="E909" s="178"/>
      <c r="F909" s="178"/>
      <c r="G909" s="340"/>
      <c r="H909" s="340"/>
      <c r="I909" s="179"/>
      <c r="J909" s="344"/>
      <c r="K909" s="345"/>
      <c r="L909" s="346"/>
      <c r="M909" s="347"/>
      <c r="N909" s="347"/>
      <c r="O909" s="132"/>
    </row>
    <row r="910" spans="2:15" ht="26.25" customHeight="1" x14ac:dyDescent="0.25">
      <c r="B910" s="130"/>
      <c r="C910" s="135"/>
      <c r="D910" s="177"/>
      <c r="E910" s="178"/>
      <c r="F910" s="178"/>
      <c r="G910" s="340"/>
      <c r="H910" s="340"/>
      <c r="I910" s="179"/>
      <c r="J910" s="344"/>
      <c r="K910" s="345"/>
      <c r="L910" s="346"/>
      <c r="M910" s="347"/>
      <c r="N910" s="347"/>
      <c r="O910" s="132"/>
    </row>
    <row r="911" spans="2:15" ht="26.25" customHeight="1" x14ac:dyDescent="0.25">
      <c r="B911" s="130"/>
      <c r="C911" s="135"/>
      <c r="D911" s="177"/>
      <c r="E911" s="178"/>
      <c r="F911" s="178"/>
      <c r="G911" s="340"/>
      <c r="H911" s="340"/>
      <c r="I911" s="179"/>
      <c r="J911" s="344"/>
      <c r="K911" s="345"/>
      <c r="L911" s="346"/>
      <c r="M911" s="347"/>
      <c r="N911" s="347"/>
      <c r="O911" s="132"/>
    </row>
    <row r="912" spans="2:15" ht="26.25" customHeight="1" x14ac:dyDescent="0.25">
      <c r="B912" s="130"/>
      <c r="C912" s="135"/>
      <c r="D912" s="177"/>
      <c r="E912" s="178"/>
      <c r="F912" s="178"/>
      <c r="G912" s="340"/>
      <c r="H912" s="340"/>
      <c r="I912" s="179"/>
      <c r="J912" s="344"/>
      <c r="K912" s="345"/>
      <c r="L912" s="346"/>
      <c r="M912" s="347"/>
      <c r="N912" s="347"/>
      <c r="O912" s="132"/>
    </row>
    <row r="913" spans="2:15" ht="26.25" customHeight="1" x14ac:dyDescent="0.25">
      <c r="B913" s="130"/>
      <c r="C913" s="135"/>
      <c r="D913" s="177"/>
      <c r="E913" s="178"/>
      <c r="F913" s="178"/>
      <c r="G913" s="340"/>
      <c r="H913" s="340"/>
      <c r="I913" s="179"/>
      <c r="J913" s="344"/>
      <c r="K913" s="345"/>
      <c r="L913" s="346"/>
      <c r="M913" s="347"/>
      <c r="N913" s="347"/>
      <c r="O913" s="132"/>
    </row>
    <row r="914" spans="2:15" ht="26.25" customHeight="1" x14ac:dyDescent="0.25">
      <c r="B914" s="130"/>
      <c r="C914" s="135"/>
      <c r="D914" s="177"/>
      <c r="E914" s="178"/>
      <c r="F914" s="178"/>
      <c r="G914" s="340"/>
      <c r="H914" s="340"/>
      <c r="I914" s="179"/>
      <c r="J914" s="344"/>
      <c r="K914" s="345"/>
      <c r="L914" s="346"/>
      <c r="M914" s="347"/>
      <c r="N914" s="347"/>
      <c r="O914" s="132"/>
    </row>
    <row r="915" spans="2:15" ht="26.25" customHeight="1" x14ac:dyDescent="0.25">
      <c r="B915" s="130"/>
      <c r="C915" s="135"/>
      <c r="D915" s="177"/>
      <c r="E915" s="178"/>
      <c r="F915" s="178"/>
      <c r="G915" s="340"/>
      <c r="H915" s="340"/>
      <c r="I915" s="179"/>
      <c r="J915" s="344"/>
      <c r="K915" s="345"/>
      <c r="L915" s="346"/>
      <c r="M915" s="347"/>
      <c r="N915" s="347"/>
      <c r="O915" s="132"/>
    </row>
    <row r="916" spans="2:15" ht="26.25" customHeight="1" x14ac:dyDescent="0.25">
      <c r="B916" s="130"/>
      <c r="C916" s="135"/>
      <c r="D916" s="177"/>
      <c r="E916" s="178"/>
      <c r="F916" s="178"/>
      <c r="G916" s="340"/>
      <c r="H916" s="340"/>
      <c r="I916" s="179"/>
      <c r="J916" s="344"/>
      <c r="K916" s="345"/>
      <c r="L916" s="346"/>
      <c r="M916" s="347"/>
      <c r="N916" s="347"/>
      <c r="O916" s="132"/>
    </row>
    <row r="917" spans="2:15" ht="26.25" customHeight="1" x14ac:dyDescent="0.25">
      <c r="B917" s="130"/>
      <c r="C917" s="135"/>
      <c r="D917" s="177"/>
      <c r="E917" s="178"/>
      <c r="F917" s="178"/>
      <c r="G917" s="340"/>
      <c r="H917" s="340"/>
      <c r="I917" s="179"/>
      <c r="J917" s="344"/>
      <c r="K917" s="345"/>
      <c r="L917" s="346"/>
      <c r="M917" s="347"/>
      <c r="N917" s="347"/>
      <c r="O917" s="132"/>
    </row>
    <row r="918" spans="2:15" ht="26.25" customHeight="1" x14ac:dyDescent="0.25">
      <c r="B918" s="130"/>
      <c r="C918" s="135"/>
      <c r="D918" s="177"/>
      <c r="E918" s="178"/>
      <c r="F918" s="178"/>
      <c r="G918" s="340"/>
      <c r="H918" s="340"/>
      <c r="I918" s="179"/>
      <c r="J918" s="344"/>
      <c r="K918" s="345"/>
      <c r="L918" s="346"/>
      <c r="M918" s="347"/>
      <c r="N918" s="347"/>
      <c r="O918" s="132"/>
    </row>
    <row r="919" spans="2:15" ht="26.25" customHeight="1" x14ac:dyDescent="0.25">
      <c r="B919" s="130"/>
      <c r="C919" s="135"/>
      <c r="D919" s="177"/>
      <c r="E919" s="178"/>
      <c r="F919" s="178"/>
      <c r="G919" s="340"/>
      <c r="H919" s="340"/>
      <c r="I919" s="179"/>
      <c r="J919" s="344"/>
      <c r="K919" s="345"/>
      <c r="L919" s="346"/>
      <c r="M919" s="347"/>
      <c r="N919" s="347"/>
      <c r="O919" s="132"/>
    </row>
    <row r="920" spans="2:15" ht="26.25" customHeight="1" x14ac:dyDescent="0.25">
      <c r="B920" s="130"/>
      <c r="C920" s="135"/>
      <c r="D920" s="177"/>
      <c r="E920" s="178"/>
      <c r="F920" s="178"/>
      <c r="G920" s="340"/>
      <c r="H920" s="340"/>
      <c r="I920" s="179"/>
      <c r="J920" s="344"/>
      <c r="K920" s="345"/>
      <c r="L920" s="346"/>
      <c r="M920" s="347"/>
      <c r="N920" s="347"/>
      <c r="O920" s="132"/>
    </row>
    <row r="921" spans="2:15" ht="26.25" customHeight="1" x14ac:dyDescent="0.25">
      <c r="B921" s="130"/>
      <c r="C921" s="135"/>
      <c r="D921" s="177"/>
      <c r="E921" s="178"/>
      <c r="F921" s="178"/>
      <c r="G921" s="340"/>
      <c r="H921" s="340"/>
      <c r="I921" s="179"/>
      <c r="J921" s="344"/>
      <c r="K921" s="345"/>
      <c r="L921" s="346"/>
      <c r="M921" s="347"/>
      <c r="N921" s="347"/>
      <c r="O921" s="132"/>
    </row>
    <row r="922" spans="2:15" ht="26.25" customHeight="1" x14ac:dyDescent="0.25">
      <c r="B922" s="130"/>
      <c r="C922" s="135"/>
      <c r="D922" s="177"/>
      <c r="E922" s="178"/>
      <c r="F922" s="178"/>
      <c r="G922" s="340"/>
      <c r="H922" s="340"/>
      <c r="I922" s="179"/>
      <c r="J922" s="344"/>
      <c r="K922" s="345"/>
      <c r="L922" s="346"/>
      <c r="M922" s="347"/>
      <c r="N922" s="347"/>
      <c r="O922" s="132"/>
    </row>
    <row r="923" spans="2:15" ht="26.25" customHeight="1" x14ac:dyDescent="0.25">
      <c r="B923" s="130"/>
      <c r="C923" s="135"/>
      <c r="D923" s="177"/>
      <c r="E923" s="178"/>
      <c r="F923" s="178"/>
      <c r="G923" s="340"/>
      <c r="H923" s="340"/>
      <c r="I923" s="179"/>
      <c r="J923" s="344"/>
      <c r="K923" s="345"/>
      <c r="L923" s="346"/>
      <c r="M923" s="347"/>
      <c r="N923" s="347"/>
      <c r="O923" s="132"/>
    </row>
    <row r="924" spans="2:15" ht="26.25" customHeight="1" x14ac:dyDescent="0.25">
      <c r="B924" s="130"/>
      <c r="C924" s="135"/>
      <c r="D924" s="177"/>
      <c r="E924" s="178"/>
      <c r="F924" s="178"/>
      <c r="G924" s="340"/>
      <c r="H924" s="340"/>
      <c r="I924" s="179"/>
      <c r="J924" s="344"/>
      <c r="K924" s="345"/>
      <c r="L924" s="346"/>
      <c r="M924" s="347"/>
      <c r="N924" s="347"/>
      <c r="O924" s="132"/>
    </row>
    <row r="925" spans="2:15" ht="26.25" customHeight="1" x14ac:dyDescent="0.25">
      <c r="B925" s="130"/>
      <c r="C925" s="135"/>
      <c r="D925" s="177"/>
      <c r="E925" s="178"/>
      <c r="F925" s="178"/>
      <c r="G925" s="340"/>
      <c r="H925" s="340"/>
      <c r="I925" s="179"/>
      <c r="J925" s="344"/>
      <c r="K925" s="345"/>
      <c r="L925" s="346"/>
      <c r="M925" s="347"/>
      <c r="N925" s="347"/>
      <c r="O925" s="132"/>
    </row>
    <row r="926" spans="2:15" ht="26.25" customHeight="1" x14ac:dyDescent="0.25">
      <c r="B926" s="130"/>
      <c r="C926" s="135"/>
      <c r="D926" s="177"/>
      <c r="E926" s="178"/>
      <c r="F926" s="178"/>
      <c r="G926" s="340"/>
      <c r="H926" s="340"/>
      <c r="I926" s="179"/>
      <c r="J926" s="344"/>
      <c r="K926" s="345"/>
      <c r="L926" s="346"/>
      <c r="M926" s="347"/>
      <c r="N926" s="347"/>
      <c r="O926" s="132"/>
    </row>
    <row r="927" spans="2:15" ht="26.25" customHeight="1" x14ac:dyDescent="0.25">
      <c r="B927" s="130"/>
      <c r="C927" s="135"/>
      <c r="D927" s="177"/>
      <c r="E927" s="178"/>
      <c r="F927" s="178"/>
      <c r="G927" s="340"/>
      <c r="H927" s="340"/>
      <c r="I927" s="179"/>
      <c r="J927" s="344"/>
      <c r="K927" s="345"/>
      <c r="L927" s="346"/>
      <c r="M927" s="347"/>
      <c r="N927" s="347"/>
      <c r="O927" s="132"/>
    </row>
    <row r="928" spans="2:15" ht="26.25" customHeight="1" x14ac:dyDescent="0.25">
      <c r="B928" s="130"/>
      <c r="C928" s="135"/>
      <c r="D928" s="177"/>
      <c r="E928" s="178"/>
      <c r="F928" s="178"/>
      <c r="G928" s="340"/>
      <c r="H928" s="340"/>
      <c r="I928" s="179"/>
      <c r="J928" s="344"/>
      <c r="K928" s="345"/>
      <c r="L928" s="346"/>
      <c r="M928" s="347"/>
      <c r="N928" s="347"/>
      <c r="O928" s="132"/>
    </row>
    <row r="929" spans="2:15" ht="26.25" customHeight="1" x14ac:dyDescent="0.25">
      <c r="B929" s="130"/>
      <c r="C929" s="135"/>
      <c r="D929" s="177"/>
      <c r="E929" s="178"/>
      <c r="F929" s="178"/>
      <c r="G929" s="340"/>
      <c r="H929" s="340"/>
      <c r="I929" s="179"/>
      <c r="J929" s="344"/>
      <c r="K929" s="345"/>
      <c r="L929" s="346"/>
      <c r="M929" s="347"/>
      <c r="N929" s="347"/>
      <c r="O929" s="132"/>
    </row>
    <row r="930" spans="2:15" ht="26.25" customHeight="1" x14ac:dyDescent="0.25">
      <c r="B930" s="130"/>
      <c r="C930" s="135"/>
      <c r="D930" s="177"/>
      <c r="E930" s="178"/>
      <c r="F930" s="178"/>
      <c r="G930" s="340"/>
      <c r="H930" s="340"/>
      <c r="I930" s="179"/>
      <c r="J930" s="344"/>
      <c r="K930" s="345"/>
      <c r="L930" s="346"/>
      <c r="M930" s="347"/>
      <c r="N930" s="347"/>
      <c r="O930" s="132"/>
    </row>
    <row r="931" spans="2:15" ht="26.25" customHeight="1" x14ac:dyDescent="0.25">
      <c r="B931" s="130"/>
      <c r="C931" s="135"/>
      <c r="D931" s="177"/>
      <c r="E931" s="178"/>
      <c r="F931" s="178"/>
      <c r="G931" s="340"/>
      <c r="H931" s="340"/>
      <c r="I931" s="179"/>
      <c r="J931" s="344"/>
      <c r="K931" s="345"/>
      <c r="L931" s="346"/>
      <c r="M931" s="347"/>
      <c r="N931" s="347"/>
      <c r="O931" s="132"/>
    </row>
    <row r="932" spans="2:15" ht="26.25" customHeight="1" x14ac:dyDescent="0.25">
      <c r="B932" s="130"/>
      <c r="C932" s="135"/>
      <c r="D932" s="177"/>
      <c r="E932" s="178"/>
      <c r="F932" s="178"/>
      <c r="G932" s="340"/>
      <c r="H932" s="340"/>
      <c r="I932" s="179"/>
      <c r="J932" s="344"/>
      <c r="K932" s="345"/>
      <c r="L932" s="346"/>
      <c r="M932" s="347"/>
      <c r="N932" s="347"/>
      <c r="O932" s="132"/>
    </row>
    <row r="933" spans="2:15" ht="26.25" customHeight="1" x14ac:dyDescent="0.25">
      <c r="B933" s="130"/>
      <c r="C933" s="135"/>
      <c r="D933" s="177"/>
      <c r="E933" s="178"/>
      <c r="F933" s="178"/>
      <c r="G933" s="340"/>
      <c r="H933" s="340"/>
      <c r="I933" s="179"/>
      <c r="J933" s="344"/>
      <c r="K933" s="345"/>
      <c r="L933" s="346"/>
      <c r="M933" s="347"/>
      <c r="N933" s="347"/>
      <c r="O933" s="132"/>
    </row>
    <row r="934" spans="2:15" ht="26.25" customHeight="1" x14ac:dyDescent="0.25">
      <c r="B934" s="130"/>
      <c r="C934" s="135"/>
      <c r="D934" s="177"/>
      <c r="E934" s="178"/>
      <c r="F934" s="178"/>
      <c r="G934" s="340"/>
      <c r="H934" s="340"/>
      <c r="I934" s="179"/>
      <c r="J934" s="344"/>
      <c r="K934" s="345"/>
      <c r="L934" s="346"/>
      <c r="M934" s="347"/>
      <c r="N934" s="347"/>
      <c r="O934" s="132"/>
    </row>
    <row r="935" spans="2:15" ht="26.25" customHeight="1" x14ac:dyDescent="0.25">
      <c r="B935" s="130"/>
      <c r="C935" s="135"/>
      <c r="D935" s="177"/>
      <c r="E935" s="178"/>
      <c r="F935" s="178"/>
      <c r="G935" s="340"/>
      <c r="H935" s="340"/>
      <c r="I935" s="179"/>
      <c r="J935" s="344"/>
      <c r="K935" s="345"/>
      <c r="L935" s="346"/>
      <c r="M935" s="347"/>
      <c r="N935" s="347"/>
      <c r="O935" s="132"/>
    </row>
    <row r="936" spans="2:15" ht="26.25" customHeight="1" x14ac:dyDescent="0.25">
      <c r="B936" s="130"/>
      <c r="C936" s="135"/>
      <c r="D936" s="177"/>
      <c r="E936" s="178"/>
      <c r="F936" s="178"/>
      <c r="G936" s="340"/>
      <c r="H936" s="340"/>
      <c r="I936" s="179"/>
      <c r="J936" s="344"/>
      <c r="K936" s="345"/>
      <c r="L936" s="346"/>
      <c r="M936" s="347"/>
      <c r="N936" s="347"/>
      <c r="O936" s="132"/>
    </row>
    <row r="937" spans="2:15" ht="26.25" customHeight="1" x14ac:dyDescent="0.25">
      <c r="B937" s="130"/>
      <c r="C937" s="135"/>
      <c r="D937" s="177"/>
      <c r="E937" s="178"/>
      <c r="F937" s="178"/>
      <c r="G937" s="340"/>
      <c r="H937" s="340"/>
      <c r="I937" s="179"/>
      <c r="J937" s="344"/>
      <c r="K937" s="345"/>
      <c r="L937" s="346"/>
      <c r="M937" s="347"/>
      <c r="N937" s="347"/>
      <c r="O937" s="132"/>
    </row>
    <row r="938" spans="2:15" ht="26.25" customHeight="1" x14ac:dyDescent="0.25">
      <c r="B938" s="130"/>
      <c r="C938" s="135"/>
      <c r="D938" s="177"/>
      <c r="E938" s="178"/>
      <c r="F938" s="178"/>
      <c r="G938" s="340"/>
      <c r="H938" s="340"/>
      <c r="I938" s="179"/>
      <c r="J938" s="344"/>
      <c r="K938" s="345"/>
      <c r="L938" s="346"/>
      <c r="M938" s="347"/>
      <c r="N938" s="347"/>
      <c r="O938" s="132"/>
    </row>
    <row r="939" spans="2:15" ht="26.25" customHeight="1" x14ac:dyDescent="0.25">
      <c r="B939" s="130"/>
      <c r="C939" s="135"/>
      <c r="D939" s="177"/>
      <c r="E939" s="178"/>
      <c r="F939" s="178"/>
      <c r="G939" s="340"/>
      <c r="H939" s="340"/>
      <c r="I939" s="179"/>
      <c r="J939" s="344"/>
      <c r="K939" s="345"/>
      <c r="L939" s="346"/>
      <c r="M939" s="347"/>
      <c r="N939" s="347"/>
      <c r="O939" s="132"/>
    </row>
    <row r="940" spans="2:15" ht="26.25" customHeight="1" x14ac:dyDescent="0.25">
      <c r="B940" s="130"/>
      <c r="C940" s="135"/>
      <c r="D940" s="177"/>
      <c r="E940" s="178"/>
      <c r="F940" s="178"/>
      <c r="G940" s="340"/>
      <c r="H940" s="340"/>
      <c r="I940" s="179"/>
      <c r="J940" s="344"/>
      <c r="K940" s="345"/>
      <c r="L940" s="346"/>
      <c r="M940" s="347"/>
      <c r="N940" s="347"/>
      <c r="O940" s="132"/>
    </row>
    <row r="941" spans="2:15" ht="26.25" customHeight="1" x14ac:dyDescent="0.25">
      <c r="B941" s="130"/>
      <c r="C941" s="135"/>
      <c r="D941" s="177"/>
      <c r="E941" s="178"/>
      <c r="F941" s="178"/>
      <c r="G941" s="340"/>
      <c r="H941" s="340"/>
      <c r="I941" s="179"/>
      <c r="J941" s="344"/>
      <c r="K941" s="345"/>
      <c r="L941" s="346"/>
      <c r="M941" s="347"/>
      <c r="N941" s="347"/>
      <c r="O941" s="132"/>
    </row>
    <row r="942" spans="2:15" ht="26.25" customHeight="1" x14ac:dyDescent="0.25">
      <c r="B942" s="130"/>
      <c r="C942" s="135"/>
      <c r="D942" s="177"/>
      <c r="E942" s="178"/>
      <c r="F942" s="178"/>
      <c r="G942" s="340"/>
      <c r="H942" s="340"/>
      <c r="I942" s="179"/>
      <c r="J942" s="344"/>
      <c r="K942" s="345"/>
      <c r="L942" s="346"/>
      <c r="M942" s="347"/>
      <c r="N942" s="347"/>
      <c r="O942" s="132"/>
    </row>
    <row r="943" spans="2:15" ht="26.25" customHeight="1" x14ac:dyDescent="0.25">
      <c r="B943" s="130"/>
      <c r="C943" s="135"/>
      <c r="D943" s="177"/>
      <c r="E943" s="178"/>
      <c r="F943" s="178"/>
      <c r="G943" s="340"/>
      <c r="H943" s="340"/>
      <c r="I943" s="179"/>
      <c r="J943" s="344"/>
      <c r="K943" s="345"/>
      <c r="L943" s="346"/>
      <c r="M943" s="347"/>
      <c r="N943" s="347"/>
      <c r="O943" s="132"/>
    </row>
    <row r="944" spans="2:15" ht="26.25" customHeight="1" x14ac:dyDescent="0.25">
      <c r="B944" s="130"/>
      <c r="C944" s="135"/>
      <c r="D944" s="177"/>
      <c r="E944" s="178"/>
      <c r="F944" s="178"/>
      <c r="G944" s="340"/>
      <c r="H944" s="340"/>
      <c r="I944" s="179"/>
      <c r="J944" s="344"/>
      <c r="K944" s="345"/>
      <c r="L944" s="346"/>
      <c r="M944" s="347"/>
      <c r="N944" s="347"/>
      <c r="O944" s="132"/>
    </row>
    <row r="945" spans="2:15" ht="26.25" customHeight="1" x14ac:dyDescent="0.25">
      <c r="B945" s="130"/>
      <c r="C945" s="135"/>
      <c r="D945" s="177"/>
      <c r="E945" s="178"/>
      <c r="F945" s="178"/>
      <c r="G945" s="340"/>
      <c r="H945" s="340"/>
      <c r="I945" s="179"/>
      <c r="J945" s="344"/>
      <c r="K945" s="345"/>
      <c r="L945" s="346"/>
      <c r="M945" s="347"/>
      <c r="N945" s="347"/>
      <c r="O945" s="132"/>
    </row>
    <row r="946" spans="2:15" ht="26.25" customHeight="1" x14ac:dyDescent="0.25">
      <c r="B946" s="130"/>
      <c r="C946" s="135"/>
      <c r="D946" s="177"/>
      <c r="E946" s="178"/>
      <c r="F946" s="178"/>
      <c r="G946" s="340"/>
      <c r="H946" s="340"/>
      <c r="I946" s="179"/>
      <c r="J946" s="344"/>
      <c r="K946" s="345"/>
      <c r="L946" s="346"/>
      <c r="M946" s="347"/>
      <c r="N946" s="347"/>
      <c r="O946" s="132"/>
    </row>
    <row r="947" spans="2:15" ht="26.25" customHeight="1" x14ac:dyDescent="0.25">
      <c r="B947" s="130"/>
      <c r="C947" s="135"/>
      <c r="D947" s="177"/>
      <c r="E947" s="178"/>
      <c r="F947" s="178"/>
      <c r="G947" s="340"/>
      <c r="H947" s="340"/>
      <c r="I947" s="179"/>
      <c r="J947" s="344"/>
      <c r="K947" s="345"/>
      <c r="L947" s="346"/>
      <c r="M947" s="347"/>
      <c r="N947" s="347"/>
      <c r="O947" s="132"/>
    </row>
    <row r="948" spans="2:15" ht="26.25" customHeight="1" x14ac:dyDescent="0.25">
      <c r="B948" s="130"/>
      <c r="C948" s="135"/>
      <c r="D948" s="177"/>
      <c r="E948" s="178"/>
      <c r="F948" s="178"/>
      <c r="G948" s="340"/>
      <c r="H948" s="340"/>
      <c r="I948" s="179"/>
      <c r="J948" s="344"/>
      <c r="K948" s="345"/>
      <c r="L948" s="346"/>
      <c r="M948" s="347"/>
      <c r="N948" s="347"/>
      <c r="O948" s="132"/>
    </row>
    <row r="949" spans="2:15" ht="26.25" customHeight="1" x14ac:dyDescent="0.25">
      <c r="B949" s="130"/>
      <c r="C949" s="135"/>
      <c r="D949" s="177"/>
      <c r="E949" s="178"/>
      <c r="F949" s="178"/>
      <c r="G949" s="340"/>
      <c r="H949" s="340"/>
      <c r="I949" s="179"/>
      <c r="J949" s="344"/>
      <c r="K949" s="345"/>
      <c r="L949" s="346"/>
      <c r="M949" s="347"/>
      <c r="N949" s="347"/>
      <c r="O949" s="132"/>
    </row>
    <row r="950" spans="2:15" ht="26.25" customHeight="1" x14ac:dyDescent="0.25">
      <c r="B950" s="130"/>
      <c r="C950" s="135"/>
      <c r="D950" s="177"/>
      <c r="E950" s="178"/>
      <c r="F950" s="178"/>
      <c r="G950" s="340"/>
      <c r="H950" s="340"/>
      <c r="I950" s="179"/>
      <c r="J950" s="344"/>
      <c r="K950" s="345"/>
      <c r="L950" s="346"/>
      <c r="M950" s="347"/>
      <c r="N950" s="347"/>
      <c r="O950" s="132"/>
    </row>
    <row r="951" spans="2:15" ht="26.25" customHeight="1" x14ac:dyDescent="0.25">
      <c r="B951" s="130"/>
      <c r="C951" s="135"/>
      <c r="D951" s="177"/>
      <c r="E951" s="178"/>
      <c r="F951" s="178"/>
      <c r="G951" s="340"/>
      <c r="H951" s="340"/>
      <c r="I951" s="179"/>
      <c r="J951" s="344"/>
      <c r="K951" s="345"/>
      <c r="L951" s="346"/>
      <c r="M951" s="347"/>
      <c r="N951" s="347"/>
      <c r="O951" s="132"/>
    </row>
    <row r="952" spans="2:15" ht="26.25" customHeight="1" x14ac:dyDescent="0.25">
      <c r="B952" s="130"/>
      <c r="C952" s="135"/>
      <c r="D952" s="177"/>
      <c r="E952" s="178"/>
      <c r="F952" s="178"/>
      <c r="G952" s="340"/>
      <c r="H952" s="340"/>
      <c r="I952" s="179"/>
      <c r="J952" s="344"/>
      <c r="K952" s="345"/>
      <c r="L952" s="346"/>
      <c r="M952" s="347"/>
      <c r="N952" s="347"/>
      <c r="O952" s="132"/>
    </row>
    <row r="953" spans="2:15" ht="26.25" customHeight="1" x14ac:dyDescent="0.25">
      <c r="B953" s="130"/>
      <c r="C953" s="135"/>
      <c r="D953" s="177"/>
      <c r="E953" s="178"/>
      <c r="F953" s="178"/>
      <c r="G953" s="340"/>
      <c r="H953" s="340"/>
      <c r="I953" s="179"/>
      <c r="J953" s="344"/>
      <c r="K953" s="345"/>
      <c r="L953" s="346"/>
      <c r="M953" s="347"/>
      <c r="N953" s="347"/>
      <c r="O953" s="132"/>
    </row>
    <row r="954" spans="2:15" ht="26.25" customHeight="1" x14ac:dyDescent="0.25">
      <c r="B954" s="130"/>
      <c r="C954" s="135"/>
      <c r="D954" s="177"/>
      <c r="E954" s="178"/>
      <c r="F954" s="178"/>
      <c r="G954" s="340"/>
      <c r="H954" s="340"/>
      <c r="I954" s="179"/>
      <c r="J954" s="344"/>
      <c r="K954" s="345"/>
      <c r="L954" s="346"/>
      <c r="M954" s="347"/>
      <c r="N954" s="347"/>
      <c r="O954" s="132"/>
    </row>
    <row r="955" spans="2:15" ht="26.25" customHeight="1" x14ac:dyDescent="0.25">
      <c r="B955" s="130"/>
      <c r="C955" s="135"/>
      <c r="D955" s="177"/>
      <c r="E955" s="178"/>
      <c r="F955" s="178"/>
      <c r="G955" s="340"/>
      <c r="H955" s="340"/>
      <c r="I955" s="179"/>
      <c r="J955" s="344"/>
      <c r="K955" s="345"/>
      <c r="L955" s="346"/>
      <c r="M955" s="347"/>
      <c r="N955" s="347"/>
      <c r="O955" s="132"/>
    </row>
    <row r="956" spans="2:15" ht="26.25" customHeight="1" x14ac:dyDescent="0.25">
      <c r="B956" s="130"/>
      <c r="C956" s="135"/>
      <c r="D956" s="177"/>
      <c r="E956" s="178"/>
      <c r="F956" s="178"/>
      <c r="G956" s="340"/>
      <c r="H956" s="340"/>
      <c r="I956" s="179"/>
      <c r="J956" s="344"/>
      <c r="K956" s="345"/>
      <c r="L956" s="346"/>
      <c r="M956" s="347"/>
      <c r="N956" s="347"/>
      <c r="O956" s="132"/>
    </row>
    <row r="957" spans="2:15" ht="26.25" customHeight="1" x14ac:dyDescent="0.25">
      <c r="B957" s="130"/>
      <c r="C957" s="135"/>
      <c r="D957" s="177"/>
      <c r="E957" s="178"/>
      <c r="F957" s="178"/>
      <c r="G957" s="340"/>
      <c r="H957" s="340"/>
      <c r="I957" s="179"/>
      <c r="J957" s="344"/>
      <c r="K957" s="345"/>
      <c r="L957" s="346"/>
      <c r="M957" s="347"/>
      <c r="N957" s="347"/>
      <c r="O957" s="132"/>
    </row>
    <row r="958" spans="2:15" ht="26.25" customHeight="1" x14ac:dyDescent="0.25">
      <c r="B958" s="130"/>
      <c r="C958" s="135"/>
      <c r="D958" s="177"/>
      <c r="E958" s="178"/>
      <c r="F958" s="178"/>
      <c r="G958" s="340"/>
      <c r="H958" s="340"/>
      <c r="I958" s="179"/>
      <c r="J958" s="344"/>
      <c r="K958" s="345"/>
      <c r="L958" s="346"/>
      <c r="M958" s="347"/>
      <c r="N958" s="347"/>
      <c r="O958" s="132"/>
    </row>
    <row r="959" spans="2:15" ht="26.25" customHeight="1" x14ac:dyDescent="0.25">
      <c r="B959" s="130"/>
      <c r="C959" s="135"/>
      <c r="D959" s="177"/>
      <c r="E959" s="178"/>
      <c r="F959" s="178"/>
      <c r="G959" s="340"/>
      <c r="H959" s="340"/>
      <c r="I959" s="179"/>
      <c r="J959" s="344"/>
      <c r="K959" s="345"/>
      <c r="L959" s="346"/>
      <c r="M959" s="347"/>
      <c r="N959" s="347"/>
      <c r="O959" s="132"/>
    </row>
    <row r="960" spans="2:15" ht="26.25" customHeight="1" x14ac:dyDescent="0.25">
      <c r="B960" s="130"/>
      <c r="C960" s="135"/>
      <c r="D960" s="177"/>
      <c r="E960" s="178"/>
      <c r="F960" s="178"/>
      <c r="G960" s="340"/>
      <c r="H960" s="340"/>
      <c r="I960" s="179"/>
      <c r="J960" s="344"/>
      <c r="K960" s="345"/>
      <c r="L960" s="346"/>
      <c r="M960" s="347"/>
      <c r="N960" s="347"/>
      <c r="O960" s="132"/>
    </row>
    <row r="961" spans="2:15" ht="26.25" customHeight="1" x14ac:dyDescent="0.25">
      <c r="B961" s="130"/>
      <c r="C961" s="135"/>
      <c r="D961" s="177"/>
      <c r="E961" s="178"/>
      <c r="F961" s="178"/>
      <c r="G961" s="340"/>
      <c r="H961" s="340"/>
      <c r="I961" s="179"/>
      <c r="J961" s="344"/>
      <c r="K961" s="345"/>
      <c r="L961" s="346"/>
      <c r="M961" s="347"/>
      <c r="N961" s="347"/>
      <c r="O961" s="132"/>
    </row>
    <row r="962" spans="2:15" ht="26.25" customHeight="1" x14ac:dyDescent="0.25">
      <c r="B962" s="130"/>
      <c r="C962" s="135"/>
      <c r="D962" s="177"/>
      <c r="E962" s="178"/>
      <c r="F962" s="178"/>
      <c r="G962" s="340"/>
      <c r="H962" s="340"/>
      <c r="I962" s="179"/>
      <c r="J962" s="344"/>
      <c r="K962" s="345"/>
      <c r="L962" s="346"/>
      <c r="M962" s="347"/>
      <c r="N962" s="347"/>
      <c r="O962" s="132"/>
    </row>
    <row r="963" spans="2:15" ht="26.25" customHeight="1" x14ac:dyDescent="0.25">
      <c r="B963" s="130"/>
      <c r="C963" s="135"/>
      <c r="D963" s="177"/>
      <c r="E963" s="178"/>
      <c r="F963" s="178"/>
      <c r="G963" s="340"/>
      <c r="H963" s="340"/>
      <c r="I963" s="179"/>
      <c r="J963" s="344"/>
      <c r="K963" s="345"/>
      <c r="L963" s="346"/>
      <c r="M963" s="347"/>
      <c r="N963" s="347"/>
      <c r="O963" s="132"/>
    </row>
    <row r="964" spans="2:15" ht="26.25" customHeight="1" x14ac:dyDescent="0.25">
      <c r="B964" s="130"/>
      <c r="C964" s="135"/>
      <c r="D964" s="177"/>
      <c r="E964" s="178"/>
      <c r="F964" s="178"/>
      <c r="G964" s="340"/>
      <c r="H964" s="340"/>
      <c r="I964" s="179"/>
      <c r="J964" s="344"/>
      <c r="K964" s="345"/>
      <c r="L964" s="346"/>
      <c r="M964" s="347"/>
      <c r="N964" s="347"/>
      <c r="O964" s="132"/>
    </row>
    <row r="965" spans="2:15" ht="26.25" customHeight="1" x14ac:dyDescent="0.25">
      <c r="B965" s="130"/>
      <c r="C965" s="135"/>
      <c r="D965" s="177"/>
      <c r="E965" s="178"/>
      <c r="F965" s="178"/>
      <c r="G965" s="340"/>
      <c r="H965" s="340"/>
      <c r="I965" s="179"/>
      <c r="J965" s="344"/>
      <c r="K965" s="345"/>
      <c r="L965" s="346"/>
      <c r="M965" s="347"/>
      <c r="N965" s="347"/>
      <c r="O965" s="132"/>
    </row>
    <row r="966" spans="2:15" ht="26.25" customHeight="1" x14ac:dyDescent="0.25">
      <c r="B966" s="130"/>
      <c r="C966" s="135"/>
      <c r="D966" s="177"/>
      <c r="E966" s="178"/>
      <c r="F966" s="178"/>
      <c r="G966" s="340"/>
      <c r="H966" s="340"/>
      <c r="I966" s="179"/>
      <c r="J966" s="344"/>
      <c r="K966" s="345"/>
      <c r="L966" s="346"/>
      <c r="M966" s="347"/>
      <c r="N966" s="347"/>
      <c r="O966" s="132"/>
    </row>
    <row r="967" spans="2:15" ht="26.25" customHeight="1" x14ac:dyDescent="0.25">
      <c r="B967" s="130"/>
      <c r="C967" s="135"/>
      <c r="D967" s="177"/>
      <c r="E967" s="178"/>
      <c r="F967" s="178"/>
      <c r="G967" s="340"/>
      <c r="H967" s="340"/>
      <c r="I967" s="179"/>
      <c r="J967" s="344"/>
      <c r="K967" s="345"/>
      <c r="L967" s="346"/>
      <c r="M967" s="347"/>
      <c r="N967" s="347"/>
      <c r="O967" s="132"/>
    </row>
    <row r="968" spans="2:15" ht="26.25" customHeight="1" x14ac:dyDescent="0.25">
      <c r="B968" s="130"/>
      <c r="C968" s="135"/>
      <c r="D968" s="177"/>
      <c r="E968" s="178"/>
      <c r="F968" s="178"/>
      <c r="G968" s="340"/>
      <c r="H968" s="340"/>
      <c r="I968" s="179"/>
      <c r="J968" s="344"/>
      <c r="K968" s="345"/>
      <c r="L968" s="346"/>
      <c r="M968" s="347"/>
      <c r="N968" s="347"/>
      <c r="O968" s="132"/>
    </row>
    <row r="969" spans="2:15" ht="26.25" customHeight="1" x14ac:dyDescent="0.25">
      <c r="B969" s="130"/>
      <c r="C969" s="135"/>
      <c r="D969" s="177"/>
      <c r="E969" s="178"/>
      <c r="F969" s="178"/>
      <c r="G969" s="340"/>
      <c r="H969" s="340"/>
      <c r="I969" s="179"/>
      <c r="J969" s="344"/>
      <c r="K969" s="345"/>
      <c r="L969" s="346"/>
      <c r="M969" s="347"/>
      <c r="N969" s="347"/>
      <c r="O969" s="132"/>
    </row>
    <row r="970" spans="2:15" ht="26.25" customHeight="1" x14ac:dyDescent="0.25">
      <c r="B970" s="130"/>
      <c r="C970" s="135"/>
      <c r="D970" s="177"/>
      <c r="E970" s="178"/>
      <c r="F970" s="178"/>
      <c r="G970" s="340"/>
      <c r="H970" s="340"/>
      <c r="I970" s="179"/>
      <c r="J970" s="344"/>
      <c r="K970" s="345"/>
      <c r="L970" s="346"/>
      <c r="M970" s="347"/>
      <c r="N970" s="347"/>
      <c r="O970" s="132"/>
    </row>
    <row r="971" spans="2:15" ht="26.25" customHeight="1" x14ac:dyDescent="0.25">
      <c r="B971" s="130"/>
      <c r="C971" s="135"/>
      <c r="D971" s="177"/>
      <c r="E971" s="178"/>
      <c r="F971" s="178"/>
      <c r="G971" s="340"/>
      <c r="H971" s="340"/>
      <c r="I971" s="179"/>
      <c r="J971" s="344"/>
      <c r="K971" s="345"/>
      <c r="L971" s="346"/>
      <c r="M971" s="347"/>
      <c r="N971" s="347"/>
      <c r="O971" s="132"/>
    </row>
    <row r="972" spans="2:15" ht="26.25" customHeight="1" x14ac:dyDescent="0.25">
      <c r="B972" s="130"/>
      <c r="C972" s="135"/>
      <c r="D972" s="177"/>
      <c r="E972" s="178"/>
      <c r="F972" s="178"/>
      <c r="G972" s="340"/>
      <c r="H972" s="340"/>
      <c r="I972" s="179"/>
      <c r="J972" s="344"/>
      <c r="K972" s="345"/>
      <c r="L972" s="346"/>
      <c r="M972" s="347"/>
      <c r="N972" s="347"/>
      <c r="O972" s="132"/>
    </row>
    <row r="973" spans="2:15" ht="26.25" customHeight="1" x14ac:dyDescent="0.25">
      <c r="B973" s="130"/>
      <c r="C973" s="135"/>
      <c r="D973" s="177"/>
      <c r="E973" s="178"/>
      <c r="F973" s="178"/>
      <c r="G973" s="340"/>
      <c r="H973" s="340"/>
      <c r="I973" s="179"/>
      <c r="J973" s="344"/>
      <c r="K973" s="345"/>
      <c r="L973" s="346"/>
      <c r="M973" s="347"/>
      <c r="N973" s="347"/>
      <c r="O973" s="132"/>
    </row>
    <row r="974" spans="2:15" ht="26.25" customHeight="1" x14ac:dyDescent="0.25">
      <c r="B974" s="130"/>
      <c r="C974" s="135"/>
      <c r="D974" s="177"/>
      <c r="E974" s="178"/>
      <c r="F974" s="178"/>
      <c r="G974" s="340"/>
      <c r="H974" s="340"/>
      <c r="I974" s="179"/>
      <c r="J974" s="344"/>
      <c r="K974" s="345"/>
      <c r="L974" s="346"/>
      <c r="M974" s="347"/>
      <c r="N974" s="347"/>
      <c r="O974" s="132"/>
    </row>
    <row r="975" spans="2:15" ht="26.25" customHeight="1" x14ac:dyDescent="0.25">
      <c r="B975" s="130"/>
      <c r="C975" s="135"/>
      <c r="D975" s="177"/>
      <c r="E975" s="178"/>
      <c r="F975" s="178"/>
      <c r="G975" s="340"/>
      <c r="H975" s="340"/>
      <c r="I975" s="179"/>
      <c r="J975" s="344"/>
      <c r="K975" s="345"/>
      <c r="L975" s="346"/>
      <c r="M975" s="347"/>
      <c r="N975" s="347"/>
      <c r="O975" s="132"/>
    </row>
    <row r="976" spans="2:15" ht="26.25" customHeight="1" x14ac:dyDescent="0.25">
      <c r="B976" s="130"/>
      <c r="C976" s="135"/>
      <c r="D976" s="177"/>
      <c r="E976" s="178"/>
      <c r="F976" s="178"/>
      <c r="G976" s="340"/>
      <c r="H976" s="340"/>
      <c r="I976" s="179"/>
      <c r="J976" s="344"/>
      <c r="K976" s="345"/>
      <c r="L976" s="346"/>
      <c r="M976" s="347"/>
      <c r="N976" s="347"/>
      <c r="O976" s="132"/>
    </row>
    <row r="977" spans="2:15" ht="26.25" customHeight="1" x14ac:dyDescent="0.25">
      <c r="B977" s="130"/>
      <c r="C977" s="135"/>
      <c r="D977" s="177"/>
      <c r="E977" s="178"/>
      <c r="F977" s="178"/>
      <c r="G977" s="340"/>
      <c r="H977" s="340"/>
      <c r="I977" s="179"/>
      <c r="J977" s="344"/>
      <c r="K977" s="345"/>
      <c r="L977" s="346"/>
      <c r="M977" s="347"/>
      <c r="N977" s="347"/>
      <c r="O977" s="132"/>
    </row>
    <row r="978" spans="2:15" ht="26.25" customHeight="1" x14ac:dyDescent="0.25">
      <c r="B978" s="130"/>
      <c r="C978" s="135"/>
      <c r="D978" s="177"/>
      <c r="E978" s="178"/>
      <c r="F978" s="178"/>
      <c r="G978" s="340"/>
      <c r="H978" s="340"/>
      <c r="I978" s="179"/>
      <c r="J978" s="344"/>
      <c r="K978" s="345"/>
      <c r="L978" s="346"/>
      <c r="M978" s="347"/>
      <c r="N978" s="347"/>
      <c r="O978" s="132"/>
    </row>
    <row r="979" spans="2:15" ht="26.25" customHeight="1" x14ac:dyDescent="0.25">
      <c r="B979" s="130"/>
      <c r="C979" s="135"/>
      <c r="D979" s="177"/>
      <c r="E979" s="178"/>
      <c r="F979" s="178"/>
      <c r="G979" s="340"/>
      <c r="H979" s="340"/>
      <c r="I979" s="179"/>
      <c r="J979" s="344"/>
      <c r="K979" s="345"/>
      <c r="L979" s="346"/>
      <c r="M979" s="347"/>
      <c r="N979" s="347"/>
      <c r="O979" s="132"/>
    </row>
    <row r="980" spans="2:15" ht="26.25" customHeight="1" x14ac:dyDescent="0.25">
      <c r="B980" s="130"/>
      <c r="C980" s="135"/>
      <c r="D980" s="177"/>
      <c r="E980" s="178"/>
      <c r="F980" s="178"/>
      <c r="G980" s="340"/>
      <c r="H980" s="340"/>
      <c r="I980" s="179"/>
      <c r="J980" s="344"/>
      <c r="K980" s="345"/>
      <c r="L980" s="346"/>
      <c r="M980" s="347"/>
      <c r="N980" s="347"/>
      <c r="O980" s="132"/>
    </row>
    <row r="981" spans="2:15" ht="26.25" customHeight="1" x14ac:dyDescent="0.25">
      <c r="B981" s="130"/>
      <c r="C981" s="135"/>
      <c r="D981" s="177"/>
      <c r="E981" s="178"/>
      <c r="F981" s="178"/>
      <c r="G981" s="340"/>
      <c r="H981" s="340"/>
      <c r="I981" s="179"/>
      <c r="J981" s="344"/>
      <c r="K981" s="345"/>
      <c r="L981" s="346"/>
      <c r="M981" s="347"/>
      <c r="N981" s="347"/>
      <c r="O981" s="132"/>
    </row>
    <row r="982" spans="2:15" ht="26.25" customHeight="1" x14ac:dyDescent="0.25">
      <c r="B982" s="130"/>
      <c r="C982" s="135"/>
      <c r="D982" s="177"/>
      <c r="E982" s="178"/>
      <c r="F982" s="178"/>
      <c r="G982" s="340"/>
      <c r="H982" s="340"/>
      <c r="I982" s="179"/>
      <c r="J982" s="344"/>
      <c r="K982" s="345"/>
      <c r="L982" s="346"/>
      <c r="M982" s="347"/>
      <c r="N982" s="347"/>
      <c r="O982" s="132"/>
    </row>
    <row r="983" spans="2:15" ht="26.25" customHeight="1" x14ac:dyDescent="0.25">
      <c r="B983" s="130"/>
      <c r="C983" s="135"/>
      <c r="D983" s="177"/>
      <c r="E983" s="178"/>
      <c r="F983" s="178"/>
      <c r="G983" s="340"/>
      <c r="H983" s="340"/>
      <c r="I983" s="179"/>
      <c r="J983" s="344"/>
      <c r="K983" s="345"/>
      <c r="L983" s="346"/>
      <c r="M983" s="347"/>
      <c r="N983" s="347"/>
      <c r="O983" s="132"/>
    </row>
    <row r="984" spans="2:15" ht="26.25" customHeight="1" x14ac:dyDescent="0.25">
      <c r="B984" s="130"/>
      <c r="C984" s="135"/>
      <c r="D984" s="177"/>
      <c r="E984" s="178"/>
      <c r="F984" s="178"/>
      <c r="G984" s="340"/>
      <c r="H984" s="340"/>
      <c r="I984" s="179"/>
      <c r="J984" s="344"/>
      <c r="K984" s="345"/>
      <c r="L984" s="346"/>
      <c r="M984" s="347"/>
      <c r="N984" s="347"/>
      <c r="O984" s="132"/>
    </row>
    <row r="985" spans="2:15" ht="26.25" customHeight="1" x14ac:dyDescent="0.25">
      <c r="B985" s="130"/>
      <c r="C985" s="135"/>
      <c r="D985" s="177"/>
      <c r="E985" s="178"/>
      <c r="F985" s="178"/>
      <c r="G985" s="340"/>
      <c r="H985" s="340"/>
      <c r="I985" s="179"/>
      <c r="J985" s="344"/>
      <c r="K985" s="345"/>
      <c r="L985" s="346"/>
      <c r="M985" s="347"/>
      <c r="N985" s="347"/>
      <c r="O985" s="132"/>
    </row>
    <row r="986" spans="2:15" ht="26.25" customHeight="1" x14ac:dyDescent="0.25">
      <c r="B986" s="130"/>
      <c r="C986" s="135"/>
      <c r="D986" s="177"/>
      <c r="E986" s="178"/>
      <c r="F986" s="178"/>
      <c r="G986" s="340"/>
      <c r="H986" s="340"/>
      <c r="I986" s="179"/>
      <c r="J986" s="344"/>
      <c r="K986" s="345"/>
      <c r="L986" s="346"/>
      <c r="M986" s="347"/>
      <c r="N986" s="347"/>
      <c r="O986" s="132"/>
    </row>
    <row r="987" spans="2:15" ht="26.25" customHeight="1" x14ac:dyDescent="0.25">
      <c r="B987" s="130"/>
      <c r="C987" s="135"/>
      <c r="D987" s="177"/>
      <c r="E987" s="178"/>
      <c r="F987" s="178"/>
      <c r="G987" s="340"/>
      <c r="H987" s="340"/>
      <c r="I987" s="179"/>
      <c r="J987" s="344"/>
      <c r="K987" s="345"/>
      <c r="L987" s="346"/>
      <c r="M987" s="347"/>
      <c r="N987" s="347"/>
      <c r="O987" s="132"/>
    </row>
    <row r="988" spans="2:15" ht="26.25" customHeight="1" x14ac:dyDescent="0.25">
      <c r="B988" s="130"/>
      <c r="C988" s="135"/>
      <c r="D988" s="177"/>
      <c r="E988" s="178"/>
      <c r="F988" s="178"/>
      <c r="G988" s="340"/>
      <c r="H988" s="340"/>
      <c r="I988" s="179"/>
      <c r="J988" s="344"/>
      <c r="K988" s="345"/>
      <c r="L988" s="346"/>
      <c r="M988" s="347"/>
      <c r="N988" s="347"/>
      <c r="O988" s="132"/>
    </row>
    <row r="989" spans="2:15" ht="26.25" customHeight="1" x14ac:dyDescent="0.25">
      <c r="B989" s="130"/>
      <c r="C989" s="135"/>
      <c r="D989" s="177"/>
      <c r="E989" s="178"/>
      <c r="F989" s="178"/>
      <c r="G989" s="340"/>
      <c r="H989" s="340"/>
      <c r="I989" s="179"/>
      <c r="J989" s="344"/>
      <c r="K989" s="345"/>
      <c r="L989" s="346"/>
      <c r="M989" s="347"/>
      <c r="N989" s="347"/>
      <c r="O989" s="132"/>
    </row>
    <row r="990" spans="2:15" ht="26.25" customHeight="1" x14ac:dyDescent="0.25">
      <c r="B990" s="130"/>
      <c r="C990" s="135"/>
      <c r="D990" s="177"/>
      <c r="E990" s="178"/>
      <c r="F990" s="178"/>
      <c r="G990" s="340"/>
      <c r="H990" s="340"/>
      <c r="I990" s="179"/>
      <c r="J990" s="344"/>
      <c r="K990" s="345"/>
      <c r="L990" s="346"/>
      <c r="M990" s="347"/>
      <c r="N990" s="347"/>
      <c r="O990" s="132"/>
    </row>
    <row r="991" spans="2:15" ht="26.25" customHeight="1" x14ac:dyDescent="0.25">
      <c r="B991" s="130"/>
      <c r="C991" s="135"/>
      <c r="D991" s="177"/>
      <c r="E991" s="178"/>
      <c r="F991" s="178"/>
      <c r="G991" s="340"/>
      <c r="H991" s="340"/>
      <c r="I991" s="179"/>
      <c r="J991" s="344"/>
      <c r="K991" s="345"/>
      <c r="L991" s="346"/>
      <c r="M991" s="347"/>
      <c r="N991" s="347"/>
      <c r="O991" s="132"/>
    </row>
    <row r="992" spans="2:15" ht="26.25" customHeight="1" x14ac:dyDescent="0.25">
      <c r="B992" s="130"/>
      <c r="C992" s="135"/>
      <c r="D992" s="177"/>
      <c r="E992" s="178"/>
      <c r="F992" s="178"/>
      <c r="G992" s="340"/>
      <c r="H992" s="340"/>
      <c r="I992" s="179"/>
      <c r="J992" s="344"/>
      <c r="K992" s="345"/>
      <c r="L992" s="346"/>
      <c r="M992" s="347"/>
      <c r="N992" s="347"/>
      <c r="O992" s="132"/>
    </row>
    <row r="993" spans="2:15" ht="26.25" customHeight="1" x14ac:dyDescent="0.25">
      <c r="B993" s="130"/>
      <c r="C993" s="135"/>
      <c r="D993" s="177"/>
      <c r="E993" s="178"/>
      <c r="F993" s="178"/>
      <c r="G993" s="340"/>
      <c r="H993" s="340"/>
      <c r="I993" s="179"/>
      <c r="J993" s="344"/>
      <c r="K993" s="345"/>
      <c r="L993" s="346"/>
      <c r="M993" s="347"/>
      <c r="N993" s="347"/>
      <c r="O993" s="132"/>
    </row>
    <row r="994" spans="2:15" ht="26.25" customHeight="1" x14ac:dyDescent="0.25">
      <c r="B994" s="130"/>
      <c r="C994" s="135"/>
      <c r="D994" s="177"/>
      <c r="E994" s="178"/>
      <c r="F994" s="178"/>
      <c r="G994" s="340"/>
      <c r="H994" s="340"/>
      <c r="I994" s="179"/>
      <c r="J994" s="344"/>
      <c r="K994" s="345"/>
      <c r="L994" s="346"/>
      <c r="M994" s="347"/>
      <c r="N994" s="347"/>
      <c r="O994" s="132"/>
    </row>
    <row r="995" spans="2:15" ht="26.25" customHeight="1" x14ac:dyDescent="0.25">
      <c r="B995" s="130"/>
      <c r="C995" s="135"/>
      <c r="D995" s="177"/>
      <c r="E995" s="178"/>
      <c r="F995" s="178"/>
      <c r="G995" s="340"/>
      <c r="H995" s="340"/>
      <c r="I995" s="179"/>
      <c r="J995" s="344"/>
      <c r="K995" s="345"/>
      <c r="L995" s="346"/>
      <c r="M995" s="347"/>
      <c r="N995" s="347"/>
      <c r="O995" s="132"/>
    </row>
    <row r="996" spans="2:15" ht="26.25" customHeight="1" x14ac:dyDescent="0.25">
      <c r="B996" s="130"/>
      <c r="C996" s="135"/>
      <c r="D996" s="177"/>
      <c r="E996" s="178"/>
      <c r="F996" s="178"/>
      <c r="G996" s="340"/>
      <c r="H996" s="340"/>
      <c r="I996" s="179"/>
      <c r="J996" s="344"/>
      <c r="K996" s="345"/>
      <c r="L996" s="346"/>
      <c r="M996" s="347"/>
      <c r="N996" s="347"/>
      <c r="O996" s="132"/>
    </row>
    <row r="997" spans="2:15" ht="26.25" customHeight="1" x14ac:dyDescent="0.25">
      <c r="B997" s="130"/>
      <c r="C997" s="135"/>
      <c r="D997" s="177"/>
      <c r="E997" s="178"/>
      <c r="F997" s="178"/>
      <c r="G997" s="340"/>
      <c r="H997" s="340"/>
      <c r="I997" s="179"/>
      <c r="J997" s="344"/>
      <c r="K997" s="345"/>
      <c r="L997" s="346"/>
      <c r="M997" s="347"/>
      <c r="N997" s="347"/>
      <c r="O997" s="132"/>
    </row>
    <row r="998" spans="2:15" ht="26.25" customHeight="1" x14ac:dyDescent="0.25">
      <c r="B998" s="130"/>
      <c r="C998" s="135"/>
      <c r="D998" s="177"/>
      <c r="E998" s="178"/>
      <c r="F998" s="178"/>
      <c r="G998" s="340"/>
      <c r="H998" s="340"/>
      <c r="I998" s="179"/>
      <c r="J998" s="344"/>
      <c r="K998" s="345"/>
      <c r="L998" s="346"/>
      <c r="M998" s="347"/>
      <c r="N998" s="347"/>
      <c r="O998" s="132"/>
    </row>
    <row r="999" spans="2:15" ht="26.25" customHeight="1" x14ac:dyDescent="0.25">
      <c r="B999" s="130"/>
      <c r="C999" s="135"/>
      <c r="D999" s="177"/>
      <c r="E999" s="178"/>
      <c r="F999" s="178"/>
      <c r="G999" s="340"/>
      <c r="H999" s="340"/>
      <c r="I999" s="179"/>
      <c r="J999" s="344"/>
      <c r="K999" s="345"/>
      <c r="L999" s="346"/>
      <c r="M999" s="347"/>
      <c r="N999" s="347"/>
      <c r="O999" s="132"/>
    </row>
    <row r="1000" spans="2:15" ht="26.25" customHeight="1" x14ac:dyDescent="0.25">
      <c r="B1000" s="130"/>
      <c r="C1000" s="135"/>
      <c r="D1000" s="177"/>
      <c r="E1000" s="178"/>
      <c r="F1000" s="178"/>
      <c r="G1000" s="340"/>
      <c r="H1000" s="340"/>
      <c r="I1000" s="179"/>
      <c r="J1000" s="344"/>
      <c r="K1000" s="345"/>
      <c r="L1000" s="346"/>
      <c r="M1000" s="347"/>
      <c r="N1000" s="347"/>
      <c r="O1000" s="132"/>
    </row>
    <row r="1001" spans="2:15" ht="26.25" customHeight="1" x14ac:dyDescent="0.25">
      <c r="B1001" s="130"/>
      <c r="C1001" s="135"/>
      <c r="D1001" s="177"/>
      <c r="E1001" s="178"/>
      <c r="F1001" s="178"/>
      <c r="G1001" s="340"/>
      <c r="H1001" s="340"/>
      <c r="I1001" s="179"/>
      <c r="J1001" s="344"/>
      <c r="K1001" s="345"/>
      <c r="L1001" s="346"/>
      <c r="M1001" s="347"/>
      <c r="N1001" s="347"/>
      <c r="O1001" s="132"/>
    </row>
    <row r="1002" spans="2:15" ht="26.25" customHeight="1" x14ac:dyDescent="0.25">
      <c r="B1002" s="130"/>
      <c r="C1002" s="135"/>
      <c r="D1002" s="177"/>
      <c r="E1002" s="178"/>
      <c r="F1002" s="178"/>
      <c r="G1002" s="340"/>
      <c r="H1002" s="340"/>
      <c r="I1002" s="179"/>
      <c r="J1002" s="344"/>
      <c r="K1002" s="345"/>
      <c r="L1002" s="346"/>
      <c r="M1002" s="347"/>
      <c r="N1002" s="347"/>
      <c r="O1002" s="132"/>
    </row>
    <row r="1003" spans="2:15" ht="26.25" customHeight="1" x14ac:dyDescent="0.25">
      <c r="B1003" s="130"/>
      <c r="C1003" s="135"/>
      <c r="D1003" s="177"/>
      <c r="E1003" s="178"/>
      <c r="F1003" s="178"/>
      <c r="G1003" s="340"/>
      <c r="H1003" s="340"/>
      <c r="I1003" s="179"/>
      <c r="J1003" s="344"/>
      <c r="K1003" s="345"/>
      <c r="L1003" s="346"/>
      <c r="M1003" s="347"/>
      <c r="N1003" s="347"/>
      <c r="O1003" s="132"/>
    </row>
    <row r="1004" spans="2:15" ht="26.25" customHeight="1" x14ac:dyDescent="0.25">
      <c r="B1004" s="130"/>
      <c r="C1004" s="135"/>
      <c r="D1004" s="177"/>
      <c r="E1004" s="178"/>
      <c r="F1004" s="178"/>
      <c r="G1004" s="340"/>
      <c r="H1004" s="340"/>
      <c r="I1004" s="179"/>
      <c r="J1004" s="344"/>
      <c r="K1004" s="345"/>
      <c r="L1004" s="346"/>
      <c r="M1004" s="347"/>
      <c r="N1004" s="347"/>
      <c r="O1004" s="132"/>
    </row>
    <row r="1005" spans="2:15" ht="26.25" customHeight="1" x14ac:dyDescent="0.25">
      <c r="B1005" s="130"/>
      <c r="C1005" s="135"/>
      <c r="D1005" s="177"/>
      <c r="E1005" s="178"/>
      <c r="F1005" s="178"/>
      <c r="G1005" s="340"/>
      <c r="H1005" s="340"/>
      <c r="I1005" s="179"/>
      <c r="J1005" s="344"/>
      <c r="K1005" s="345"/>
      <c r="L1005" s="346"/>
      <c r="M1005" s="347"/>
      <c r="N1005" s="347"/>
      <c r="O1005" s="132"/>
    </row>
    <row r="1006" spans="2:15" ht="26.25" customHeight="1" x14ac:dyDescent="0.25">
      <c r="B1006" s="130"/>
      <c r="C1006" s="135"/>
      <c r="D1006" s="177"/>
      <c r="E1006" s="178"/>
      <c r="F1006" s="178"/>
      <c r="G1006" s="340"/>
      <c r="H1006" s="340"/>
      <c r="I1006" s="179"/>
      <c r="J1006" s="344"/>
      <c r="K1006" s="345"/>
      <c r="L1006" s="346"/>
      <c r="M1006" s="347"/>
      <c r="N1006" s="347"/>
      <c r="O1006" s="132"/>
    </row>
    <row r="1007" spans="2:15" ht="26.25" customHeight="1" x14ac:dyDescent="0.25">
      <c r="B1007" s="130"/>
      <c r="C1007" s="135"/>
      <c r="D1007" s="177"/>
      <c r="E1007" s="178"/>
      <c r="F1007" s="178"/>
      <c r="G1007" s="340"/>
      <c r="H1007" s="340"/>
      <c r="I1007" s="179"/>
      <c r="J1007" s="344"/>
      <c r="K1007" s="345"/>
      <c r="L1007" s="346"/>
      <c r="M1007" s="347"/>
      <c r="N1007" s="347"/>
      <c r="O1007" s="132"/>
    </row>
    <row r="1008" spans="2:15" ht="26.25" customHeight="1" x14ac:dyDescent="0.25">
      <c r="B1008" s="130"/>
      <c r="C1008" s="135"/>
      <c r="D1008" s="177"/>
      <c r="E1008" s="178"/>
      <c r="F1008" s="178"/>
      <c r="G1008" s="340"/>
      <c r="H1008" s="340"/>
      <c r="I1008" s="179"/>
      <c r="J1008" s="344"/>
      <c r="K1008" s="345"/>
      <c r="L1008" s="346"/>
      <c r="M1008" s="347"/>
      <c r="N1008" s="347"/>
      <c r="O1008" s="132"/>
    </row>
    <row r="1009" spans="2:15" ht="26.25" customHeight="1" x14ac:dyDescent="0.25">
      <c r="B1009" s="130"/>
      <c r="C1009" s="135"/>
      <c r="D1009" s="177"/>
      <c r="E1009" s="178"/>
      <c r="F1009" s="178"/>
      <c r="G1009" s="340"/>
      <c r="H1009" s="340"/>
      <c r="I1009" s="179"/>
      <c r="J1009" s="344"/>
      <c r="K1009" s="345"/>
      <c r="L1009" s="346"/>
      <c r="M1009" s="347"/>
      <c r="N1009" s="347"/>
      <c r="O1009" s="132"/>
    </row>
    <row r="1010" spans="2:15" ht="26.25" customHeight="1" x14ac:dyDescent="0.25">
      <c r="B1010" s="130"/>
      <c r="C1010" s="135"/>
      <c r="D1010" s="177"/>
      <c r="E1010" s="178"/>
      <c r="F1010" s="178"/>
      <c r="G1010" s="340"/>
      <c r="H1010" s="340"/>
      <c r="I1010" s="179"/>
      <c r="J1010" s="344"/>
      <c r="K1010" s="345"/>
      <c r="L1010" s="346"/>
      <c r="M1010" s="347"/>
      <c r="N1010" s="347"/>
      <c r="O1010" s="132"/>
    </row>
    <row r="1011" spans="2:15" ht="26.25" customHeight="1" x14ac:dyDescent="0.25">
      <c r="B1011" s="130"/>
      <c r="C1011" s="135"/>
      <c r="D1011" s="177"/>
      <c r="E1011" s="178"/>
      <c r="F1011" s="178"/>
      <c r="G1011" s="340"/>
      <c r="H1011" s="340"/>
      <c r="I1011" s="179"/>
      <c r="J1011" s="344"/>
      <c r="K1011" s="345"/>
      <c r="L1011" s="346"/>
      <c r="M1011" s="347"/>
      <c r="N1011" s="347"/>
      <c r="O1011" s="132"/>
    </row>
    <row r="1012" spans="2:15" ht="26.25" customHeight="1" x14ac:dyDescent="0.25">
      <c r="B1012" s="130"/>
      <c r="C1012" s="135"/>
      <c r="D1012" s="177"/>
      <c r="E1012" s="178"/>
      <c r="F1012" s="178"/>
      <c r="G1012" s="340"/>
      <c r="H1012" s="340"/>
      <c r="I1012" s="179"/>
      <c r="J1012" s="344"/>
      <c r="K1012" s="345"/>
      <c r="L1012" s="346"/>
      <c r="M1012" s="347"/>
      <c r="N1012" s="347"/>
      <c r="O1012" s="132"/>
    </row>
    <row r="1013" spans="2:15" ht="26.25" customHeight="1" x14ac:dyDescent="0.25">
      <c r="B1013" s="130"/>
      <c r="C1013" s="135"/>
      <c r="D1013" s="177"/>
      <c r="E1013" s="178"/>
      <c r="F1013" s="178"/>
      <c r="G1013" s="340"/>
      <c r="H1013" s="340"/>
      <c r="I1013" s="179"/>
      <c r="J1013" s="344"/>
      <c r="K1013" s="345"/>
      <c r="L1013" s="346"/>
      <c r="M1013" s="347"/>
      <c r="N1013" s="347"/>
      <c r="O1013" s="132"/>
    </row>
    <row r="1014" spans="2:15" ht="26.25" customHeight="1" x14ac:dyDescent="0.25">
      <c r="B1014" s="130"/>
      <c r="C1014" s="135"/>
      <c r="D1014" s="177"/>
      <c r="E1014" s="178"/>
      <c r="F1014" s="178"/>
      <c r="G1014" s="340"/>
      <c r="H1014" s="340"/>
      <c r="I1014" s="179"/>
      <c r="J1014" s="344"/>
      <c r="K1014" s="345"/>
      <c r="L1014" s="346"/>
      <c r="M1014" s="347"/>
      <c r="N1014" s="347"/>
      <c r="O1014" s="132"/>
    </row>
    <row r="1015" spans="2:15" ht="26.25" customHeight="1" x14ac:dyDescent="0.25">
      <c r="B1015" s="130"/>
      <c r="C1015" s="135"/>
      <c r="D1015" s="177"/>
      <c r="E1015" s="178"/>
      <c r="F1015" s="178"/>
      <c r="G1015" s="340"/>
      <c r="H1015" s="340"/>
      <c r="I1015" s="179"/>
      <c r="J1015" s="344"/>
      <c r="K1015" s="345"/>
      <c r="L1015" s="346"/>
      <c r="M1015" s="347"/>
      <c r="N1015" s="347"/>
      <c r="O1015" s="132"/>
    </row>
    <row r="1016" spans="2:15" ht="26.25" customHeight="1" x14ac:dyDescent="0.25">
      <c r="B1016" s="130"/>
      <c r="C1016" s="135"/>
      <c r="D1016" s="177"/>
      <c r="E1016" s="178"/>
      <c r="F1016" s="178"/>
      <c r="G1016" s="340"/>
      <c r="H1016" s="340"/>
      <c r="I1016" s="179"/>
      <c r="J1016" s="344"/>
      <c r="K1016" s="345"/>
      <c r="L1016" s="346"/>
      <c r="M1016" s="347"/>
      <c r="N1016" s="347"/>
      <c r="O1016" s="132"/>
    </row>
    <row r="1017" spans="2:15" ht="26.25" customHeight="1" x14ac:dyDescent="0.25">
      <c r="B1017" s="130"/>
      <c r="C1017" s="135"/>
      <c r="D1017" s="177"/>
      <c r="E1017" s="178"/>
      <c r="F1017" s="178"/>
      <c r="G1017" s="340"/>
      <c r="H1017" s="340"/>
      <c r="I1017" s="179"/>
      <c r="J1017" s="344"/>
      <c r="K1017" s="345"/>
      <c r="L1017" s="346"/>
      <c r="M1017" s="347"/>
      <c r="N1017" s="347"/>
      <c r="O1017" s="132"/>
    </row>
    <row r="1018" spans="2:15" ht="26.25" customHeight="1" x14ac:dyDescent="0.25">
      <c r="B1018" s="130"/>
      <c r="C1018" s="135"/>
      <c r="D1018" s="177"/>
      <c r="E1018" s="178"/>
      <c r="F1018" s="178"/>
      <c r="G1018" s="340"/>
      <c r="H1018" s="340"/>
      <c r="I1018" s="179"/>
      <c r="J1018" s="344"/>
      <c r="K1018" s="345"/>
      <c r="L1018" s="346"/>
      <c r="M1018" s="347"/>
      <c r="N1018" s="347"/>
      <c r="O1018" s="132"/>
    </row>
    <row r="1019" spans="2:15" ht="26.25" customHeight="1" x14ac:dyDescent="0.25">
      <c r="B1019" s="130"/>
      <c r="C1019" s="135"/>
      <c r="D1019" s="177"/>
      <c r="E1019" s="178"/>
      <c r="F1019" s="178"/>
      <c r="G1019" s="340"/>
      <c r="H1019" s="340"/>
      <c r="I1019" s="179"/>
      <c r="J1019" s="344"/>
      <c r="K1019" s="345"/>
      <c r="L1019" s="346"/>
      <c r="M1019" s="347"/>
      <c r="N1019" s="347"/>
      <c r="O1019" s="132"/>
    </row>
    <row r="1020" spans="2:15" ht="26.25" customHeight="1" x14ac:dyDescent="0.25">
      <c r="B1020" s="130"/>
      <c r="C1020" s="135"/>
      <c r="D1020" s="177"/>
      <c r="E1020" s="178"/>
      <c r="F1020" s="178"/>
      <c r="G1020" s="340"/>
      <c r="H1020" s="340"/>
      <c r="I1020" s="179"/>
      <c r="J1020" s="344"/>
      <c r="K1020" s="345"/>
      <c r="L1020" s="346"/>
      <c r="M1020" s="347"/>
      <c r="N1020" s="347"/>
      <c r="O1020" s="132"/>
    </row>
    <row r="1021" spans="2:15" ht="26.25" customHeight="1" x14ac:dyDescent="0.25">
      <c r="B1021" s="130"/>
      <c r="C1021" s="135"/>
      <c r="D1021" s="177"/>
      <c r="E1021" s="178"/>
      <c r="F1021" s="178"/>
      <c r="G1021" s="340"/>
      <c r="H1021" s="340"/>
      <c r="I1021" s="179"/>
      <c r="J1021" s="344"/>
      <c r="K1021" s="345"/>
      <c r="L1021" s="346"/>
      <c r="M1021" s="347"/>
      <c r="N1021" s="347"/>
      <c r="O1021" s="132"/>
    </row>
    <row r="1022" spans="2:15" ht="26.25" customHeight="1" x14ac:dyDescent="0.25">
      <c r="B1022" s="130"/>
      <c r="C1022" s="135"/>
      <c r="D1022" s="177"/>
      <c r="E1022" s="178"/>
      <c r="F1022" s="178"/>
      <c r="G1022" s="340"/>
      <c r="H1022" s="340"/>
      <c r="I1022" s="179"/>
      <c r="J1022" s="344"/>
      <c r="K1022" s="345"/>
      <c r="L1022" s="346"/>
      <c r="M1022" s="347"/>
      <c r="N1022" s="347"/>
      <c r="O1022" s="132"/>
    </row>
    <row r="1023" spans="2:15" ht="26.25" customHeight="1" x14ac:dyDescent="0.25">
      <c r="B1023" s="130"/>
      <c r="C1023" s="135"/>
      <c r="D1023" s="177"/>
      <c r="E1023" s="178"/>
      <c r="F1023" s="178"/>
      <c r="G1023" s="340"/>
      <c r="H1023" s="340"/>
      <c r="I1023" s="179"/>
      <c r="J1023" s="344"/>
      <c r="K1023" s="345"/>
      <c r="L1023" s="346"/>
      <c r="M1023" s="347"/>
      <c r="N1023" s="347"/>
      <c r="O1023" s="132"/>
    </row>
    <row r="1024" spans="2:15" ht="26.25" customHeight="1" x14ac:dyDescent="0.25">
      <c r="B1024" s="130"/>
      <c r="C1024" s="135"/>
      <c r="D1024" s="177"/>
      <c r="E1024" s="178"/>
      <c r="F1024" s="178"/>
      <c r="G1024" s="340"/>
      <c r="H1024" s="340"/>
      <c r="I1024" s="179"/>
      <c r="J1024" s="344"/>
      <c r="K1024" s="345"/>
      <c r="L1024" s="346"/>
      <c r="M1024" s="347"/>
      <c r="N1024" s="347"/>
      <c r="O1024" s="132"/>
    </row>
    <row r="1025" spans="2:15" ht="26.25" customHeight="1" x14ac:dyDescent="0.25">
      <c r="B1025" s="130"/>
      <c r="C1025" s="135"/>
      <c r="D1025" s="177"/>
      <c r="E1025" s="178"/>
      <c r="F1025" s="178"/>
      <c r="G1025" s="340"/>
      <c r="H1025" s="340"/>
      <c r="I1025" s="179"/>
      <c r="J1025" s="344"/>
      <c r="K1025" s="345"/>
      <c r="L1025" s="346"/>
      <c r="M1025" s="347"/>
      <c r="N1025" s="347"/>
      <c r="O1025" s="132"/>
    </row>
    <row r="1026" spans="2:15" ht="26.25" customHeight="1" x14ac:dyDescent="0.25">
      <c r="B1026" s="130"/>
      <c r="C1026" s="135"/>
      <c r="D1026" s="177"/>
      <c r="E1026" s="178"/>
      <c r="F1026" s="178"/>
      <c r="G1026" s="340"/>
      <c r="H1026" s="340"/>
      <c r="I1026" s="179"/>
      <c r="J1026" s="344"/>
      <c r="K1026" s="345"/>
      <c r="L1026" s="346"/>
      <c r="M1026" s="347"/>
      <c r="N1026" s="347"/>
      <c r="O1026" s="132"/>
    </row>
    <row r="1027" spans="2:15" ht="26.25" customHeight="1" x14ac:dyDescent="0.25">
      <c r="B1027" s="130"/>
      <c r="C1027" s="135"/>
      <c r="D1027" s="177"/>
      <c r="E1027" s="178"/>
      <c r="F1027" s="178"/>
      <c r="G1027" s="340"/>
      <c r="H1027" s="340"/>
      <c r="I1027" s="179"/>
      <c r="J1027" s="344"/>
      <c r="K1027" s="345"/>
      <c r="L1027" s="346"/>
      <c r="M1027" s="347"/>
      <c r="N1027" s="347"/>
      <c r="O1027" s="132"/>
    </row>
    <row r="1028" spans="2:15" ht="26.25" customHeight="1" x14ac:dyDescent="0.25">
      <c r="B1028" s="130"/>
      <c r="C1028" s="135"/>
      <c r="D1028" s="177"/>
      <c r="E1028" s="178"/>
      <c r="F1028" s="178"/>
      <c r="G1028" s="340"/>
      <c r="H1028" s="340"/>
      <c r="I1028" s="179"/>
      <c r="J1028" s="344"/>
      <c r="K1028" s="345"/>
      <c r="L1028" s="346"/>
      <c r="M1028" s="347"/>
      <c r="N1028" s="347"/>
      <c r="O1028" s="132"/>
    </row>
    <row r="1029" spans="2:15" ht="26.25" customHeight="1" x14ac:dyDescent="0.25">
      <c r="B1029" s="130"/>
      <c r="C1029" s="135"/>
      <c r="D1029" s="177"/>
      <c r="E1029" s="178"/>
      <c r="F1029" s="178"/>
      <c r="G1029" s="340"/>
      <c r="H1029" s="340"/>
      <c r="I1029" s="179"/>
      <c r="J1029" s="344"/>
      <c r="K1029" s="345"/>
      <c r="L1029" s="346"/>
      <c r="M1029" s="347"/>
      <c r="N1029" s="347"/>
      <c r="O1029" s="132"/>
    </row>
    <row r="1030" spans="2:15" ht="26.25" customHeight="1" x14ac:dyDescent="0.25">
      <c r="B1030" s="130"/>
      <c r="C1030" s="135"/>
      <c r="D1030" s="177"/>
      <c r="E1030" s="178"/>
      <c r="F1030" s="178"/>
      <c r="G1030" s="340"/>
      <c r="H1030" s="340"/>
      <c r="I1030" s="179"/>
      <c r="J1030" s="344"/>
      <c r="K1030" s="345"/>
      <c r="L1030" s="346"/>
      <c r="M1030" s="347"/>
      <c r="N1030" s="347"/>
      <c r="O1030" s="132"/>
    </row>
    <row r="1031" spans="2:15" ht="26.25" customHeight="1" x14ac:dyDescent="0.25">
      <c r="B1031" s="130"/>
      <c r="C1031" s="135"/>
      <c r="D1031" s="177"/>
      <c r="E1031" s="178"/>
      <c r="F1031" s="178"/>
      <c r="G1031" s="340"/>
      <c r="H1031" s="340"/>
      <c r="I1031" s="179"/>
      <c r="J1031" s="344"/>
      <c r="K1031" s="345"/>
      <c r="L1031" s="346"/>
      <c r="M1031" s="347"/>
      <c r="N1031" s="347"/>
      <c r="O1031" s="132"/>
    </row>
    <row r="1032" spans="2:15" ht="26.25" customHeight="1" x14ac:dyDescent="0.25">
      <c r="B1032" s="130"/>
      <c r="C1032" s="135"/>
      <c r="D1032" s="177"/>
      <c r="E1032" s="178"/>
      <c r="F1032" s="178"/>
      <c r="G1032" s="340"/>
      <c r="H1032" s="340"/>
      <c r="I1032" s="179"/>
      <c r="J1032" s="344"/>
      <c r="K1032" s="345"/>
      <c r="L1032" s="346"/>
      <c r="M1032" s="347"/>
      <c r="N1032" s="347"/>
      <c r="O1032" s="132"/>
    </row>
    <row r="1033" spans="2:15" ht="26.25" customHeight="1" x14ac:dyDescent="0.25">
      <c r="B1033" s="130"/>
      <c r="C1033" s="135"/>
      <c r="D1033" s="177"/>
      <c r="E1033" s="178"/>
      <c r="F1033" s="178"/>
      <c r="G1033" s="340"/>
      <c r="H1033" s="340"/>
      <c r="I1033" s="179"/>
      <c r="J1033" s="344"/>
      <c r="K1033" s="345"/>
      <c r="L1033" s="346"/>
      <c r="M1033" s="347"/>
      <c r="N1033" s="347"/>
      <c r="O1033" s="132"/>
    </row>
    <row r="1034" spans="2:15" ht="26.25" customHeight="1" x14ac:dyDescent="0.25">
      <c r="B1034" s="130"/>
      <c r="C1034" s="135"/>
      <c r="D1034" s="177"/>
      <c r="E1034" s="178"/>
      <c r="F1034" s="178"/>
      <c r="G1034" s="340"/>
      <c r="H1034" s="340"/>
      <c r="I1034" s="179"/>
      <c r="J1034" s="344"/>
      <c r="K1034" s="345"/>
      <c r="L1034" s="346"/>
      <c r="M1034" s="347"/>
      <c r="N1034" s="347"/>
      <c r="O1034" s="132"/>
    </row>
    <row r="1035" spans="2:15" ht="26.25" customHeight="1" x14ac:dyDescent="0.25">
      <c r="B1035" s="130"/>
      <c r="C1035" s="135"/>
      <c r="D1035" s="177"/>
      <c r="E1035" s="178"/>
      <c r="F1035" s="178"/>
      <c r="G1035" s="340"/>
      <c r="H1035" s="340"/>
      <c r="I1035" s="179"/>
      <c r="J1035" s="344"/>
      <c r="K1035" s="345"/>
      <c r="L1035" s="346"/>
      <c r="M1035" s="347"/>
      <c r="N1035" s="347"/>
      <c r="O1035" s="132"/>
    </row>
    <row r="1036" spans="2:15" ht="26.25" customHeight="1" x14ac:dyDescent="0.25">
      <c r="B1036" s="130"/>
      <c r="C1036" s="135"/>
      <c r="D1036" s="177"/>
      <c r="E1036" s="178"/>
      <c r="F1036" s="178"/>
      <c r="G1036" s="340"/>
      <c r="H1036" s="340"/>
      <c r="I1036" s="179"/>
      <c r="J1036" s="344"/>
      <c r="K1036" s="345"/>
      <c r="L1036" s="346"/>
      <c r="M1036" s="347"/>
      <c r="N1036" s="347"/>
      <c r="O1036" s="132"/>
    </row>
    <row r="1037" spans="2:15" ht="26.25" customHeight="1" x14ac:dyDescent="0.25">
      <c r="B1037" s="130"/>
      <c r="C1037" s="135"/>
      <c r="D1037" s="177"/>
      <c r="E1037" s="178"/>
      <c r="F1037" s="178"/>
      <c r="G1037" s="340"/>
      <c r="H1037" s="340"/>
      <c r="I1037" s="179"/>
      <c r="J1037" s="344"/>
      <c r="K1037" s="345"/>
      <c r="L1037" s="346"/>
      <c r="M1037" s="347"/>
      <c r="N1037" s="347"/>
      <c r="O1037" s="132"/>
    </row>
    <row r="1038" spans="2:15" ht="26.25" customHeight="1" x14ac:dyDescent="0.25">
      <c r="B1038" s="130"/>
      <c r="C1038" s="135"/>
      <c r="D1038" s="177"/>
      <c r="E1038" s="178"/>
      <c r="F1038" s="178"/>
      <c r="G1038" s="340"/>
      <c r="H1038" s="340"/>
      <c r="I1038" s="179"/>
      <c r="J1038" s="344"/>
      <c r="K1038" s="345"/>
      <c r="L1038" s="346"/>
      <c r="M1038" s="347"/>
      <c r="N1038" s="347"/>
      <c r="O1038" s="132"/>
    </row>
    <row r="1039" spans="2:15" ht="26.25" customHeight="1" x14ac:dyDescent="0.25">
      <c r="B1039" s="130"/>
      <c r="C1039" s="135"/>
      <c r="D1039" s="177"/>
      <c r="E1039" s="178"/>
      <c r="F1039" s="178"/>
      <c r="G1039" s="340"/>
      <c r="H1039" s="340"/>
      <c r="I1039" s="179"/>
      <c r="J1039" s="344"/>
      <c r="K1039" s="345"/>
      <c r="L1039" s="346"/>
      <c r="M1039" s="347"/>
      <c r="N1039" s="347"/>
      <c r="O1039" s="132"/>
    </row>
    <row r="1040" spans="2:15" ht="26.25" customHeight="1" x14ac:dyDescent="0.25">
      <c r="B1040" s="130"/>
      <c r="C1040" s="135"/>
      <c r="D1040" s="177"/>
      <c r="E1040" s="178"/>
      <c r="F1040" s="178"/>
      <c r="G1040" s="340"/>
      <c r="H1040" s="340"/>
      <c r="I1040" s="179"/>
      <c r="J1040" s="344"/>
      <c r="K1040" s="345"/>
      <c r="L1040" s="346"/>
      <c r="M1040" s="347"/>
      <c r="N1040" s="347"/>
      <c r="O1040" s="132"/>
    </row>
    <row r="1041" spans="2:15" ht="26.25" customHeight="1" x14ac:dyDescent="0.25">
      <c r="B1041" s="130"/>
      <c r="C1041" s="135"/>
      <c r="D1041" s="177"/>
      <c r="E1041" s="178"/>
      <c r="F1041" s="178"/>
      <c r="G1041" s="340"/>
      <c r="H1041" s="340"/>
      <c r="I1041" s="179"/>
      <c r="J1041" s="344"/>
      <c r="K1041" s="345"/>
      <c r="L1041" s="346"/>
      <c r="M1041" s="347"/>
      <c r="N1041" s="347"/>
      <c r="O1041" s="132"/>
    </row>
    <row r="1042" spans="2:15" ht="26.25" customHeight="1" x14ac:dyDescent="0.25">
      <c r="B1042" s="130"/>
      <c r="C1042" s="135"/>
      <c r="D1042" s="177"/>
      <c r="E1042" s="178"/>
      <c r="F1042" s="178"/>
      <c r="G1042" s="340"/>
      <c r="H1042" s="340"/>
      <c r="I1042" s="179"/>
      <c r="J1042" s="344"/>
      <c r="K1042" s="345"/>
      <c r="L1042" s="346"/>
      <c r="M1042" s="347"/>
      <c r="N1042" s="347"/>
      <c r="O1042" s="132"/>
    </row>
    <row r="1043" spans="2:15" ht="26.25" customHeight="1" x14ac:dyDescent="0.25">
      <c r="B1043" s="130"/>
      <c r="C1043" s="135"/>
      <c r="D1043" s="177"/>
      <c r="E1043" s="178"/>
      <c r="F1043" s="178"/>
      <c r="G1043" s="340"/>
      <c r="H1043" s="340"/>
      <c r="I1043" s="179"/>
      <c r="J1043" s="344"/>
      <c r="K1043" s="345"/>
      <c r="L1043" s="346"/>
      <c r="M1043" s="347"/>
      <c r="N1043" s="347"/>
      <c r="O1043" s="132"/>
    </row>
    <row r="1044" spans="2:15" ht="26.25" customHeight="1" x14ac:dyDescent="0.25">
      <c r="B1044" s="130"/>
      <c r="C1044" s="135"/>
      <c r="D1044" s="177"/>
      <c r="E1044" s="178"/>
      <c r="F1044" s="178"/>
      <c r="G1044" s="340"/>
      <c r="H1044" s="340"/>
      <c r="I1044" s="179"/>
      <c r="J1044" s="344"/>
      <c r="K1044" s="345"/>
      <c r="L1044" s="346"/>
      <c r="M1044" s="347"/>
      <c r="N1044" s="347"/>
      <c r="O1044" s="132"/>
    </row>
    <row r="1045" spans="2:15" ht="26.25" customHeight="1" x14ac:dyDescent="0.25">
      <c r="B1045" s="130"/>
      <c r="C1045" s="135"/>
      <c r="D1045" s="177"/>
      <c r="E1045" s="178"/>
      <c r="F1045" s="178"/>
      <c r="G1045" s="340"/>
      <c r="H1045" s="340"/>
      <c r="I1045" s="179"/>
      <c r="J1045" s="344"/>
      <c r="K1045" s="345"/>
      <c r="L1045" s="346"/>
      <c r="M1045" s="347"/>
      <c r="N1045" s="347"/>
      <c r="O1045" s="132"/>
    </row>
    <row r="1046" spans="2:15" ht="26.25" customHeight="1" x14ac:dyDescent="0.25">
      <c r="B1046" s="130"/>
      <c r="C1046" s="135"/>
      <c r="D1046" s="177"/>
      <c r="E1046" s="178"/>
      <c r="F1046" s="178"/>
      <c r="G1046" s="340"/>
      <c r="H1046" s="340"/>
      <c r="I1046" s="179"/>
      <c r="J1046" s="344"/>
      <c r="K1046" s="345"/>
      <c r="L1046" s="346"/>
      <c r="M1046" s="347"/>
      <c r="N1046" s="347"/>
      <c r="O1046" s="132"/>
    </row>
    <row r="1047" spans="2:15" ht="26.25" customHeight="1" x14ac:dyDescent="0.25">
      <c r="B1047" s="130"/>
      <c r="C1047" s="135"/>
      <c r="D1047" s="177"/>
      <c r="E1047" s="178"/>
      <c r="F1047" s="178"/>
      <c r="G1047" s="340"/>
      <c r="H1047" s="340"/>
      <c r="I1047" s="179"/>
      <c r="J1047" s="344"/>
      <c r="K1047" s="345"/>
      <c r="L1047" s="346"/>
      <c r="M1047" s="347"/>
      <c r="N1047" s="347"/>
      <c r="O1047" s="132"/>
    </row>
    <row r="1048" spans="2:15" ht="26.25" customHeight="1" x14ac:dyDescent="0.25">
      <c r="B1048" s="130"/>
      <c r="C1048" s="135"/>
      <c r="D1048" s="177"/>
      <c r="E1048" s="178"/>
      <c r="F1048" s="178"/>
      <c r="G1048" s="340"/>
      <c r="H1048" s="340"/>
      <c r="I1048" s="179"/>
      <c r="J1048" s="344"/>
      <c r="K1048" s="345"/>
      <c r="L1048" s="346"/>
      <c r="M1048" s="347"/>
      <c r="N1048" s="347"/>
      <c r="O1048" s="132"/>
    </row>
    <row r="1049" spans="2:15" ht="26.25" customHeight="1" x14ac:dyDescent="0.25">
      <c r="B1049" s="130"/>
      <c r="C1049" s="135"/>
      <c r="D1049" s="177"/>
      <c r="E1049" s="178"/>
      <c r="F1049" s="178"/>
      <c r="G1049" s="340"/>
      <c r="H1049" s="340"/>
      <c r="I1049" s="179"/>
      <c r="J1049" s="344"/>
      <c r="K1049" s="345"/>
      <c r="L1049" s="346"/>
      <c r="M1049" s="347"/>
      <c r="N1049" s="347"/>
      <c r="O1049" s="132"/>
    </row>
    <row r="1050" spans="2:15" ht="26.25" customHeight="1" x14ac:dyDescent="0.25">
      <c r="B1050" s="130"/>
      <c r="C1050" s="135"/>
      <c r="D1050" s="177"/>
      <c r="E1050" s="178"/>
      <c r="F1050" s="178"/>
      <c r="G1050" s="340"/>
      <c r="H1050" s="340"/>
      <c r="I1050" s="179"/>
      <c r="J1050" s="344"/>
      <c r="K1050" s="345"/>
      <c r="L1050" s="346"/>
      <c r="M1050" s="347"/>
      <c r="N1050" s="347"/>
      <c r="O1050" s="132"/>
    </row>
    <row r="1051" spans="2:15" ht="26.25" customHeight="1" x14ac:dyDescent="0.25">
      <c r="B1051" s="130"/>
      <c r="C1051" s="135"/>
      <c r="D1051" s="177"/>
      <c r="E1051" s="178"/>
      <c r="F1051" s="178"/>
      <c r="G1051" s="340"/>
      <c r="H1051" s="340"/>
      <c r="I1051" s="179"/>
      <c r="J1051" s="344"/>
      <c r="K1051" s="345"/>
      <c r="L1051" s="346"/>
      <c r="M1051" s="347"/>
      <c r="N1051" s="347"/>
      <c r="O1051" s="132"/>
    </row>
    <row r="1052" spans="2:15" ht="26.25" customHeight="1" x14ac:dyDescent="0.25">
      <c r="B1052" s="130"/>
      <c r="C1052" s="135"/>
      <c r="D1052" s="177"/>
      <c r="E1052" s="178"/>
      <c r="F1052" s="178"/>
      <c r="G1052" s="340"/>
      <c r="H1052" s="340"/>
      <c r="I1052" s="179"/>
      <c r="J1052" s="344"/>
      <c r="K1052" s="345"/>
      <c r="L1052" s="346"/>
      <c r="M1052" s="347"/>
      <c r="N1052" s="347"/>
      <c r="O1052" s="132"/>
    </row>
    <row r="1053" spans="2:15" ht="26.25" customHeight="1" x14ac:dyDescent="0.25">
      <c r="B1053" s="130"/>
      <c r="C1053" s="135"/>
      <c r="D1053" s="177"/>
      <c r="E1053" s="178"/>
      <c r="F1053" s="178"/>
      <c r="G1053" s="340"/>
      <c r="H1053" s="340"/>
      <c r="I1053" s="179"/>
      <c r="J1053" s="344"/>
      <c r="K1053" s="345"/>
      <c r="L1053" s="346"/>
      <c r="M1053" s="347"/>
      <c r="N1053" s="347"/>
      <c r="O1053" s="132"/>
    </row>
    <row r="1054" spans="2:15" ht="26.25" customHeight="1" x14ac:dyDescent="0.25">
      <c r="B1054" s="130"/>
      <c r="C1054" s="135"/>
      <c r="D1054" s="177"/>
      <c r="E1054" s="178"/>
      <c r="F1054" s="178"/>
      <c r="G1054" s="340"/>
      <c r="H1054" s="340"/>
      <c r="I1054" s="179"/>
      <c r="J1054" s="344"/>
      <c r="K1054" s="345"/>
      <c r="L1054" s="346"/>
      <c r="M1054" s="347"/>
      <c r="N1054" s="347"/>
      <c r="O1054" s="132"/>
    </row>
    <row r="1055" spans="2:15" ht="26.25" customHeight="1" x14ac:dyDescent="0.25">
      <c r="B1055" s="130"/>
      <c r="C1055" s="135"/>
      <c r="D1055" s="177"/>
      <c r="E1055" s="178"/>
      <c r="F1055" s="178"/>
      <c r="G1055" s="340"/>
      <c r="H1055" s="340"/>
      <c r="I1055" s="179"/>
      <c r="J1055" s="344"/>
      <c r="K1055" s="345"/>
      <c r="L1055" s="346"/>
      <c r="M1055" s="347"/>
      <c r="N1055" s="347"/>
      <c r="O1055" s="132"/>
    </row>
    <row r="1056" spans="2:15" ht="26.25" customHeight="1" x14ac:dyDescent="0.25">
      <c r="B1056" s="130"/>
      <c r="C1056" s="135"/>
      <c r="D1056" s="177"/>
      <c r="E1056" s="178"/>
      <c r="F1056" s="178"/>
      <c r="G1056" s="340"/>
      <c r="H1056" s="340"/>
      <c r="I1056" s="179"/>
      <c r="J1056" s="344"/>
      <c r="K1056" s="345"/>
      <c r="L1056" s="346"/>
      <c r="M1056" s="347"/>
      <c r="N1056" s="347"/>
      <c r="O1056" s="132"/>
    </row>
    <row r="1057" spans="2:15" ht="26.25" customHeight="1" x14ac:dyDescent="0.25">
      <c r="B1057" s="130"/>
      <c r="C1057" s="135"/>
      <c r="D1057" s="177"/>
      <c r="E1057" s="178"/>
      <c r="F1057" s="178"/>
      <c r="G1057" s="340"/>
      <c r="H1057" s="340"/>
      <c r="I1057" s="179"/>
      <c r="J1057" s="344"/>
      <c r="K1057" s="345"/>
      <c r="L1057" s="346"/>
      <c r="M1057" s="347"/>
      <c r="N1057" s="347"/>
      <c r="O1057" s="132"/>
    </row>
    <row r="1058" spans="2:15" ht="26.25" customHeight="1" x14ac:dyDescent="0.25">
      <c r="B1058" s="130"/>
      <c r="C1058" s="135"/>
      <c r="D1058" s="177"/>
      <c r="E1058" s="178"/>
      <c r="F1058" s="178"/>
      <c r="G1058" s="340"/>
      <c r="H1058" s="340"/>
      <c r="I1058" s="179"/>
      <c r="J1058" s="344"/>
      <c r="K1058" s="345"/>
      <c r="L1058" s="346"/>
      <c r="M1058" s="347"/>
      <c r="N1058" s="347"/>
      <c r="O1058" s="132"/>
    </row>
    <row r="1059" spans="2:15" ht="26.25" customHeight="1" x14ac:dyDescent="0.25">
      <c r="B1059" s="130"/>
      <c r="C1059" s="135"/>
      <c r="D1059" s="177"/>
      <c r="E1059" s="178"/>
      <c r="F1059" s="178"/>
      <c r="G1059" s="340"/>
      <c r="H1059" s="340"/>
      <c r="I1059" s="179"/>
      <c r="J1059" s="344"/>
      <c r="K1059" s="345"/>
      <c r="L1059" s="346"/>
      <c r="M1059" s="347"/>
      <c r="N1059" s="347"/>
      <c r="O1059" s="132"/>
    </row>
    <row r="1060" spans="2:15" ht="26.25" customHeight="1" x14ac:dyDescent="0.25">
      <c r="B1060" s="130"/>
      <c r="C1060" s="135"/>
      <c r="D1060" s="177"/>
      <c r="E1060" s="178"/>
      <c r="F1060" s="178"/>
      <c r="G1060" s="340"/>
      <c r="H1060" s="340"/>
      <c r="I1060" s="179"/>
      <c r="J1060" s="344"/>
      <c r="K1060" s="345"/>
      <c r="L1060" s="346"/>
      <c r="M1060" s="347"/>
      <c r="N1060" s="347"/>
      <c r="O1060" s="132"/>
    </row>
    <row r="1061" spans="2:15" ht="26.25" customHeight="1" x14ac:dyDescent="0.25">
      <c r="B1061" s="130"/>
      <c r="C1061" s="135"/>
      <c r="D1061" s="177"/>
      <c r="E1061" s="178"/>
      <c r="F1061" s="178"/>
      <c r="G1061" s="340"/>
      <c r="H1061" s="340"/>
      <c r="I1061" s="179"/>
      <c r="J1061" s="344"/>
      <c r="K1061" s="345"/>
      <c r="L1061" s="346"/>
      <c r="M1061" s="347"/>
      <c r="N1061" s="347"/>
      <c r="O1061" s="132"/>
    </row>
    <row r="1062" spans="2:15" ht="26.25" customHeight="1" x14ac:dyDescent="0.25">
      <c r="B1062" s="130"/>
      <c r="C1062" s="135"/>
      <c r="D1062" s="177"/>
      <c r="E1062" s="178"/>
      <c r="F1062" s="178"/>
      <c r="G1062" s="340"/>
      <c r="H1062" s="340"/>
      <c r="I1062" s="179"/>
      <c r="J1062" s="344"/>
      <c r="K1062" s="345"/>
      <c r="L1062" s="346"/>
      <c r="M1062" s="347"/>
      <c r="N1062" s="347"/>
      <c r="O1062" s="132"/>
    </row>
    <row r="1063" spans="2:15" ht="26.25" customHeight="1" x14ac:dyDescent="0.25">
      <c r="B1063" s="130"/>
      <c r="C1063" s="135"/>
      <c r="D1063" s="177"/>
      <c r="E1063" s="178"/>
      <c r="F1063" s="178"/>
      <c r="G1063" s="340"/>
      <c r="H1063" s="340"/>
      <c r="I1063" s="179"/>
      <c r="J1063" s="344"/>
      <c r="K1063" s="345"/>
      <c r="L1063" s="346"/>
      <c r="M1063" s="347"/>
      <c r="N1063" s="347"/>
      <c r="O1063" s="132"/>
    </row>
    <row r="1064" spans="2:15" ht="26.25" customHeight="1" x14ac:dyDescent="0.25">
      <c r="B1064" s="130"/>
      <c r="C1064" s="135"/>
      <c r="D1064" s="177"/>
      <c r="E1064" s="178"/>
      <c r="F1064" s="178"/>
      <c r="G1064" s="340"/>
      <c r="H1064" s="340"/>
      <c r="I1064" s="179"/>
      <c r="J1064" s="344"/>
      <c r="K1064" s="345"/>
      <c r="L1064" s="346"/>
      <c r="M1064" s="347"/>
      <c r="N1064" s="347"/>
      <c r="O1064" s="132"/>
    </row>
    <row r="1065" spans="2:15" ht="26.25" customHeight="1" x14ac:dyDescent="0.25">
      <c r="B1065" s="130"/>
      <c r="C1065" s="135"/>
      <c r="D1065" s="177"/>
      <c r="E1065" s="178"/>
      <c r="F1065" s="178"/>
      <c r="G1065" s="340"/>
      <c r="H1065" s="340"/>
      <c r="I1065" s="179"/>
      <c r="J1065" s="344"/>
      <c r="K1065" s="345"/>
      <c r="L1065" s="346"/>
      <c r="M1065" s="347"/>
      <c r="N1065" s="347"/>
      <c r="O1065" s="132"/>
    </row>
    <row r="1066" spans="2:15" ht="26.25" customHeight="1" x14ac:dyDescent="0.25">
      <c r="B1066" s="130"/>
      <c r="C1066" s="135"/>
      <c r="D1066" s="177"/>
      <c r="E1066" s="178"/>
      <c r="F1066" s="178"/>
      <c r="G1066" s="340"/>
      <c r="H1066" s="340"/>
      <c r="I1066" s="179"/>
      <c r="J1066" s="344"/>
      <c r="K1066" s="345"/>
      <c r="L1066" s="346"/>
      <c r="M1066" s="347"/>
      <c r="N1066" s="347"/>
      <c r="O1066" s="132"/>
    </row>
    <row r="1067" spans="2:15" ht="26.25" customHeight="1" x14ac:dyDescent="0.25">
      <c r="B1067" s="130"/>
      <c r="C1067" s="135"/>
      <c r="D1067" s="177"/>
      <c r="E1067" s="178"/>
      <c r="F1067" s="178"/>
      <c r="G1067" s="340"/>
      <c r="H1067" s="340"/>
      <c r="I1067" s="179"/>
      <c r="J1067" s="344"/>
      <c r="K1067" s="345"/>
      <c r="L1067" s="346"/>
      <c r="M1067" s="347"/>
      <c r="N1067" s="347"/>
      <c r="O1067" s="132"/>
    </row>
    <row r="1068" spans="2:15" ht="26.25" customHeight="1" x14ac:dyDescent="0.25">
      <c r="B1068" s="130"/>
      <c r="C1068" s="135"/>
      <c r="D1068" s="177"/>
      <c r="E1068" s="178"/>
      <c r="F1068" s="178"/>
      <c r="G1068" s="340"/>
      <c r="H1068" s="340"/>
      <c r="I1068" s="179"/>
      <c r="J1068" s="344"/>
      <c r="K1068" s="345"/>
      <c r="L1068" s="346"/>
      <c r="M1068" s="347"/>
      <c r="N1068" s="347"/>
      <c r="O1068" s="132"/>
    </row>
    <row r="1069" spans="2:15" ht="26.25" customHeight="1" x14ac:dyDescent="0.25">
      <c r="B1069" s="130"/>
      <c r="C1069" s="135"/>
      <c r="D1069" s="177"/>
      <c r="E1069" s="178"/>
      <c r="F1069" s="178"/>
      <c r="G1069" s="340"/>
      <c r="H1069" s="340"/>
      <c r="I1069" s="179"/>
      <c r="J1069" s="344"/>
      <c r="K1069" s="345"/>
      <c r="L1069" s="346"/>
      <c r="M1069" s="347"/>
      <c r="N1069" s="347"/>
      <c r="O1069" s="132"/>
    </row>
    <row r="1070" spans="2:15" ht="26.25" customHeight="1" x14ac:dyDescent="0.25">
      <c r="B1070" s="130"/>
      <c r="C1070" s="135"/>
      <c r="D1070" s="177"/>
      <c r="E1070" s="178"/>
      <c r="F1070" s="178"/>
      <c r="G1070" s="340"/>
      <c r="H1070" s="340"/>
      <c r="I1070" s="179"/>
      <c r="J1070" s="344"/>
      <c r="K1070" s="345"/>
      <c r="L1070" s="346"/>
      <c r="M1070" s="347"/>
      <c r="N1070" s="347"/>
      <c r="O1070" s="132"/>
    </row>
    <row r="1071" spans="2:15" ht="26.25" customHeight="1" x14ac:dyDescent="0.25">
      <c r="B1071" s="130"/>
      <c r="C1071" s="135"/>
      <c r="D1071" s="177"/>
      <c r="E1071" s="178"/>
      <c r="F1071" s="178"/>
      <c r="G1071" s="340"/>
      <c r="H1071" s="340"/>
      <c r="I1071" s="179"/>
      <c r="J1071" s="344"/>
      <c r="K1071" s="345"/>
      <c r="L1071" s="346"/>
      <c r="M1071" s="347"/>
      <c r="N1071" s="347"/>
      <c r="O1071" s="132"/>
    </row>
    <row r="1072" spans="2:15" ht="26.25" customHeight="1" x14ac:dyDescent="0.25">
      <c r="B1072" s="130"/>
      <c r="C1072" s="135"/>
      <c r="D1072" s="177"/>
      <c r="E1072" s="178"/>
      <c r="F1072" s="178"/>
      <c r="G1072" s="340"/>
      <c r="H1072" s="340"/>
      <c r="I1072" s="179"/>
      <c r="J1072" s="344"/>
      <c r="K1072" s="345"/>
      <c r="L1072" s="346"/>
      <c r="M1072" s="347"/>
      <c r="N1072" s="347"/>
      <c r="O1072" s="132"/>
    </row>
    <row r="1073" spans="2:15" ht="26.25" customHeight="1" x14ac:dyDescent="0.25">
      <c r="B1073" s="130"/>
      <c r="C1073" s="135"/>
      <c r="D1073" s="177"/>
      <c r="E1073" s="178"/>
      <c r="F1073" s="178"/>
      <c r="G1073" s="340"/>
      <c r="H1073" s="340"/>
      <c r="I1073" s="179"/>
      <c r="J1073" s="344"/>
      <c r="K1073" s="345"/>
      <c r="L1073" s="346"/>
      <c r="M1073" s="347"/>
      <c r="N1073" s="347"/>
      <c r="O1073" s="132"/>
    </row>
    <row r="1074" spans="2:15" ht="26.25" customHeight="1" x14ac:dyDescent="0.25">
      <c r="B1074" s="130"/>
      <c r="C1074" s="135"/>
      <c r="D1074" s="177"/>
      <c r="E1074" s="178"/>
      <c r="F1074" s="178"/>
      <c r="G1074" s="340"/>
      <c r="H1074" s="340"/>
      <c r="I1074" s="179"/>
      <c r="J1074" s="344"/>
      <c r="K1074" s="345"/>
      <c r="L1074" s="346"/>
      <c r="M1074" s="347"/>
      <c r="N1074" s="347"/>
      <c r="O1074" s="132"/>
    </row>
    <row r="1075" spans="2:15" ht="26.25" customHeight="1" x14ac:dyDescent="0.25">
      <c r="B1075" s="130"/>
      <c r="C1075" s="135"/>
      <c r="D1075" s="177"/>
      <c r="E1075" s="178"/>
      <c r="F1075" s="178"/>
      <c r="G1075" s="340"/>
      <c r="H1075" s="340"/>
      <c r="I1075" s="179"/>
      <c r="J1075" s="344"/>
      <c r="K1075" s="345"/>
      <c r="L1075" s="346"/>
      <c r="M1075" s="347"/>
      <c r="N1075" s="347"/>
      <c r="O1075" s="132"/>
    </row>
    <row r="1076" spans="2:15" ht="26.25" customHeight="1" x14ac:dyDescent="0.25">
      <c r="B1076" s="130"/>
      <c r="C1076" s="135"/>
      <c r="D1076" s="177"/>
      <c r="E1076" s="178"/>
      <c r="F1076" s="178"/>
      <c r="G1076" s="340"/>
      <c r="H1076" s="340"/>
      <c r="I1076" s="179"/>
      <c r="J1076" s="344"/>
      <c r="K1076" s="345"/>
      <c r="L1076" s="346"/>
      <c r="M1076" s="347"/>
      <c r="N1076" s="347"/>
      <c r="O1076" s="132"/>
    </row>
    <row r="1077" spans="2:15" ht="26.25" customHeight="1" x14ac:dyDescent="0.25">
      <c r="B1077" s="130"/>
      <c r="C1077" s="135"/>
      <c r="D1077" s="177"/>
      <c r="E1077" s="178"/>
      <c r="F1077" s="178"/>
      <c r="G1077" s="340"/>
      <c r="H1077" s="340"/>
      <c r="I1077" s="179"/>
      <c r="J1077" s="344"/>
      <c r="K1077" s="345"/>
      <c r="L1077" s="346"/>
      <c r="M1077" s="347"/>
      <c r="N1077" s="347"/>
      <c r="O1077" s="132"/>
    </row>
    <row r="1078" spans="2:15" ht="26.25" customHeight="1" x14ac:dyDescent="0.25">
      <c r="B1078" s="130"/>
      <c r="C1078" s="135"/>
      <c r="D1078" s="177"/>
      <c r="E1078" s="178"/>
      <c r="F1078" s="178"/>
      <c r="G1078" s="340"/>
      <c r="H1078" s="340"/>
      <c r="I1078" s="179"/>
      <c r="J1078" s="344"/>
      <c r="K1078" s="345"/>
      <c r="L1078" s="346"/>
      <c r="M1078" s="347"/>
      <c r="N1078" s="347"/>
      <c r="O1078" s="132"/>
    </row>
    <row r="1079" spans="2:15" ht="26.25" customHeight="1" x14ac:dyDescent="0.25">
      <c r="B1079" s="130"/>
      <c r="C1079" s="135"/>
      <c r="D1079" s="177"/>
      <c r="E1079" s="178"/>
      <c r="F1079" s="178"/>
      <c r="G1079" s="340"/>
      <c r="H1079" s="340"/>
      <c r="I1079" s="179"/>
      <c r="J1079" s="344"/>
      <c r="K1079" s="345"/>
      <c r="L1079" s="346"/>
      <c r="M1079" s="347"/>
      <c r="N1079" s="347"/>
      <c r="O1079" s="132"/>
    </row>
    <row r="1080" spans="2:15" ht="26.25" customHeight="1" x14ac:dyDescent="0.25">
      <c r="B1080" s="130"/>
      <c r="C1080" s="135"/>
      <c r="D1080" s="177"/>
      <c r="E1080" s="178"/>
      <c r="F1080" s="178"/>
      <c r="G1080" s="340"/>
      <c r="H1080" s="340"/>
      <c r="I1080" s="179"/>
      <c r="J1080" s="344"/>
      <c r="K1080" s="345"/>
      <c r="L1080" s="346"/>
      <c r="M1080" s="347"/>
      <c r="N1080" s="347"/>
      <c r="O1080" s="132"/>
    </row>
    <row r="1081" spans="2:15" ht="26.25" customHeight="1" x14ac:dyDescent="0.25">
      <c r="B1081" s="130"/>
      <c r="C1081" s="135"/>
      <c r="D1081" s="177"/>
      <c r="E1081" s="178"/>
      <c r="F1081" s="178"/>
      <c r="G1081" s="340"/>
      <c r="H1081" s="340"/>
      <c r="I1081" s="179"/>
      <c r="J1081" s="344"/>
      <c r="K1081" s="345"/>
      <c r="L1081" s="346"/>
      <c r="M1081" s="347"/>
      <c r="N1081" s="347"/>
      <c r="O1081" s="132"/>
    </row>
    <row r="1082" spans="2:15" ht="26.25" customHeight="1" x14ac:dyDescent="0.25">
      <c r="B1082" s="130"/>
      <c r="C1082" s="135"/>
      <c r="D1082" s="177"/>
      <c r="E1082" s="178"/>
      <c r="F1082" s="178"/>
      <c r="G1082" s="340"/>
      <c r="H1082" s="340"/>
      <c r="I1082" s="179"/>
      <c r="J1082" s="344"/>
      <c r="K1082" s="345"/>
      <c r="L1082" s="346"/>
      <c r="M1082" s="347"/>
      <c r="N1082" s="347"/>
      <c r="O1082" s="132"/>
    </row>
    <row r="1083" spans="2:15" ht="26.25" customHeight="1" x14ac:dyDescent="0.25">
      <c r="B1083" s="130"/>
      <c r="C1083" s="135"/>
      <c r="D1083" s="177"/>
      <c r="E1083" s="178"/>
      <c r="F1083" s="178"/>
      <c r="G1083" s="340"/>
      <c r="H1083" s="340"/>
      <c r="I1083" s="179"/>
      <c r="J1083" s="344"/>
      <c r="K1083" s="345"/>
      <c r="L1083" s="346"/>
      <c r="M1083" s="347"/>
      <c r="N1083" s="347"/>
      <c r="O1083" s="132"/>
    </row>
    <row r="1084" spans="2:15" ht="26.25" customHeight="1" x14ac:dyDescent="0.25">
      <c r="B1084" s="130"/>
      <c r="C1084" s="135"/>
      <c r="D1084" s="177"/>
      <c r="E1084" s="178"/>
      <c r="F1084" s="178"/>
      <c r="G1084" s="340"/>
      <c r="H1084" s="340"/>
      <c r="I1084" s="179"/>
      <c r="J1084" s="344"/>
      <c r="K1084" s="345"/>
      <c r="L1084" s="346"/>
      <c r="M1084" s="347"/>
      <c r="N1084" s="347"/>
      <c r="O1084" s="132"/>
    </row>
    <row r="1085" spans="2:15" ht="26.25" customHeight="1" x14ac:dyDescent="0.25">
      <c r="B1085" s="130"/>
      <c r="C1085" s="135"/>
      <c r="D1085" s="177"/>
      <c r="E1085" s="178"/>
      <c r="F1085" s="178"/>
      <c r="G1085" s="340"/>
      <c r="H1085" s="340"/>
      <c r="I1085" s="179"/>
      <c r="J1085" s="344"/>
      <c r="K1085" s="345"/>
      <c r="L1085" s="346"/>
      <c r="M1085" s="347"/>
      <c r="N1085" s="347"/>
      <c r="O1085" s="132"/>
    </row>
    <row r="1086" spans="2:15" ht="26.25" customHeight="1" x14ac:dyDescent="0.25">
      <c r="B1086" s="130"/>
      <c r="C1086" s="135"/>
      <c r="D1086" s="177"/>
      <c r="E1086" s="178"/>
      <c r="F1086" s="178"/>
      <c r="G1086" s="340"/>
      <c r="H1086" s="340"/>
      <c r="I1086" s="179"/>
      <c r="J1086" s="344"/>
      <c r="K1086" s="345"/>
      <c r="L1086" s="346"/>
      <c r="M1086" s="347"/>
      <c r="N1086" s="347"/>
      <c r="O1086" s="132"/>
    </row>
    <row r="1087" spans="2:15" ht="26.25" customHeight="1" x14ac:dyDescent="0.25">
      <c r="B1087" s="130"/>
      <c r="C1087" s="135"/>
      <c r="D1087" s="177"/>
      <c r="E1087" s="178"/>
      <c r="F1087" s="178"/>
      <c r="G1087" s="340"/>
      <c r="H1087" s="340"/>
      <c r="I1087" s="179"/>
      <c r="J1087" s="344"/>
      <c r="K1087" s="345"/>
      <c r="L1087" s="346"/>
      <c r="M1087" s="347"/>
      <c r="N1087" s="347"/>
      <c r="O1087" s="132"/>
    </row>
    <row r="1088" spans="2:15" ht="26.25" customHeight="1" x14ac:dyDescent="0.25">
      <c r="B1088" s="130"/>
      <c r="C1088" s="135"/>
      <c r="D1088" s="177"/>
      <c r="E1088" s="178"/>
      <c r="F1088" s="178"/>
      <c r="G1088" s="340"/>
      <c r="H1088" s="340"/>
      <c r="I1088" s="179"/>
      <c r="J1088" s="344"/>
      <c r="K1088" s="345"/>
      <c r="L1088" s="346"/>
      <c r="M1088" s="347"/>
      <c r="N1088" s="347"/>
      <c r="O1088" s="132"/>
    </row>
    <row r="1089" spans="2:15" ht="26.25" customHeight="1" x14ac:dyDescent="0.25">
      <c r="B1089" s="130"/>
      <c r="C1089" s="135"/>
      <c r="D1089" s="177"/>
      <c r="E1089" s="178"/>
      <c r="F1089" s="178"/>
      <c r="G1089" s="340"/>
      <c r="H1089" s="340"/>
      <c r="I1089" s="179"/>
      <c r="J1089" s="344"/>
      <c r="K1089" s="345"/>
      <c r="L1089" s="346"/>
      <c r="M1089" s="347"/>
      <c r="N1089" s="347"/>
      <c r="O1089" s="132"/>
    </row>
    <row r="1090" spans="2:15" ht="26.25" customHeight="1" x14ac:dyDescent="0.25">
      <c r="B1090" s="130"/>
      <c r="C1090" s="135"/>
      <c r="D1090" s="177"/>
      <c r="E1090" s="178"/>
      <c r="F1090" s="178"/>
      <c r="G1090" s="340"/>
      <c r="H1090" s="340"/>
      <c r="I1090" s="179"/>
      <c r="J1090" s="344"/>
      <c r="K1090" s="345"/>
      <c r="L1090" s="346"/>
      <c r="M1090" s="347"/>
      <c r="N1090" s="347"/>
      <c r="O1090" s="132"/>
    </row>
    <row r="1091" spans="2:15" ht="26.25" customHeight="1" x14ac:dyDescent="0.25">
      <c r="B1091" s="130"/>
      <c r="C1091" s="135"/>
      <c r="D1091" s="177"/>
      <c r="E1091" s="178"/>
      <c r="F1091" s="178"/>
      <c r="G1091" s="340"/>
      <c r="H1091" s="340"/>
      <c r="I1091" s="179"/>
      <c r="J1091" s="344"/>
      <c r="K1091" s="345"/>
      <c r="L1091" s="346"/>
      <c r="M1091" s="347"/>
      <c r="N1091" s="347"/>
      <c r="O1091" s="132"/>
    </row>
    <row r="1092" spans="2:15" ht="26.25" customHeight="1" x14ac:dyDescent="0.25">
      <c r="B1092" s="130"/>
      <c r="C1092" s="135"/>
      <c r="D1092" s="177"/>
      <c r="E1092" s="178"/>
      <c r="F1092" s="178"/>
      <c r="G1092" s="340"/>
      <c r="H1092" s="340"/>
      <c r="I1092" s="179"/>
      <c r="J1092" s="344"/>
      <c r="K1092" s="345"/>
      <c r="L1092" s="346"/>
      <c r="M1092" s="347"/>
      <c r="N1092" s="347"/>
      <c r="O1092" s="132"/>
    </row>
    <row r="1093" spans="2:15" ht="26.25" customHeight="1" x14ac:dyDescent="0.25">
      <c r="B1093" s="130"/>
      <c r="C1093" s="135"/>
      <c r="D1093" s="177"/>
      <c r="E1093" s="178"/>
      <c r="F1093" s="178"/>
      <c r="G1093" s="340"/>
      <c r="H1093" s="340"/>
      <c r="I1093" s="179"/>
      <c r="J1093" s="344"/>
      <c r="K1093" s="345"/>
      <c r="L1093" s="346"/>
      <c r="M1093" s="347"/>
      <c r="N1093" s="347"/>
      <c r="O1093" s="132"/>
    </row>
    <row r="1094" spans="2:15" ht="26.25" customHeight="1" x14ac:dyDescent="0.25">
      <c r="B1094" s="130"/>
      <c r="C1094" s="135"/>
      <c r="D1094" s="177"/>
      <c r="E1094" s="178"/>
      <c r="F1094" s="178"/>
      <c r="G1094" s="340"/>
      <c r="H1094" s="340"/>
      <c r="I1094" s="179"/>
      <c r="J1094" s="344"/>
      <c r="K1094" s="345"/>
      <c r="L1094" s="346"/>
      <c r="M1094" s="347"/>
      <c r="N1094" s="347"/>
      <c r="O1094" s="132"/>
    </row>
    <row r="1095" spans="2:15" ht="26.25" customHeight="1" x14ac:dyDescent="0.25">
      <c r="B1095" s="130"/>
      <c r="C1095" s="135"/>
      <c r="D1095" s="177"/>
      <c r="E1095" s="178"/>
      <c r="F1095" s="178"/>
      <c r="G1095" s="340"/>
      <c r="H1095" s="340"/>
      <c r="I1095" s="179"/>
      <c r="J1095" s="344"/>
      <c r="K1095" s="345"/>
      <c r="L1095" s="346"/>
      <c r="M1095" s="347"/>
      <c r="N1095" s="347"/>
      <c r="O1095" s="132"/>
    </row>
    <row r="1096" spans="2:15" ht="26.25" customHeight="1" x14ac:dyDescent="0.25">
      <c r="B1096" s="130"/>
      <c r="C1096" s="135"/>
      <c r="D1096" s="177"/>
      <c r="E1096" s="178"/>
      <c r="F1096" s="178"/>
      <c r="G1096" s="340"/>
      <c r="H1096" s="340"/>
      <c r="I1096" s="179"/>
      <c r="J1096" s="344"/>
      <c r="K1096" s="345"/>
      <c r="L1096" s="346"/>
      <c r="M1096" s="347"/>
      <c r="N1096" s="347"/>
      <c r="O1096" s="132"/>
    </row>
    <row r="1097" spans="2:15" ht="26.25" customHeight="1" x14ac:dyDescent="0.25">
      <c r="B1097" s="130"/>
      <c r="C1097" s="135"/>
      <c r="D1097" s="177"/>
      <c r="E1097" s="178"/>
      <c r="F1097" s="178"/>
      <c r="G1097" s="340"/>
      <c r="H1097" s="340"/>
      <c r="I1097" s="179"/>
      <c r="J1097" s="344"/>
      <c r="K1097" s="345"/>
      <c r="L1097" s="346"/>
      <c r="M1097" s="347"/>
      <c r="N1097" s="347"/>
      <c r="O1097" s="132"/>
    </row>
    <row r="1098" spans="2:15" ht="26.25" customHeight="1" x14ac:dyDescent="0.25">
      <c r="B1098" s="130"/>
      <c r="C1098" s="135"/>
      <c r="D1098" s="177"/>
      <c r="E1098" s="178"/>
      <c r="F1098" s="178"/>
      <c r="G1098" s="340"/>
      <c r="H1098" s="340"/>
      <c r="I1098" s="179"/>
      <c r="J1098" s="344"/>
      <c r="K1098" s="345"/>
      <c r="L1098" s="346"/>
      <c r="M1098" s="347"/>
      <c r="N1098" s="347"/>
      <c r="O1098" s="132"/>
    </row>
    <row r="1099" spans="2:15" ht="26.25" customHeight="1" x14ac:dyDescent="0.25">
      <c r="B1099" s="130"/>
      <c r="C1099" s="135"/>
      <c r="D1099" s="177"/>
      <c r="E1099" s="178"/>
      <c r="F1099" s="178"/>
      <c r="G1099" s="340"/>
      <c r="H1099" s="340"/>
      <c r="I1099" s="179"/>
      <c r="J1099" s="344"/>
      <c r="K1099" s="345"/>
      <c r="L1099" s="346"/>
      <c r="M1099" s="347"/>
      <c r="N1099" s="347"/>
      <c r="O1099" s="132"/>
    </row>
    <row r="1100" spans="2:15" ht="26.25" customHeight="1" x14ac:dyDescent="0.25">
      <c r="B1100" s="130"/>
      <c r="C1100" s="135"/>
      <c r="D1100" s="177"/>
      <c r="E1100" s="178"/>
      <c r="F1100" s="178"/>
      <c r="G1100" s="340"/>
      <c r="H1100" s="340"/>
      <c r="I1100" s="179"/>
      <c r="J1100" s="344"/>
      <c r="K1100" s="345"/>
      <c r="L1100" s="346"/>
      <c r="M1100" s="347"/>
      <c r="N1100" s="347"/>
      <c r="O1100" s="132"/>
    </row>
    <row r="1101" spans="2:15" ht="26.25" customHeight="1" x14ac:dyDescent="0.25">
      <c r="B1101" s="130"/>
      <c r="C1101" s="135"/>
      <c r="D1101" s="177"/>
      <c r="E1101" s="178"/>
      <c r="F1101" s="178"/>
      <c r="G1101" s="340"/>
      <c r="H1101" s="340"/>
      <c r="I1101" s="179"/>
      <c r="J1101" s="344"/>
      <c r="K1101" s="345"/>
      <c r="L1101" s="346"/>
      <c r="M1101" s="347"/>
      <c r="N1101" s="347"/>
      <c r="O1101" s="132"/>
    </row>
    <row r="1102" spans="2:15" ht="26.25" customHeight="1" x14ac:dyDescent="0.25">
      <c r="B1102" s="130"/>
      <c r="C1102" s="135"/>
      <c r="D1102" s="177"/>
      <c r="E1102" s="178"/>
      <c r="F1102" s="178"/>
      <c r="G1102" s="340"/>
      <c r="H1102" s="340"/>
      <c r="I1102" s="179"/>
      <c r="J1102" s="344"/>
      <c r="K1102" s="345"/>
      <c r="L1102" s="346"/>
      <c r="M1102" s="347"/>
      <c r="N1102" s="347"/>
      <c r="O1102" s="132"/>
    </row>
    <row r="1103" spans="2:15" ht="26.25" customHeight="1" x14ac:dyDescent="0.25">
      <c r="B1103" s="130"/>
      <c r="C1103" s="135"/>
      <c r="D1103" s="177"/>
      <c r="E1103" s="178"/>
      <c r="F1103" s="178"/>
      <c r="G1103" s="340"/>
      <c r="H1103" s="340"/>
      <c r="I1103" s="179"/>
      <c r="J1103" s="344"/>
      <c r="K1103" s="345"/>
      <c r="L1103" s="346"/>
      <c r="M1103" s="347"/>
      <c r="N1103" s="347"/>
      <c r="O1103" s="132"/>
    </row>
    <row r="1104" spans="2:15" ht="26.25" customHeight="1" x14ac:dyDescent="0.25">
      <c r="B1104" s="130"/>
      <c r="C1104" s="135"/>
      <c r="D1104" s="177"/>
      <c r="E1104" s="178"/>
      <c r="F1104" s="178"/>
      <c r="G1104" s="340"/>
      <c r="H1104" s="340"/>
      <c r="I1104" s="179"/>
      <c r="J1104" s="344"/>
      <c r="K1104" s="345"/>
      <c r="L1104" s="346"/>
      <c r="M1104" s="347"/>
      <c r="N1104" s="347"/>
      <c r="O1104" s="132"/>
    </row>
    <row r="1105" spans="2:15" ht="26.25" customHeight="1" x14ac:dyDescent="0.25">
      <c r="B1105" s="130"/>
      <c r="C1105" s="135"/>
      <c r="D1105" s="177"/>
      <c r="E1105" s="178"/>
      <c r="F1105" s="178"/>
      <c r="G1105" s="340"/>
      <c r="H1105" s="340"/>
      <c r="I1105" s="179"/>
      <c r="J1105" s="344"/>
      <c r="K1105" s="345"/>
      <c r="L1105" s="346"/>
      <c r="M1105" s="347"/>
      <c r="N1105" s="347"/>
      <c r="O1105" s="132"/>
    </row>
    <row r="1106" spans="2:15" ht="26.25" customHeight="1" x14ac:dyDescent="0.25">
      <c r="B1106" s="130"/>
      <c r="C1106" s="135"/>
      <c r="D1106" s="177"/>
      <c r="E1106" s="178"/>
      <c r="F1106" s="178"/>
      <c r="G1106" s="340"/>
      <c r="H1106" s="340"/>
      <c r="I1106" s="179"/>
      <c r="J1106" s="344"/>
      <c r="K1106" s="345"/>
      <c r="L1106" s="346"/>
      <c r="M1106" s="347"/>
      <c r="N1106" s="347"/>
      <c r="O1106" s="132"/>
    </row>
    <row r="1107" spans="2:15" ht="26.25" customHeight="1" x14ac:dyDescent="0.25">
      <c r="B1107" s="130"/>
      <c r="C1107" s="135"/>
      <c r="D1107" s="177"/>
      <c r="E1107" s="178"/>
      <c r="F1107" s="178"/>
      <c r="G1107" s="340"/>
      <c r="H1107" s="340"/>
      <c r="I1107" s="179"/>
      <c r="J1107" s="344"/>
      <c r="K1107" s="345"/>
      <c r="L1107" s="346"/>
      <c r="M1107" s="347"/>
      <c r="N1107" s="347"/>
      <c r="O1107" s="132"/>
    </row>
    <row r="1108" spans="2:15" ht="26.25" customHeight="1" x14ac:dyDescent="0.25">
      <c r="B1108" s="130"/>
      <c r="C1108" s="135"/>
      <c r="D1108" s="177"/>
      <c r="E1108" s="178"/>
      <c r="F1108" s="178"/>
      <c r="G1108" s="340"/>
      <c r="H1108" s="340"/>
      <c r="I1108" s="179"/>
      <c r="J1108" s="344"/>
      <c r="K1108" s="345"/>
      <c r="L1108" s="346"/>
      <c r="M1108" s="347"/>
      <c r="N1108" s="347"/>
      <c r="O1108" s="132"/>
    </row>
    <row r="1109" spans="2:15" ht="26.25" customHeight="1" x14ac:dyDescent="0.25">
      <c r="B1109" s="130"/>
      <c r="C1109" s="135"/>
      <c r="D1109" s="177"/>
      <c r="E1109" s="178"/>
      <c r="F1109" s="178"/>
      <c r="G1109" s="340"/>
      <c r="H1109" s="340"/>
      <c r="I1109" s="179"/>
      <c r="J1109" s="344"/>
      <c r="K1109" s="345"/>
      <c r="L1109" s="346"/>
      <c r="M1109" s="347"/>
      <c r="N1109" s="347"/>
      <c r="O1109" s="132"/>
    </row>
    <row r="1110" spans="2:15" ht="26.25" customHeight="1" x14ac:dyDescent="0.25">
      <c r="B1110" s="130"/>
      <c r="C1110" s="135"/>
      <c r="D1110" s="177"/>
      <c r="E1110" s="178"/>
      <c r="F1110" s="178"/>
      <c r="G1110" s="340"/>
      <c r="H1110" s="340"/>
      <c r="I1110" s="179"/>
      <c r="J1110" s="344"/>
      <c r="K1110" s="345"/>
      <c r="L1110" s="346"/>
      <c r="M1110" s="347"/>
      <c r="N1110" s="347"/>
      <c r="O1110" s="132"/>
    </row>
    <row r="1111" spans="2:15" ht="26.25" customHeight="1" x14ac:dyDescent="0.25">
      <c r="B1111" s="130"/>
      <c r="C1111" s="135"/>
      <c r="D1111" s="177"/>
      <c r="E1111" s="178"/>
      <c r="F1111" s="178"/>
      <c r="G1111" s="340"/>
      <c r="H1111" s="340"/>
      <c r="I1111" s="179"/>
      <c r="J1111" s="344"/>
      <c r="K1111" s="345"/>
      <c r="L1111" s="346"/>
      <c r="M1111" s="347"/>
      <c r="N1111" s="347"/>
      <c r="O1111" s="132"/>
    </row>
    <row r="1112" spans="2:15" ht="26.25" customHeight="1" x14ac:dyDescent="0.25">
      <c r="B1112" s="130"/>
      <c r="C1112" s="135"/>
      <c r="D1112" s="177"/>
      <c r="E1112" s="178"/>
      <c r="F1112" s="178"/>
      <c r="G1112" s="340"/>
      <c r="H1112" s="340"/>
      <c r="I1112" s="179"/>
      <c r="J1112" s="344"/>
      <c r="K1112" s="345"/>
      <c r="L1112" s="346"/>
      <c r="M1112" s="347"/>
      <c r="N1112" s="347"/>
      <c r="O1112" s="132"/>
    </row>
    <row r="1113" spans="2:15" ht="26.25" customHeight="1" x14ac:dyDescent="0.25">
      <c r="B1113" s="130"/>
      <c r="C1113" s="135"/>
      <c r="D1113" s="177"/>
      <c r="E1113" s="178"/>
      <c r="F1113" s="178"/>
      <c r="G1113" s="340"/>
      <c r="H1113" s="340"/>
      <c r="I1113" s="179"/>
      <c r="J1113" s="344"/>
      <c r="K1113" s="345"/>
      <c r="L1113" s="346"/>
      <c r="M1113" s="347"/>
      <c r="N1113" s="347"/>
      <c r="O1113" s="132"/>
    </row>
    <row r="1114" spans="2:15" ht="26.25" customHeight="1" x14ac:dyDescent="0.25">
      <c r="B1114" s="130"/>
      <c r="C1114" s="135"/>
      <c r="D1114" s="177"/>
      <c r="E1114" s="178"/>
      <c r="F1114" s="178"/>
      <c r="G1114" s="340"/>
      <c r="H1114" s="340"/>
      <c r="I1114" s="179"/>
      <c r="J1114" s="344"/>
      <c r="K1114" s="345"/>
      <c r="L1114" s="346"/>
      <c r="M1114" s="347"/>
      <c r="N1114" s="347"/>
      <c r="O1114" s="132"/>
    </row>
    <row r="1115" spans="2:15" ht="26.25" customHeight="1" x14ac:dyDescent="0.25">
      <c r="B1115" s="130"/>
      <c r="C1115" s="135"/>
      <c r="D1115" s="177"/>
      <c r="E1115" s="178"/>
      <c r="F1115" s="178"/>
      <c r="G1115" s="340"/>
      <c r="H1115" s="340"/>
      <c r="I1115" s="179"/>
      <c r="J1115" s="344"/>
      <c r="K1115" s="345"/>
      <c r="L1115" s="346"/>
      <c r="M1115" s="347"/>
      <c r="N1115" s="347"/>
      <c r="O1115" s="132"/>
    </row>
    <row r="1116" spans="2:15" ht="26.25" customHeight="1" x14ac:dyDescent="0.25">
      <c r="B1116" s="130"/>
      <c r="C1116" s="135"/>
      <c r="D1116" s="177"/>
      <c r="E1116" s="178"/>
      <c r="F1116" s="178"/>
      <c r="G1116" s="340"/>
      <c r="H1116" s="340"/>
      <c r="I1116" s="179"/>
      <c r="J1116" s="344"/>
      <c r="K1116" s="345"/>
      <c r="L1116" s="346"/>
      <c r="M1116" s="347"/>
      <c r="N1116" s="347"/>
      <c r="O1116" s="132"/>
    </row>
    <row r="1117" spans="2:15" ht="26.25" customHeight="1" x14ac:dyDescent="0.25">
      <c r="B1117" s="130"/>
      <c r="C1117" s="135"/>
      <c r="D1117" s="177"/>
      <c r="E1117" s="178"/>
      <c r="F1117" s="178"/>
      <c r="G1117" s="340"/>
      <c r="H1117" s="340"/>
      <c r="I1117" s="179"/>
      <c r="J1117" s="344"/>
      <c r="K1117" s="345"/>
      <c r="L1117" s="346"/>
      <c r="M1117" s="347"/>
      <c r="N1117" s="347"/>
      <c r="O1117" s="132"/>
    </row>
    <row r="1118" spans="2:15" ht="26.25" customHeight="1" x14ac:dyDescent="0.25">
      <c r="B1118" s="130"/>
      <c r="C1118" s="135"/>
      <c r="D1118" s="177"/>
      <c r="E1118" s="178"/>
      <c r="F1118" s="178"/>
      <c r="G1118" s="340"/>
      <c r="H1118" s="340"/>
      <c r="I1118" s="179"/>
      <c r="J1118" s="344"/>
      <c r="K1118" s="345"/>
      <c r="L1118" s="346"/>
      <c r="M1118" s="347"/>
      <c r="N1118" s="347"/>
      <c r="O1118" s="132"/>
    </row>
    <row r="1119" spans="2:15" ht="26.25" customHeight="1" x14ac:dyDescent="0.25">
      <c r="B1119" s="130"/>
      <c r="C1119" s="135"/>
      <c r="D1119" s="177"/>
      <c r="E1119" s="178"/>
      <c r="F1119" s="178"/>
      <c r="G1119" s="340"/>
      <c r="H1119" s="340"/>
      <c r="I1119" s="179"/>
      <c r="J1119" s="344"/>
      <c r="K1119" s="345"/>
      <c r="L1119" s="346"/>
      <c r="M1119" s="347"/>
      <c r="N1119" s="347"/>
      <c r="O1119" s="132"/>
    </row>
    <row r="1120" spans="2:15" ht="26.25" customHeight="1" x14ac:dyDescent="0.25">
      <c r="B1120" s="130"/>
      <c r="C1120" s="135"/>
      <c r="D1120" s="177"/>
      <c r="E1120" s="178"/>
      <c r="F1120" s="178"/>
      <c r="G1120" s="340"/>
      <c r="H1120" s="340"/>
      <c r="I1120" s="179"/>
      <c r="J1120" s="344"/>
      <c r="K1120" s="345"/>
      <c r="L1120" s="346"/>
      <c r="M1120" s="347"/>
      <c r="N1120" s="347"/>
      <c r="O1120" s="132"/>
    </row>
    <row r="1121" spans="2:15" ht="26.25" customHeight="1" x14ac:dyDescent="0.25">
      <c r="B1121" s="130"/>
      <c r="C1121" s="135"/>
      <c r="D1121" s="177"/>
      <c r="E1121" s="178"/>
      <c r="F1121" s="178"/>
      <c r="G1121" s="340"/>
      <c r="H1121" s="340"/>
      <c r="I1121" s="179"/>
      <c r="J1121" s="344"/>
      <c r="K1121" s="345"/>
      <c r="L1121" s="346"/>
      <c r="M1121" s="347"/>
      <c r="N1121" s="347"/>
      <c r="O1121" s="132"/>
    </row>
    <row r="1122" spans="2:15" ht="26.25" customHeight="1" x14ac:dyDescent="0.25">
      <c r="B1122" s="130"/>
      <c r="C1122" s="135"/>
      <c r="D1122" s="177"/>
      <c r="E1122" s="178"/>
      <c r="F1122" s="178"/>
      <c r="G1122" s="340"/>
      <c r="H1122" s="340"/>
      <c r="I1122" s="179"/>
      <c r="J1122" s="344"/>
      <c r="K1122" s="345"/>
      <c r="L1122" s="346"/>
      <c r="M1122" s="347"/>
      <c r="N1122" s="347"/>
      <c r="O1122" s="132"/>
    </row>
    <row r="1123" spans="2:15" ht="26.25" customHeight="1" x14ac:dyDescent="0.25">
      <c r="B1123" s="130"/>
      <c r="C1123" s="135"/>
      <c r="D1123" s="177"/>
      <c r="E1123" s="178"/>
      <c r="F1123" s="178"/>
      <c r="G1123" s="340"/>
      <c r="H1123" s="340"/>
      <c r="I1123" s="179"/>
      <c r="J1123" s="344"/>
      <c r="K1123" s="345"/>
      <c r="L1123" s="346"/>
      <c r="M1123" s="347"/>
      <c r="N1123" s="347"/>
      <c r="O1123" s="132"/>
    </row>
    <row r="1124" spans="2:15" ht="26.25" customHeight="1" x14ac:dyDescent="0.25">
      <c r="B1124" s="130"/>
      <c r="C1124" s="135"/>
      <c r="D1124" s="177"/>
      <c r="E1124" s="178"/>
      <c r="F1124" s="178"/>
      <c r="G1124" s="340"/>
      <c r="H1124" s="340"/>
      <c r="I1124" s="179"/>
      <c r="J1124" s="344"/>
      <c r="K1124" s="345"/>
      <c r="L1124" s="346"/>
      <c r="M1124" s="347"/>
      <c r="N1124" s="347"/>
      <c r="O1124" s="132"/>
    </row>
    <row r="1125" spans="2:15" ht="26.25" customHeight="1" x14ac:dyDescent="0.25">
      <c r="B1125" s="130"/>
      <c r="C1125" s="135"/>
      <c r="D1125" s="177"/>
      <c r="E1125" s="178"/>
      <c r="F1125" s="178"/>
      <c r="G1125" s="340"/>
      <c r="H1125" s="340"/>
      <c r="I1125" s="179"/>
      <c r="J1125" s="344"/>
      <c r="K1125" s="345"/>
      <c r="L1125" s="346"/>
      <c r="M1125" s="347"/>
      <c r="N1125" s="347"/>
      <c r="O1125" s="132"/>
    </row>
    <row r="1126" spans="2:15" ht="26.25" customHeight="1" x14ac:dyDescent="0.25">
      <c r="B1126" s="130"/>
      <c r="C1126" s="135"/>
      <c r="D1126" s="177"/>
      <c r="E1126" s="178"/>
      <c r="F1126" s="178"/>
      <c r="G1126" s="340"/>
      <c r="H1126" s="340"/>
      <c r="I1126" s="179"/>
      <c r="J1126" s="344"/>
      <c r="K1126" s="345"/>
      <c r="L1126" s="346"/>
      <c r="M1126" s="347"/>
      <c r="N1126" s="347"/>
      <c r="O1126" s="132"/>
    </row>
    <row r="1127" spans="2:15" ht="26.25" customHeight="1" x14ac:dyDescent="0.25">
      <c r="B1127" s="130"/>
      <c r="C1127" s="135"/>
      <c r="D1127" s="177"/>
      <c r="E1127" s="178"/>
      <c r="F1127" s="178"/>
      <c r="G1127" s="340"/>
      <c r="H1127" s="340"/>
      <c r="I1127" s="179"/>
      <c r="J1127" s="344"/>
      <c r="K1127" s="345"/>
      <c r="L1127" s="346"/>
      <c r="M1127" s="347"/>
      <c r="N1127" s="347"/>
      <c r="O1127" s="132"/>
    </row>
    <row r="1128" spans="2:15" ht="26.25" customHeight="1" x14ac:dyDescent="0.25">
      <c r="B1128" s="130"/>
      <c r="C1128" s="135"/>
      <c r="D1128" s="177"/>
      <c r="E1128" s="178"/>
      <c r="F1128" s="178"/>
      <c r="G1128" s="340"/>
      <c r="H1128" s="340"/>
      <c r="I1128" s="179"/>
      <c r="J1128" s="344"/>
      <c r="K1128" s="345"/>
      <c r="L1128" s="346"/>
      <c r="M1128" s="347"/>
      <c r="N1128" s="347"/>
      <c r="O1128" s="132"/>
    </row>
    <row r="1129" spans="2:15" ht="26.25" customHeight="1" x14ac:dyDescent="0.25">
      <c r="B1129" s="130"/>
      <c r="C1129" s="135"/>
      <c r="D1129" s="177"/>
      <c r="E1129" s="178"/>
      <c r="F1129" s="178"/>
      <c r="G1129" s="340"/>
      <c r="H1129" s="340"/>
      <c r="I1129" s="179"/>
      <c r="J1129" s="344"/>
      <c r="K1129" s="345"/>
      <c r="L1129" s="346"/>
      <c r="M1129" s="347"/>
      <c r="N1129" s="347"/>
      <c r="O1129" s="132"/>
    </row>
    <row r="1130" spans="2:15" ht="26.25" customHeight="1" x14ac:dyDescent="0.25">
      <c r="B1130" s="130"/>
      <c r="C1130" s="135"/>
      <c r="D1130" s="177"/>
      <c r="E1130" s="178"/>
      <c r="F1130" s="178"/>
      <c r="G1130" s="340"/>
      <c r="H1130" s="340"/>
      <c r="I1130" s="179"/>
      <c r="J1130" s="344"/>
      <c r="K1130" s="345"/>
      <c r="L1130" s="346"/>
      <c r="M1130" s="347"/>
      <c r="N1130" s="347"/>
      <c r="O1130" s="132"/>
    </row>
    <row r="1131" spans="2:15" ht="26.25" customHeight="1" x14ac:dyDescent="0.25">
      <c r="B1131" s="130"/>
      <c r="C1131" s="135"/>
      <c r="D1131" s="177"/>
      <c r="E1131" s="178"/>
      <c r="F1131" s="178"/>
      <c r="G1131" s="340"/>
      <c r="H1131" s="340"/>
      <c r="I1131" s="179"/>
      <c r="J1131" s="344"/>
      <c r="K1131" s="345"/>
      <c r="L1131" s="346"/>
      <c r="M1131" s="347"/>
      <c r="N1131" s="347"/>
      <c r="O1131" s="132"/>
    </row>
    <row r="1132" spans="2:15" ht="26.25" customHeight="1" x14ac:dyDescent="0.25">
      <c r="B1132" s="130"/>
      <c r="C1132" s="135"/>
      <c r="D1132" s="177"/>
      <c r="E1132" s="178"/>
      <c r="F1132" s="178"/>
      <c r="G1132" s="340"/>
      <c r="H1132" s="340"/>
      <c r="I1132" s="179"/>
      <c r="J1132" s="344"/>
      <c r="K1132" s="345"/>
      <c r="L1132" s="346"/>
      <c r="M1132" s="347"/>
      <c r="N1132" s="347"/>
      <c r="O1132" s="132"/>
    </row>
    <row r="1133" spans="2:15" ht="26.25" customHeight="1" x14ac:dyDescent="0.25">
      <c r="B1133" s="130"/>
      <c r="C1133" s="135"/>
      <c r="D1133" s="177"/>
      <c r="E1133" s="178"/>
      <c r="F1133" s="178"/>
      <c r="G1133" s="340"/>
      <c r="H1133" s="340"/>
      <c r="I1133" s="179"/>
      <c r="J1133" s="344"/>
      <c r="K1133" s="345"/>
      <c r="L1133" s="346"/>
      <c r="M1133" s="347"/>
      <c r="N1133" s="347"/>
      <c r="O1133" s="132"/>
    </row>
    <row r="1134" spans="2:15" ht="26.25" customHeight="1" x14ac:dyDescent="0.25">
      <c r="B1134" s="130"/>
      <c r="C1134" s="135"/>
      <c r="D1134" s="177"/>
      <c r="E1134" s="178"/>
      <c r="F1134" s="178"/>
      <c r="G1134" s="340"/>
      <c r="H1134" s="340"/>
      <c r="I1134" s="179"/>
      <c r="J1134" s="344"/>
      <c r="K1134" s="345"/>
      <c r="L1134" s="346"/>
      <c r="M1134" s="347"/>
      <c r="N1134" s="347"/>
      <c r="O1134" s="132"/>
    </row>
    <row r="1135" spans="2:15" ht="26.25" customHeight="1" x14ac:dyDescent="0.25">
      <c r="B1135" s="130"/>
      <c r="C1135" s="135"/>
      <c r="D1135" s="177"/>
      <c r="E1135" s="178"/>
      <c r="F1135" s="178"/>
      <c r="G1135" s="340"/>
      <c r="H1135" s="340"/>
      <c r="I1135" s="179"/>
      <c r="J1135" s="344"/>
      <c r="K1135" s="345"/>
      <c r="L1135" s="346"/>
      <c r="M1135" s="347"/>
      <c r="N1135" s="347"/>
      <c r="O1135" s="132"/>
    </row>
    <row r="1136" spans="2:15" ht="26.25" customHeight="1" x14ac:dyDescent="0.25">
      <c r="B1136" s="130"/>
      <c r="C1136" s="135"/>
      <c r="D1136" s="177"/>
      <c r="E1136" s="178"/>
      <c r="F1136" s="178"/>
      <c r="G1136" s="340"/>
      <c r="H1136" s="340"/>
      <c r="I1136" s="179"/>
      <c r="J1136" s="344"/>
      <c r="K1136" s="345"/>
      <c r="L1136" s="346"/>
      <c r="M1136" s="347"/>
      <c r="N1136" s="347"/>
      <c r="O1136" s="132"/>
    </row>
    <row r="1137" spans="2:15" ht="26.25" customHeight="1" x14ac:dyDescent="0.25">
      <c r="B1137" s="130"/>
      <c r="C1137" s="135"/>
      <c r="D1137" s="177"/>
      <c r="E1137" s="178"/>
      <c r="F1137" s="178"/>
      <c r="G1137" s="340"/>
      <c r="H1137" s="340"/>
      <c r="I1137" s="179"/>
      <c r="J1137" s="344"/>
      <c r="K1137" s="345"/>
      <c r="L1137" s="346"/>
      <c r="M1137" s="347"/>
      <c r="N1137" s="347"/>
      <c r="O1137" s="132"/>
    </row>
    <row r="1138" spans="2:15" ht="26.25" customHeight="1" x14ac:dyDescent="0.25">
      <c r="B1138" s="130"/>
      <c r="C1138" s="135"/>
      <c r="D1138" s="177"/>
      <c r="E1138" s="178"/>
      <c r="F1138" s="178"/>
      <c r="G1138" s="340"/>
      <c r="H1138" s="340"/>
      <c r="I1138" s="179"/>
      <c r="J1138" s="344"/>
      <c r="K1138" s="345"/>
      <c r="L1138" s="346"/>
      <c r="M1138" s="347"/>
      <c r="N1138" s="347"/>
      <c r="O1138" s="132"/>
    </row>
    <row r="1139" spans="2:15" ht="26.25" customHeight="1" x14ac:dyDescent="0.25">
      <c r="B1139" s="130"/>
      <c r="C1139" s="135"/>
      <c r="D1139" s="177"/>
      <c r="E1139" s="178"/>
      <c r="F1139" s="178"/>
      <c r="G1139" s="340"/>
      <c r="H1139" s="340"/>
      <c r="I1139" s="179"/>
      <c r="J1139" s="344"/>
      <c r="K1139" s="345"/>
      <c r="L1139" s="346"/>
      <c r="M1139" s="347"/>
      <c r="N1139" s="347"/>
      <c r="O1139" s="132"/>
    </row>
    <row r="1140" spans="2:15" ht="26.25" customHeight="1" x14ac:dyDescent="0.25">
      <c r="B1140" s="130"/>
      <c r="C1140" s="135"/>
      <c r="D1140" s="177"/>
      <c r="E1140" s="178"/>
      <c r="F1140" s="178"/>
      <c r="G1140" s="340"/>
      <c r="H1140" s="340"/>
      <c r="I1140" s="179"/>
      <c r="J1140" s="344"/>
      <c r="K1140" s="345"/>
      <c r="L1140" s="346"/>
      <c r="M1140" s="347"/>
      <c r="N1140" s="347"/>
      <c r="O1140" s="132"/>
    </row>
    <row r="1141" spans="2:15" ht="26.25" customHeight="1" x14ac:dyDescent="0.25">
      <c r="B1141" s="130"/>
      <c r="C1141" s="135"/>
      <c r="D1141" s="177"/>
      <c r="E1141" s="178"/>
      <c r="F1141" s="178"/>
      <c r="G1141" s="340"/>
      <c r="H1141" s="340"/>
      <c r="I1141" s="179"/>
      <c r="J1141" s="344"/>
      <c r="K1141" s="345"/>
      <c r="L1141" s="346"/>
      <c r="M1141" s="347"/>
      <c r="N1141" s="347"/>
      <c r="O1141" s="132"/>
    </row>
    <row r="1142" spans="2:15" ht="26.25" customHeight="1" x14ac:dyDescent="0.25">
      <c r="B1142" s="130"/>
      <c r="C1142" s="135"/>
      <c r="D1142" s="177"/>
      <c r="E1142" s="178"/>
      <c r="F1142" s="178"/>
      <c r="G1142" s="340"/>
      <c r="H1142" s="340"/>
      <c r="I1142" s="179"/>
      <c r="J1142" s="344"/>
      <c r="K1142" s="345"/>
      <c r="L1142" s="346"/>
      <c r="M1142" s="347"/>
      <c r="N1142" s="347"/>
      <c r="O1142" s="132"/>
    </row>
    <row r="1143" spans="2:15" ht="26.25" customHeight="1" x14ac:dyDescent="0.25">
      <c r="B1143" s="130"/>
      <c r="C1143" s="135"/>
      <c r="D1143" s="177"/>
      <c r="E1143" s="178"/>
      <c r="F1143" s="178"/>
      <c r="G1143" s="340"/>
      <c r="H1143" s="340"/>
      <c r="I1143" s="179"/>
      <c r="J1143" s="344"/>
      <c r="K1143" s="345"/>
      <c r="L1143" s="346"/>
      <c r="M1143" s="347"/>
      <c r="N1143" s="347"/>
      <c r="O1143" s="132"/>
    </row>
    <row r="1144" spans="2:15" ht="26.25" customHeight="1" x14ac:dyDescent="0.25">
      <c r="B1144" s="130"/>
      <c r="C1144" s="135"/>
      <c r="D1144" s="177"/>
      <c r="E1144" s="178"/>
      <c r="F1144" s="178"/>
      <c r="G1144" s="340"/>
      <c r="H1144" s="340"/>
      <c r="I1144" s="179"/>
      <c r="J1144" s="344"/>
      <c r="K1144" s="345"/>
      <c r="L1144" s="346"/>
      <c r="M1144" s="347"/>
      <c r="N1144" s="347"/>
      <c r="O1144" s="132"/>
    </row>
    <row r="1145" spans="2:15" ht="26.25" customHeight="1" x14ac:dyDescent="0.25">
      <c r="B1145" s="130"/>
      <c r="C1145" s="135"/>
      <c r="D1145" s="177"/>
      <c r="E1145" s="178"/>
      <c r="F1145" s="178"/>
      <c r="G1145" s="340"/>
      <c r="H1145" s="340"/>
      <c r="I1145" s="179"/>
      <c r="J1145" s="344"/>
      <c r="K1145" s="345"/>
      <c r="L1145" s="346"/>
      <c r="M1145" s="347"/>
      <c r="N1145" s="347"/>
      <c r="O1145" s="132"/>
    </row>
    <row r="1146" spans="2:15" ht="26.25" customHeight="1" x14ac:dyDescent="0.25">
      <c r="B1146" s="130"/>
      <c r="C1146" s="135"/>
      <c r="D1146" s="177"/>
      <c r="E1146" s="178"/>
      <c r="F1146" s="178"/>
      <c r="G1146" s="340"/>
      <c r="H1146" s="340"/>
      <c r="I1146" s="179"/>
      <c r="J1146" s="344"/>
      <c r="K1146" s="345"/>
      <c r="L1146" s="346"/>
      <c r="M1146" s="347"/>
      <c r="N1146" s="347"/>
      <c r="O1146" s="132"/>
    </row>
    <row r="1147" spans="2:15" ht="26.25" customHeight="1" x14ac:dyDescent="0.25">
      <c r="B1147" s="130"/>
      <c r="C1147" s="135"/>
      <c r="D1147" s="177"/>
      <c r="E1147" s="178"/>
      <c r="F1147" s="178"/>
      <c r="G1147" s="340"/>
      <c r="H1147" s="340"/>
      <c r="I1147" s="179"/>
      <c r="J1147" s="344"/>
      <c r="K1147" s="345"/>
      <c r="L1147" s="346"/>
      <c r="M1147" s="347"/>
      <c r="N1147" s="347"/>
      <c r="O1147" s="132"/>
    </row>
    <row r="1148" spans="2:15" ht="26.25" customHeight="1" x14ac:dyDescent="0.25">
      <c r="B1148" s="130"/>
      <c r="C1148" s="135"/>
      <c r="D1148" s="177"/>
      <c r="E1148" s="178"/>
      <c r="F1148" s="178"/>
      <c r="G1148" s="340"/>
      <c r="H1148" s="340"/>
      <c r="I1148" s="179"/>
      <c r="J1148" s="344"/>
      <c r="K1148" s="345"/>
      <c r="L1148" s="346"/>
      <c r="M1148" s="347"/>
      <c r="N1148" s="347"/>
      <c r="O1148" s="132"/>
    </row>
    <row r="1149" spans="2:15" ht="26.25" customHeight="1" x14ac:dyDescent="0.25">
      <c r="B1149" s="130"/>
      <c r="C1149" s="135"/>
      <c r="D1149" s="177"/>
      <c r="E1149" s="178"/>
      <c r="F1149" s="178"/>
      <c r="G1149" s="340"/>
      <c r="H1149" s="340"/>
      <c r="I1149" s="179"/>
      <c r="J1149" s="344"/>
      <c r="K1149" s="345"/>
      <c r="L1149" s="346"/>
      <c r="M1149" s="347"/>
      <c r="N1149" s="347"/>
      <c r="O1149" s="132"/>
    </row>
    <row r="1150" spans="2:15" ht="26.25" customHeight="1" x14ac:dyDescent="0.25">
      <c r="B1150" s="130"/>
      <c r="C1150" s="135"/>
      <c r="D1150" s="177"/>
      <c r="E1150" s="178"/>
      <c r="F1150" s="178"/>
      <c r="G1150" s="340"/>
      <c r="H1150" s="340"/>
      <c r="I1150" s="179"/>
      <c r="J1150" s="344"/>
      <c r="K1150" s="345"/>
      <c r="L1150" s="346"/>
      <c r="M1150" s="347"/>
      <c r="N1150" s="347"/>
      <c r="O1150" s="132"/>
    </row>
    <row r="1151" spans="2:15" ht="26.25" customHeight="1" x14ac:dyDescent="0.25">
      <c r="B1151" s="130"/>
      <c r="C1151" s="135"/>
      <c r="D1151" s="177"/>
      <c r="E1151" s="178"/>
      <c r="F1151" s="178"/>
      <c r="G1151" s="340"/>
      <c r="H1151" s="340"/>
      <c r="I1151" s="179"/>
      <c r="J1151" s="344"/>
      <c r="K1151" s="345"/>
      <c r="L1151" s="346"/>
      <c r="M1151" s="347"/>
      <c r="N1151" s="347"/>
      <c r="O1151" s="132"/>
    </row>
    <row r="1152" spans="2:15" ht="26.25" customHeight="1" x14ac:dyDescent="0.25">
      <c r="B1152" s="130"/>
      <c r="C1152" s="135"/>
      <c r="D1152" s="177"/>
      <c r="E1152" s="178"/>
      <c r="F1152" s="178"/>
      <c r="G1152" s="340"/>
      <c r="H1152" s="340"/>
      <c r="I1152" s="179"/>
      <c r="J1152" s="344"/>
      <c r="K1152" s="345"/>
      <c r="L1152" s="346"/>
      <c r="M1152" s="347"/>
      <c r="N1152" s="347"/>
      <c r="O1152" s="132"/>
    </row>
    <row r="1153" spans="2:15" ht="26.25" customHeight="1" x14ac:dyDescent="0.25">
      <c r="B1153" s="130"/>
      <c r="C1153" s="135"/>
      <c r="D1153" s="177"/>
      <c r="E1153" s="178"/>
      <c r="F1153" s="178"/>
      <c r="G1153" s="340"/>
      <c r="H1153" s="340"/>
      <c r="I1153" s="179"/>
      <c r="J1153" s="344"/>
      <c r="K1153" s="345"/>
      <c r="L1153" s="346"/>
      <c r="M1153" s="347"/>
      <c r="N1153" s="347"/>
      <c r="O1153" s="132"/>
    </row>
    <row r="1154" spans="2:15" ht="26.25" customHeight="1" x14ac:dyDescent="0.25">
      <c r="B1154" s="130"/>
      <c r="C1154" s="135"/>
      <c r="D1154" s="177"/>
      <c r="E1154" s="178"/>
      <c r="F1154" s="178"/>
      <c r="G1154" s="340"/>
      <c r="H1154" s="340"/>
      <c r="I1154" s="179"/>
      <c r="J1154" s="344"/>
      <c r="K1154" s="345"/>
      <c r="L1154" s="346"/>
      <c r="M1154" s="347"/>
      <c r="N1154" s="347"/>
      <c r="O1154" s="132"/>
    </row>
    <row r="1155" spans="2:15" ht="26.25" customHeight="1" x14ac:dyDescent="0.25">
      <c r="B1155" s="130"/>
      <c r="C1155" s="135"/>
      <c r="D1155" s="177"/>
      <c r="E1155" s="178"/>
      <c r="F1155" s="178"/>
      <c r="G1155" s="340"/>
      <c r="H1155" s="340"/>
      <c r="I1155" s="179"/>
      <c r="J1155" s="344"/>
      <c r="K1155" s="345"/>
      <c r="L1155" s="346"/>
      <c r="M1155" s="347"/>
      <c r="N1155" s="347"/>
      <c r="O1155" s="132"/>
    </row>
    <row r="1156" spans="2:15" ht="26.25" customHeight="1" x14ac:dyDescent="0.25">
      <c r="B1156" s="130"/>
      <c r="C1156" s="135"/>
      <c r="D1156" s="177"/>
      <c r="E1156" s="178"/>
      <c r="F1156" s="178"/>
      <c r="G1156" s="340"/>
      <c r="H1156" s="340"/>
      <c r="I1156" s="179"/>
      <c r="J1156" s="344"/>
      <c r="K1156" s="345"/>
      <c r="L1156" s="346"/>
      <c r="M1156" s="347"/>
      <c r="N1156" s="347"/>
      <c r="O1156" s="132"/>
    </row>
    <row r="1157" spans="2:15" ht="26.25" customHeight="1" x14ac:dyDescent="0.25">
      <c r="B1157" s="130"/>
      <c r="C1157" s="135"/>
      <c r="D1157" s="177"/>
      <c r="E1157" s="178"/>
      <c r="F1157" s="178"/>
      <c r="G1157" s="340"/>
      <c r="H1157" s="340"/>
      <c r="I1157" s="179"/>
      <c r="J1157" s="344"/>
      <c r="K1157" s="345"/>
      <c r="L1157" s="346"/>
      <c r="M1157" s="347"/>
      <c r="N1157" s="347"/>
      <c r="O1157" s="132"/>
    </row>
    <row r="1158" spans="2:15" ht="26.25" customHeight="1" x14ac:dyDescent="0.25">
      <c r="B1158" s="130"/>
      <c r="C1158" s="135"/>
      <c r="D1158" s="177"/>
      <c r="E1158" s="178"/>
      <c r="F1158" s="178"/>
      <c r="G1158" s="340"/>
      <c r="H1158" s="340"/>
      <c r="I1158" s="179"/>
      <c r="J1158" s="344"/>
      <c r="K1158" s="345"/>
      <c r="L1158" s="346"/>
      <c r="M1158" s="347"/>
      <c r="N1158" s="347"/>
      <c r="O1158" s="132"/>
    </row>
    <row r="1159" spans="2:15" ht="26.25" customHeight="1" x14ac:dyDescent="0.25">
      <c r="B1159" s="130"/>
      <c r="C1159" s="135"/>
      <c r="D1159" s="177"/>
      <c r="E1159" s="178"/>
      <c r="F1159" s="178"/>
      <c r="G1159" s="340"/>
      <c r="H1159" s="340"/>
      <c r="I1159" s="179"/>
      <c r="J1159" s="344"/>
      <c r="K1159" s="345"/>
      <c r="L1159" s="346"/>
      <c r="M1159" s="347"/>
      <c r="N1159" s="347"/>
      <c r="O1159" s="132"/>
    </row>
    <row r="1160" spans="2:15" ht="26.25" customHeight="1" x14ac:dyDescent="0.25">
      <c r="B1160" s="130"/>
      <c r="C1160" s="135"/>
      <c r="D1160" s="177"/>
      <c r="E1160" s="178"/>
      <c r="F1160" s="178"/>
      <c r="G1160" s="340"/>
      <c r="H1160" s="340"/>
      <c r="I1160" s="179"/>
      <c r="J1160" s="344"/>
      <c r="K1160" s="345"/>
      <c r="L1160" s="346"/>
      <c r="M1160" s="347"/>
      <c r="N1160" s="347"/>
      <c r="O1160" s="132"/>
    </row>
    <row r="1161" spans="2:15" ht="26.25" customHeight="1" x14ac:dyDescent="0.25">
      <c r="B1161" s="130"/>
      <c r="C1161" s="135"/>
      <c r="D1161" s="177"/>
      <c r="E1161" s="178"/>
      <c r="F1161" s="178"/>
      <c r="G1161" s="340"/>
      <c r="H1161" s="340"/>
      <c r="I1161" s="179"/>
      <c r="J1161" s="344"/>
      <c r="K1161" s="345"/>
      <c r="L1161" s="346"/>
      <c r="M1161" s="347"/>
      <c r="N1161" s="347"/>
      <c r="O1161" s="132"/>
    </row>
    <row r="1162" spans="2:15" ht="26.25" customHeight="1" x14ac:dyDescent="0.25">
      <c r="B1162" s="130"/>
      <c r="C1162" s="135"/>
      <c r="D1162" s="177"/>
      <c r="E1162" s="178"/>
      <c r="F1162" s="178"/>
      <c r="G1162" s="340"/>
      <c r="H1162" s="340"/>
      <c r="I1162" s="179"/>
      <c r="J1162" s="344"/>
      <c r="K1162" s="345"/>
      <c r="L1162" s="346"/>
      <c r="M1162" s="347"/>
      <c r="N1162" s="347"/>
      <c r="O1162" s="132"/>
    </row>
    <row r="1163" spans="2:15" ht="26.25" customHeight="1" x14ac:dyDescent="0.25">
      <c r="B1163" s="130"/>
      <c r="C1163" s="135"/>
      <c r="D1163" s="177"/>
      <c r="E1163" s="178"/>
      <c r="F1163" s="178"/>
      <c r="G1163" s="340"/>
      <c r="H1163" s="340"/>
      <c r="I1163" s="179"/>
      <c r="J1163" s="344"/>
      <c r="K1163" s="345"/>
      <c r="L1163" s="346"/>
      <c r="M1163" s="347"/>
      <c r="N1163" s="347"/>
      <c r="O1163" s="132"/>
    </row>
    <row r="1164" spans="2:15" ht="26.25" customHeight="1" x14ac:dyDescent="0.25">
      <c r="B1164" s="130"/>
      <c r="C1164" s="135"/>
      <c r="D1164" s="177"/>
      <c r="E1164" s="178"/>
      <c r="F1164" s="178"/>
      <c r="G1164" s="340"/>
      <c r="H1164" s="340"/>
      <c r="I1164" s="179"/>
      <c r="J1164" s="344"/>
      <c r="K1164" s="345"/>
      <c r="L1164" s="346"/>
      <c r="M1164" s="347"/>
      <c r="N1164" s="347"/>
      <c r="O1164" s="132"/>
    </row>
    <row r="1165" spans="2:15" ht="26.25" customHeight="1" x14ac:dyDescent="0.25">
      <c r="B1165" s="130"/>
      <c r="C1165" s="135"/>
      <c r="D1165" s="177"/>
      <c r="E1165" s="178"/>
      <c r="F1165" s="178"/>
      <c r="G1165" s="340"/>
      <c r="H1165" s="340"/>
      <c r="I1165" s="179"/>
      <c r="J1165" s="344"/>
      <c r="K1165" s="345"/>
      <c r="L1165" s="346"/>
      <c r="M1165" s="347"/>
      <c r="N1165" s="347"/>
      <c r="O1165" s="132"/>
    </row>
    <row r="1166" spans="2:15" ht="26.25" customHeight="1" x14ac:dyDescent="0.25">
      <c r="B1166" s="130"/>
      <c r="C1166" s="135"/>
      <c r="D1166" s="177"/>
      <c r="E1166" s="178"/>
      <c r="F1166" s="178"/>
      <c r="G1166" s="340"/>
      <c r="H1166" s="340"/>
      <c r="I1166" s="179"/>
      <c r="J1166" s="344"/>
      <c r="K1166" s="345"/>
      <c r="L1166" s="346"/>
      <c r="M1166" s="347"/>
      <c r="N1166" s="347"/>
      <c r="O1166" s="132"/>
    </row>
    <row r="1167" spans="2:15" ht="26.25" customHeight="1" x14ac:dyDescent="0.25">
      <c r="B1167" s="130"/>
      <c r="C1167" s="135"/>
      <c r="D1167" s="177"/>
      <c r="E1167" s="178"/>
      <c r="F1167" s="178"/>
      <c r="G1167" s="340"/>
      <c r="H1167" s="340"/>
      <c r="I1167" s="179"/>
      <c r="J1167" s="344"/>
      <c r="K1167" s="345"/>
      <c r="L1167" s="346"/>
      <c r="M1167" s="347"/>
      <c r="N1167" s="347"/>
      <c r="O1167" s="132"/>
    </row>
    <row r="1168" spans="2:15" ht="26.25" customHeight="1" x14ac:dyDescent="0.25">
      <c r="B1168" s="130"/>
      <c r="C1168" s="135"/>
      <c r="D1168" s="177"/>
      <c r="E1168" s="178"/>
      <c r="F1168" s="178"/>
      <c r="G1168" s="340"/>
      <c r="H1168" s="340"/>
      <c r="I1168" s="179"/>
      <c r="J1168" s="344"/>
      <c r="K1168" s="345"/>
      <c r="L1168" s="346"/>
      <c r="M1168" s="347"/>
      <c r="N1168" s="347"/>
      <c r="O1168" s="132"/>
    </row>
    <row r="1169" spans="2:15" ht="26.25" customHeight="1" x14ac:dyDescent="0.25">
      <c r="B1169" s="130"/>
      <c r="C1169" s="135"/>
      <c r="D1169" s="177"/>
      <c r="E1169" s="178"/>
      <c r="F1169" s="178"/>
      <c r="G1169" s="340"/>
      <c r="H1169" s="340"/>
      <c r="I1169" s="179"/>
      <c r="J1169" s="344"/>
      <c r="K1169" s="345"/>
      <c r="L1169" s="346"/>
      <c r="M1169" s="347"/>
      <c r="N1169" s="347"/>
      <c r="O1169" s="132"/>
    </row>
    <row r="1170" spans="2:15" ht="26.25" customHeight="1" x14ac:dyDescent="0.25">
      <c r="B1170" s="130"/>
      <c r="C1170" s="135"/>
      <c r="D1170" s="177"/>
      <c r="E1170" s="178"/>
      <c r="F1170" s="178"/>
      <c r="G1170" s="340"/>
      <c r="H1170" s="340"/>
      <c r="I1170" s="179"/>
      <c r="J1170" s="344"/>
      <c r="K1170" s="345"/>
      <c r="L1170" s="346"/>
      <c r="M1170" s="347"/>
      <c r="N1170" s="347"/>
      <c r="O1170" s="132"/>
    </row>
    <row r="1171" spans="2:15" ht="26.25" customHeight="1" x14ac:dyDescent="0.25">
      <c r="B1171" s="130"/>
      <c r="C1171" s="135"/>
      <c r="D1171" s="177"/>
      <c r="E1171" s="178"/>
      <c r="F1171" s="178"/>
      <c r="G1171" s="340"/>
      <c r="H1171" s="340"/>
      <c r="I1171" s="179"/>
      <c r="J1171" s="344"/>
      <c r="K1171" s="345"/>
      <c r="L1171" s="346"/>
      <c r="M1171" s="347"/>
      <c r="N1171" s="347"/>
      <c r="O1171" s="132"/>
    </row>
    <row r="1172" spans="2:15" ht="26.25" customHeight="1" x14ac:dyDescent="0.25">
      <c r="B1172" s="130"/>
      <c r="C1172" s="135"/>
      <c r="D1172" s="177"/>
      <c r="E1172" s="178"/>
      <c r="F1172" s="178"/>
      <c r="G1172" s="340"/>
      <c r="H1172" s="340"/>
      <c r="I1172" s="179"/>
      <c r="J1172" s="344"/>
      <c r="K1172" s="345"/>
      <c r="L1172" s="346"/>
      <c r="M1172" s="347"/>
      <c r="N1172" s="347"/>
      <c r="O1172" s="132"/>
    </row>
    <row r="1173" spans="2:15" ht="26.25" customHeight="1" x14ac:dyDescent="0.25">
      <c r="B1173" s="130"/>
      <c r="C1173" s="135"/>
      <c r="D1173" s="177"/>
      <c r="E1173" s="178"/>
      <c r="F1173" s="178"/>
      <c r="G1173" s="340"/>
      <c r="H1173" s="340"/>
      <c r="I1173" s="179"/>
      <c r="J1173" s="344"/>
      <c r="K1173" s="345"/>
      <c r="L1173" s="346"/>
      <c r="M1173" s="347"/>
      <c r="N1173" s="347"/>
      <c r="O1173" s="132"/>
    </row>
    <row r="1174" spans="2:15" ht="26.25" customHeight="1" x14ac:dyDescent="0.25">
      <c r="B1174" s="130"/>
      <c r="C1174" s="135"/>
      <c r="D1174" s="177"/>
      <c r="E1174" s="178"/>
      <c r="F1174" s="178"/>
      <c r="G1174" s="340"/>
      <c r="H1174" s="340"/>
      <c r="I1174" s="179"/>
      <c r="J1174" s="344"/>
      <c r="K1174" s="345"/>
      <c r="L1174" s="346"/>
      <c r="M1174" s="347"/>
      <c r="N1174" s="347"/>
      <c r="O1174" s="132"/>
    </row>
    <row r="1175" spans="2:15" ht="26.25" customHeight="1" x14ac:dyDescent="0.25">
      <c r="B1175" s="130"/>
      <c r="C1175" s="135"/>
      <c r="D1175" s="177"/>
      <c r="E1175" s="178"/>
      <c r="F1175" s="178"/>
      <c r="G1175" s="340"/>
      <c r="H1175" s="340"/>
      <c r="I1175" s="179"/>
      <c r="J1175" s="344"/>
      <c r="K1175" s="345"/>
      <c r="L1175" s="346"/>
      <c r="M1175" s="347"/>
      <c r="N1175" s="347"/>
      <c r="O1175" s="132"/>
    </row>
    <row r="1176" spans="2:15" ht="26.25" customHeight="1" x14ac:dyDescent="0.25">
      <c r="B1176" s="130"/>
      <c r="C1176" s="135"/>
      <c r="D1176" s="177"/>
      <c r="E1176" s="178"/>
      <c r="F1176" s="178"/>
      <c r="G1176" s="340"/>
      <c r="H1176" s="340"/>
      <c r="I1176" s="179"/>
      <c r="J1176" s="344"/>
      <c r="K1176" s="345"/>
      <c r="L1176" s="346"/>
      <c r="M1176" s="347"/>
      <c r="N1176" s="347"/>
      <c r="O1176" s="132"/>
    </row>
    <row r="1177" spans="2:15" ht="26.25" customHeight="1" x14ac:dyDescent="0.25">
      <c r="B1177" s="130"/>
      <c r="C1177" s="135"/>
      <c r="D1177" s="177"/>
      <c r="E1177" s="178"/>
      <c r="F1177" s="178"/>
      <c r="G1177" s="340"/>
      <c r="H1177" s="340"/>
      <c r="I1177" s="179"/>
      <c r="J1177" s="344"/>
      <c r="K1177" s="345"/>
      <c r="L1177" s="346"/>
      <c r="M1177" s="347"/>
      <c r="N1177" s="347"/>
      <c r="O1177" s="132"/>
    </row>
    <row r="1178" spans="2:15" ht="26.25" customHeight="1" x14ac:dyDescent="0.25">
      <c r="B1178" s="130"/>
      <c r="C1178" s="135"/>
      <c r="D1178" s="177"/>
      <c r="E1178" s="178"/>
      <c r="F1178" s="178"/>
      <c r="G1178" s="340"/>
      <c r="H1178" s="340"/>
      <c r="I1178" s="179"/>
      <c r="J1178" s="344"/>
      <c r="K1178" s="345"/>
      <c r="L1178" s="346"/>
      <c r="M1178" s="347"/>
      <c r="N1178" s="347"/>
      <c r="O1178" s="132"/>
    </row>
    <row r="1179" spans="2:15" ht="26.25" customHeight="1" x14ac:dyDescent="0.25">
      <c r="B1179" s="130"/>
      <c r="C1179" s="135"/>
      <c r="D1179" s="177"/>
      <c r="E1179" s="178"/>
      <c r="F1179" s="178"/>
      <c r="G1179" s="340"/>
      <c r="H1179" s="340"/>
      <c r="I1179" s="179"/>
      <c r="J1179" s="344"/>
      <c r="K1179" s="345"/>
      <c r="L1179" s="346"/>
      <c r="M1179" s="347"/>
      <c r="N1179" s="347"/>
      <c r="O1179" s="132"/>
    </row>
    <row r="1180" spans="2:15" ht="26.25" customHeight="1" x14ac:dyDescent="0.25">
      <c r="B1180" s="130"/>
      <c r="C1180" s="135"/>
      <c r="D1180" s="177"/>
      <c r="E1180" s="178"/>
      <c r="F1180" s="178"/>
      <c r="G1180" s="340"/>
      <c r="H1180" s="340"/>
      <c r="I1180" s="179"/>
      <c r="J1180" s="344"/>
      <c r="K1180" s="345"/>
      <c r="L1180" s="346"/>
      <c r="M1180" s="347"/>
      <c r="N1180" s="347"/>
      <c r="O1180" s="132"/>
    </row>
    <row r="1181" spans="2:15" ht="26.25" customHeight="1" x14ac:dyDescent="0.25">
      <c r="B1181" s="130"/>
      <c r="C1181" s="135"/>
      <c r="D1181" s="177"/>
      <c r="E1181" s="178"/>
      <c r="F1181" s="178"/>
      <c r="G1181" s="340"/>
      <c r="H1181" s="340"/>
      <c r="I1181" s="179"/>
      <c r="J1181" s="344"/>
      <c r="K1181" s="345"/>
      <c r="L1181" s="346"/>
      <c r="M1181" s="347"/>
      <c r="N1181" s="347"/>
      <c r="O1181" s="132"/>
    </row>
    <row r="1182" spans="2:15" ht="26.25" customHeight="1" x14ac:dyDescent="0.25">
      <c r="B1182" s="130"/>
      <c r="C1182" s="135"/>
      <c r="D1182" s="177"/>
      <c r="E1182" s="178"/>
      <c r="F1182" s="178"/>
      <c r="G1182" s="340"/>
      <c r="H1182" s="340"/>
      <c r="I1182" s="179"/>
      <c r="J1182" s="344"/>
      <c r="K1182" s="345"/>
      <c r="L1182" s="346"/>
      <c r="M1182" s="347"/>
      <c r="N1182" s="347"/>
      <c r="O1182" s="132"/>
    </row>
    <row r="1183" spans="2:15" ht="26.25" customHeight="1" x14ac:dyDescent="0.25">
      <c r="B1183" s="130"/>
      <c r="C1183" s="135"/>
      <c r="D1183" s="177"/>
      <c r="E1183" s="178"/>
      <c r="F1183" s="178"/>
      <c r="G1183" s="340"/>
      <c r="H1183" s="340"/>
      <c r="I1183" s="179"/>
      <c r="J1183" s="344"/>
      <c r="K1183" s="345"/>
      <c r="L1183" s="346"/>
      <c r="M1183" s="347"/>
      <c r="N1183" s="347"/>
      <c r="O1183" s="132"/>
    </row>
    <row r="1184" spans="2:15" ht="26.25" customHeight="1" x14ac:dyDescent="0.25">
      <c r="B1184" s="130"/>
      <c r="C1184" s="135"/>
      <c r="D1184" s="177"/>
      <c r="E1184" s="178"/>
      <c r="F1184" s="178"/>
      <c r="G1184" s="340"/>
      <c r="H1184" s="340"/>
      <c r="I1184" s="179"/>
      <c r="J1184" s="344"/>
      <c r="K1184" s="345"/>
      <c r="L1184" s="346"/>
      <c r="M1184" s="347"/>
      <c r="N1184" s="347"/>
      <c r="O1184" s="132"/>
    </row>
    <row r="1185" spans="2:15" ht="26.25" customHeight="1" x14ac:dyDescent="0.25">
      <c r="B1185" s="130"/>
      <c r="C1185" s="135"/>
      <c r="D1185" s="177"/>
      <c r="E1185" s="178"/>
      <c r="F1185" s="178"/>
      <c r="G1185" s="340"/>
      <c r="H1185" s="340"/>
      <c r="I1185" s="179"/>
      <c r="J1185" s="344"/>
      <c r="K1185" s="345"/>
      <c r="L1185" s="346"/>
      <c r="M1185" s="347"/>
      <c r="N1185" s="347"/>
      <c r="O1185" s="132"/>
    </row>
    <row r="1186" spans="2:15" ht="26.25" customHeight="1" x14ac:dyDescent="0.25">
      <c r="B1186" s="130"/>
      <c r="C1186" s="135"/>
      <c r="D1186" s="177"/>
      <c r="E1186" s="178"/>
      <c r="F1186" s="178"/>
      <c r="G1186" s="340"/>
      <c r="H1186" s="340"/>
      <c r="I1186" s="179"/>
      <c r="J1186" s="344"/>
      <c r="K1186" s="345"/>
      <c r="L1186" s="346"/>
      <c r="M1186" s="347"/>
      <c r="N1186" s="347"/>
      <c r="O1186" s="132"/>
    </row>
    <row r="1187" spans="2:15" ht="26.25" customHeight="1" x14ac:dyDescent="0.25">
      <c r="B1187" s="130"/>
      <c r="C1187" s="135"/>
      <c r="D1187" s="177"/>
      <c r="E1187" s="178"/>
      <c r="F1187" s="178"/>
      <c r="G1187" s="340"/>
      <c r="H1187" s="340"/>
      <c r="I1187" s="179"/>
      <c r="J1187" s="344"/>
      <c r="K1187" s="345"/>
      <c r="L1187" s="346"/>
      <c r="M1187" s="347"/>
      <c r="N1187" s="347"/>
      <c r="O1187" s="132"/>
    </row>
    <row r="1188" spans="2:15" ht="26.25" customHeight="1" x14ac:dyDescent="0.25">
      <c r="B1188" s="130"/>
      <c r="C1188" s="135"/>
      <c r="D1188" s="177"/>
      <c r="E1188" s="178"/>
      <c r="F1188" s="178"/>
      <c r="G1188" s="340"/>
      <c r="H1188" s="340"/>
      <c r="I1188" s="179"/>
      <c r="J1188" s="344"/>
      <c r="K1188" s="345"/>
      <c r="L1188" s="346"/>
      <c r="M1188" s="347"/>
      <c r="N1188" s="347"/>
      <c r="O1188" s="132"/>
    </row>
    <row r="1189" spans="2:15" ht="26.25" customHeight="1" x14ac:dyDescent="0.25">
      <c r="B1189" s="130"/>
      <c r="C1189" s="135"/>
      <c r="D1189" s="177"/>
      <c r="E1189" s="178"/>
      <c r="F1189" s="178"/>
      <c r="G1189" s="340"/>
      <c r="H1189" s="340"/>
      <c r="I1189" s="179"/>
      <c r="J1189" s="344"/>
      <c r="K1189" s="345"/>
      <c r="L1189" s="346"/>
      <c r="M1189" s="347"/>
      <c r="N1189" s="347"/>
      <c r="O1189" s="132"/>
    </row>
    <row r="1190" spans="2:15" ht="26.25" customHeight="1" x14ac:dyDescent="0.25">
      <c r="B1190" s="130"/>
      <c r="C1190" s="135"/>
      <c r="D1190" s="177"/>
      <c r="E1190" s="178"/>
      <c r="F1190" s="178"/>
      <c r="G1190" s="340"/>
      <c r="H1190" s="340"/>
      <c r="I1190" s="179"/>
      <c r="J1190" s="344"/>
      <c r="K1190" s="345"/>
      <c r="L1190" s="346"/>
      <c r="M1190" s="347"/>
      <c r="N1190" s="347"/>
      <c r="O1190" s="132"/>
    </row>
    <row r="1191" spans="2:15" ht="26.25" customHeight="1" x14ac:dyDescent="0.25">
      <c r="B1191" s="130"/>
      <c r="C1191" s="135"/>
      <c r="D1191" s="177"/>
      <c r="E1191" s="178"/>
      <c r="F1191" s="178"/>
      <c r="G1191" s="340"/>
      <c r="H1191" s="340"/>
      <c r="I1191" s="179"/>
      <c r="J1191" s="344"/>
      <c r="K1191" s="345"/>
      <c r="L1191" s="346"/>
      <c r="M1191" s="347"/>
      <c r="N1191" s="347"/>
      <c r="O1191" s="132"/>
    </row>
    <row r="1192" spans="2:15" ht="26.25" customHeight="1" x14ac:dyDescent="0.25">
      <c r="B1192" s="130"/>
      <c r="C1192" s="135"/>
      <c r="D1192" s="177"/>
      <c r="E1192" s="178"/>
      <c r="F1192" s="178"/>
      <c r="G1192" s="340"/>
      <c r="H1192" s="340"/>
      <c r="I1192" s="179"/>
      <c r="J1192" s="344"/>
      <c r="K1192" s="345"/>
      <c r="L1192" s="346"/>
      <c r="M1192" s="347"/>
      <c r="N1192" s="347"/>
      <c r="O1192" s="132"/>
    </row>
    <row r="1193" spans="2:15" ht="26.25" customHeight="1" x14ac:dyDescent="0.25">
      <c r="B1193" s="130"/>
      <c r="C1193" s="135"/>
      <c r="D1193" s="177"/>
      <c r="E1193" s="178"/>
      <c r="F1193" s="178"/>
      <c r="G1193" s="340"/>
      <c r="H1193" s="340"/>
      <c r="I1193" s="179"/>
      <c r="J1193" s="344"/>
      <c r="K1193" s="345"/>
      <c r="L1193" s="346"/>
      <c r="M1193" s="347"/>
      <c r="N1193" s="347"/>
      <c r="O1193" s="132"/>
    </row>
    <row r="1194" spans="2:15" ht="26.25" customHeight="1" x14ac:dyDescent="0.25">
      <c r="B1194" s="130"/>
      <c r="C1194" s="135"/>
      <c r="D1194" s="177"/>
      <c r="E1194" s="178"/>
      <c r="F1194" s="178"/>
      <c r="G1194" s="340"/>
      <c r="H1194" s="340"/>
      <c r="I1194" s="179"/>
      <c r="J1194" s="344"/>
      <c r="K1194" s="345"/>
      <c r="L1194" s="346"/>
      <c r="M1194" s="347"/>
      <c r="N1194" s="347"/>
      <c r="O1194" s="132"/>
    </row>
    <row r="1195" spans="2:15" ht="26.25" customHeight="1" x14ac:dyDescent="0.25">
      <c r="B1195" s="130"/>
      <c r="C1195" s="135"/>
      <c r="D1195" s="177"/>
      <c r="E1195" s="178"/>
      <c r="F1195" s="178"/>
      <c r="G1195" s="340"/>
      <c r="H1195" s="340"/>
      <c r="I1195" s="179"/>
      <c r="J1195" s="344"/>
      <c r="K1195" s="345"/>
      <c r="L1195" s="346"/>
      <c r="M1195" s="347"/>
      <c r="N1195" s="347"/>
      <c r="O1195" s="132"/>
    </row>
    <row r="1196" spans="2:15" ht="26.25" customHeight="1" x14ac:dyDescent="0.25">
      <c r="B1196" s="130"/>
      <c r="C1196" s="135"/>
      <c r="D1196" s="177"/>
      <c r="E1196" s="178"/>
      <c r="F1196" s="178"/>
      <c r="G1196" s="340"/>
      <c r="H1196" s="340"/>
      <c r="I1196" s="179"/>
      <c r="J1196" s="344"/>
      <c r="K1196" s="345"/>
      <c r="L1196" s="346"/>
      <c r="M1196" s="347"/>
      <c r="N1196" s="347"/>
      <c r="O1196" s="132"/>
    </row>
    <row r="1197" spans="2:15" ht="26.25" customHeight="1" x14ac:dyDescent="0.25">
      <c r="B1197" s="130"/>
      <c r="C1197" s="135"/>
      <c r="D1197" s="177"/>
      <c r="E1197" s="178"/>
      <c r="F1197" s="178"/>
      <c r="G1197" s="340"/>
      <c r="H1197" s="340"/>
      <c r="I1197" s="179"/>
      <c r="J1197" s="344"/>
      <c r="K1197" s="345"/>
      <c r="L1197" s="346"/>
      <c r="M1197" s="347"/>
      <c r="N1197" s="347"/>
      <c r="O1197" s="132"/>
    </row>
    <row r="1198" spans="2:15" ht="26.25" customHeight="1" x14ac:dyDescent="0.25">
      <c r="B1198" s="130"/>
      <c r="C1198" s="135"/>
      <c r="D1198" s="177"/>
      <c r="E1198" s="178"/>
      <c r="F1198" s="178"/>
      <c r="G1198" s="340"/>
      <c r="H1198" s="340"/>
      <c r="I1198" s="179"/>
      <c r="J1198" s="344"/>
      <c r="K1198" s="345"/>
      <c r="L1198" s="346"/>
      <c r="M1198" s="347"/>
      <c r="N1198" s="347"/>
      <c r="O1198" s="132"/>
    </row>
    <row r="1199" spans="2:15" ht="26.25" customHeight="1" x14ac:dyDescent="0.25">
      <c r="B1199" s="130"/>
      <c r="C1199" s="135"/>
      <c r="D1199" s="177"/>
      <c r="E1199" s="178"/>
      <c r="F1199" s="178"/>
      <c r="G1199" s="340"/>
      <c r="H1199" s="340"/>
      <c r="I1199" s="179"/>
      <c r="J1199" s="344"/>
      <c r="K1199" s="345"/>
      <c r="L1199" s="346"/>
      <c r="M1199" s="347"/>
      <c r="N1199" s="347"/>
      <c r="O1199" s="132"/>
    </row>
    <row r="1200" spans="2:15" ht="26.25" customHeight="1" x14ac:dyDescent="0.25">
      <c r="B1200" s="130"/>
      <c r="C1200" s="135"/>
      <c r="D1200" s="177"/>
      <c r="E1200" s="178"/>
      <c r="F1200" s="178"/>
      <c r="G1200" s="340"/>
      <c r="H1200" s="340"/>
      <c r="I1200" s="179"/>
      <c r="J1200" s="344"/>
      <c r="K1200" s="345"/>
      <c r="L1200" s="346"/>
      <c r="M1200" s="347"/>
      <c r="N1200" s="347"/>
      <c r="O1200" s="132"/>
    </row>
    <row r="1201" spans="2:15" ht="26.25" customHeight="1" x14ac:dyDescent="0.25">
      <c r="B1201" s="130"/>
      <c r="C1201" s="135"/>
      <c r="D1201" s="177"/>
      <c r="E1201" s="178"/>
      <c r="F1201" s="178"/>
      <c r="G1201" s="340"/>
      <c r="H1201" s="340"/>
      <c r="I1201" s="179"/>
      <c r="J1201" s="344"/>
      <c r="K1201" s="345"/>
      <c r="L1201" s="346"/>
      <c r="M1201" s="347"/>
      <c r="N1201" s="347"/>
      <c r="O1201" s="132"/>
    </row>
    <row r="1202" spans="2:15" ht="26.25" customHeight="1" x14ac:dyDescent="0.25">
      <c r="B1202" s="130"/>
      <c r="C1202" s="135"/>
      <c r="D1202" s="177"/>
      <c r="E1202" s="178"/>
      <c r="F1202" s="178"/>
      <c r="G1202" s="340"/>
      <c r="H1202" s="340"/>
      <c r="I1202" s="179"/>
      <c r="J1202" s="344"/>
      <c r="K1202" s="345"/>
      <c r="L1202" s="346"/>
      <c r="M1202" s="347"/>
      <c r="N1202" s="347"/>
      <c r="O1202" s="132"/>
    </row>
    <row r="1203" spans="2:15" ht="26.25" customHeight="1" x14ac:dyDescent="0.25">
      <c r="B1203" s="130"/>
      <c r="C1203" s="135"/>
      <c r="D1203" s="177"/>
      <c r="E1203" s="178"/>
      <c r="F1203" s="178"/>
      <c r="G1203" s="340"/>
      <c r="H1203" s="340"/>
      <c r="I1203" s="179"/>
      <c r="J1203" s="344"/>
      <c r="K1203" s="345"/>
      <c r="L1203" s="346"/>
      <c r="M1203" s="347"/>
      <c r="N1203" s="347"/>
      <c r="O1203" s="132"/>
    </row>
    <row r="1204" spans="2:15" ht="26.25" customHeight="1" x14ac:dyDescent="0.25">
      <c r="B1204" s="130"/>
      <c r="C1204" s="135"/>
      <c r="D1204" s="177"/>
      <c r="E1204" s="178"/>
      <c r="F1204" s="178"/>
      <c r="G1204" s="340"/>
      <c r="H1204" s="340"/>
      <c r="I1204" s="179"/>
      <c r="J1204" s="344"/>
      <c r="K1204" s="345"/>
      <c r="L1204" s="346"/>
      <c r="M1204" s="347"/>
      <c r="N1204" s="347"/>
      <c r="O1204" s="132"/>
    </row>
    <row r="1205" spans="2:15" ht="26.25" customHeight="1" x14ac:dyDescent="0.25">
      <c r="B1205" s="130"/>
      <c r="C1205" s="135"/>
      <c r="D1205" s="177"/>
      <c r="E1205" s="178"/>
      <c r="F1205" s="178"/>
      <c r="G1205" s="340"/>
      <c r="H1205" s="340"/>
      <c r="I1205" s="179"/>
      <c r="J1205" s="344"/>
      <c r="K1205" s="345"/>
      <c r="L1205" s="346"/>
      <c r="M1205" s="347"/>
      <c r="N1205" s="347"/>
      <c r="O1205" s="132"/>
    </row>
    <row r="1206" spans="2:15" ht="26.25" customHeight="1" x14ac:dyDescent="0.25">
      <c r="B1206" s="130"/>
      <c r="C1206" s="135"/>
      <c r="D1206" s="177"/>
      <c r="E1206" s="178"/>
      <c r="F1206" s="178"/>
      <c r="G1206" s="340"/>
      <c r="H1206" s="340"/>
      <c r="I1206" s="179"/>
      <c r="J1206" s="344"/>
      <c r="K1206" s="345"/>
      <c r="L1206" s="346"/>
      <c r="M1206" s="347"/>
      <c r="N1206" s="347"/>
      <c r="O1206" s="132"/>
    </row>
    <row r="1207" spans="2:15" ht="26.25" customHeight="1" x14ac:dyDescent="0.25">
      <c r="B1207" s="130"/>
      <c r="C1207" s="135"/>
      <c r="D1207" s="177"/>
      <c r="E1207" s="178"/>
      <c r="F1207" s="178"/>
      <c r="G1207" s="340"/>
      <c r="H1207" s="340"/>
      <c r="I1207" s="179"/>
      <c r="J1207" s="344"/>
      <c r="K1207" s="345"/>
      <c r="L1207" s="346"/>
      <c r="M1207" s="347"/>
      <c r="N1207" s="347"/>
      <c r="O1207" s="132"/>
    </row>
    <row r="1208" spans="2:15" ht="26.25" customHeight="1" x14ac:dyDescent="0.25">
      <c r="B1208" s="130"/>
      <c r="C1208" s="135"/>
      <c r="D1208" s="177"/>
      <c r="E1208" s="178"/>
      <c r="F1208" s="178"/>
      <c r="G1208" s="340"/>
      <c r="H1208" s="340"/>
      <c r="I1208" s="179"/>
      <c r="J1208" s="344"/>
      <c r="K1208" s="345"/>
      <c r="L1208" s="346"/>
      <c r="M1208" s="347"/>
      <c r="N1208" s="347"/>
      <c r="O1208" s="132"/>
    </row>
    <row r="1209" spans="2:15" ht="26.25" customHeight="1" x14ac:dyDescent="0.25">
      <c r="B1209" s="130"/>
      <c r="C1209" s="135"/>
      <c r="D1209" s="177"/>
      <c r="E1209" s="178"/>
      <c r="F1209" s="178"/>
      <c r="G1209" s="340"/>
      <c r="H1209" s="340"/>
      <c r="I1209" s="179"/>
      <c r="J1209" s="344"/>
      <c r="K1209" s="345"/>
      <c r="L1209" s="346"/>
      <c r="M1209" s="347"/>
      <c r="N1209" s="347"/>
      <c r="O1209" s="132"/>
    </row>
    <row r="1210" spans="2:15" ht="26.25" customHeight="1" x14ac:dyDescent="0.25">
      <c r="B1210" s="130"/>
      <c r="C1210" s="135"/>
      <c r="D1210" s="177"/>
      <c r="E1210" s="178"/>
      <c r="F1210" s="178"/>
      <c r="G1210" s="340"/>
      <c r="H1210" s="340"/>
      <c r="I1210" s="179"/>
      <c r="J1210" s="344"/>
      <c r="K1210" s="345"/>
      <c r="L1210" s="346"/>
      <c r="M1210" s="347"/>
      <c r="N1210" s="347"/>
      <c r="O1210" s="132"/>
    </row>
    <row r="1211" spans="2:15" ht="26.25" customHeight="1" x14ac:dyDescent="0.25">
      <c r="B1211" s="130"/>
      <c r="C1211" s="135"/>
      <c r="D1211" s="177"/>
      <c r="E1211" s="178"/>
      <c r="F1211" s="178"/>
      <c r="G1211" s="340"/>
      <c r="H1211" s="340"/>
      <c r="I1211" s="179"/>
      <c r="J1211" s="344"/>
      <c r="K1211" s="345"/>
      <c r="L1211" s="346"/>
      <c r="M1211" s="347"/>
      <c r="N1211" s="347"/>
      <c r="O1211" s="132"/>
    </row>
    <row r="1212" spans="2:15" ht="26.25" customHeight="1" x14ac:dyDescent="0.25">
      <c r="B1212" s="130"/>
      <c r="C1212" s="135"/>
      <c r="D1212" s="177"/>
      <c r="E1212" s="178"/>
      <c r="F1212" s="178"/>
      <c r="G1212" s="340"/>
      <c r="H1212" s="340"/>
      <c r="I1212" s="179"/>
      <c r="J1212" s="344"/>
      <c r="K1212" s="345"/>
      <c r="L1212" s="346"/>
      <c r="M1212" s="347"/>
      <c r="N1212" s="347"/>
      <c r="O1212" s="132"/>
    </row>
    <row r="1213" spans="2:15" ht="26.25" customHeight="1" x14ac:dyDescent="0.25">
      <c r="B1213" s="130"/>
      <c r="C1213" s="135"/>
      <c r="D1213" s="177"/>
      <c r="E1213" s="178"/>
      <c r="F1213" s="178"/>
      <c r="G1213" s="340"/>
      <c r="H1213" s="340"/>
      <c r="I1213" s="179"/>
      <c r="J1213" s="344"/>
      <c r="K1213" s="345"/>
      <c r="L1213" s="346"/>
      <c r="M1213" s="347"/>
      <c r="N1213" s="347"/>
      <c r="O1213" s="132"/>
    </row>
    <row r="1214" spans="2:15" ht="26.25" customHeight="1" x14ac:dyDescent="0.25">
      <c r="B1214" s="130"/>
      <c r="C1214" s="135"/>
      <c r="D1214" s="177"/>
      <c r="E1214" s="178"/>
      <c r="F1214" s="178"/>
      <c r="G1214" s="340"/>
      <c r="H1214" s="340"/>
      <c r="I1214" s="179"/>
      <c r="J1214" s="344"/>
      <c r="K1214" s="345"/>
      <c r="L1214" s="346"/>
      <c r="M1214" s="347"/>
      <c r="N1214" s="347"/>
      <c r="O1214" s="132"/>
    </row>
    <row r="1215" spans="2:15" ht="26.25" customHeight="1" x14ac:dyDescent="0.25">
      <c r="B1215" s="130"/>
      <c r="C1215" s="135"/>
      <c r="D1215" s="177"/>
      <c r="E1215" s="178"/>
      <c r="F1215" s="178"/>
      <c r="G1215" s="340"/>
      <c r="H1215" s="340"/>
      <c r="I1215" s="179"/>
      <c r="J1215" s="344"/>
      <c r="K1215" s="345"/>
      <c r="L1215" s="346"/>
      <c r="M1215" s="347"/>
      <c r="N1215" s="347"/>
      <c r="O1215" s="132"/>
    </row>
    <row r="1216" spans="2:15" ht="26.25" customHeight="1" x14ac:dyDescent="0.25">
      <c r="B1216" s="130"/>
      <c r="C1216" s="135"/>
      <c r="D1216" s="177"/>
      <c r="E1216" s="178"/>
      <c r="F1216" s="178"/>
      <c r="G1216" s="340"/>
      <c r="H1216" s="340"/>
      <c r="I1216" s="179"/>
      <c r="J1216" s="344"/>
      <c r="K1216" s="345"/>
      <c r="L1216" s="346"/>
      <c r="M1216" s="347"/>
      <c r="N1216" s="347"/>
      <c r="O1216" s="132"/>
    </row>
    <row r="1217" spans="2:15" ht="26.25" customHeight="1" x14ac:dyDescent="0.25">
      <c r="B1217" s="130"/>
      <c r="C1217" s="135"/>
      <c r="D1217" s="177"/>
      <c r="E1217" s="178"/>
      <c r="F1217" s="178"/>
      <c r="G1217" s="340"/>
      <c r="H1217" s="340"/>
      <c r="I1217" s="179"/>
      <c r="J1217" s="344"/>
      <c r="K1217" s="345"/>
      <c r="L1217" s="346"/>
      <c r="M1217" s="347"/>
      <c r="N1217" s="347"/>
      <c r="O1217" s="132"/>
    </row>
    <row r="1218" spans="2:15" ht="26.25" customHeight="1" x14ac:dyDescent="0.25">
      <c r="B1218" s="130"/>
      <c r="C1218" s="135"/>
      <c r="D1218" s="177"/>
      <c r="E1218" s="178"/>
      <c r="F1218" s="178"/>
      <c r="G1218" s="340"/>
      <c r="H1218" s="340"/>
      <c r="I1218" s="179"/>
      <c r="J1218" s="344"/>
      <c r="K1218" s="345"/>
      <c r="L1218" s="346"/>
      <c r="M1218" s="347"/>
      <c r="N1218" s="347"/>
      <c r="O1218" s="132"/>
    </row>
    <row r="1219" spans="2:15" ht="26.25" customHeight="1" x14ac:dyDescent="0.25">
      <c r="B1219" s="130"/>
      <c r="C1219" s="135"/>
      <c r="D1219" s="177"/>
      <c r="E1219" s="178"/>
      <c r="F1219" s="178"/>
      <c r="G1219" s="340"/>
      <c r="H1219" s="340"/>
      <c r="I1219" s="179"/>
      <c r="J1219" s="344"/>
      <c r="K1219" s="345"/>
      <c r="L1219" s="346"/>
      <c r="M1219" s="347"/>
      <c r="N1219" s="347"/>
      <c r="O1219" s="132"/>
    </row>
    <row r="1220" spans="2:15" ht="26.25" customHeight="1" x14ac:dyDescent="0.25">
      <c r="B1220" s="130"/>
      <c r="C1220" s="135"/>
      <c r="D1220" s="177"/>
      <c r="E1220" s="178"/>
      <c r="F1220" s="178"/>
      <c r="G1220" s="340"/>
      <c r="H1220" s="340"/>
      <c r="I1220" s="179"/>
      <c r="J1220" s="344"/>
      <c r="K1220" s="345"/>
      <c r="L1220" s="346"/>
      <c r="M1220" s="347"/>
      <c r="N1220" s="347"/>
      <c r="O1220" s="132"/>
    </row>
    <row r="1221" spans="2:15" ht="26.25" customHeight="1" x14ac:dyDescent="0.25">
      <c r="B1221" s="130"/>
      <c r="C1221" s="135"/>
      <c r="D1221" s="177"/>
      <c r="E1221" s="178"/>
      <c r="F1221" s="178"/>
      <c r="G1221" s="340"/>
      <c r="H1221" s="340"/>
      <c r="I1221" s="179"/>
      <c r="J1221" s="344"/>
      <c r="K1221" s="345"/>
      <c r="L1221" s="346"/>
      <c r="M1221" s="347"/>
      <c r="N1221" s="347"/>
      <c r="O1221" s="132"/>
    </row>
    <row r="1222" spans="2:15" ht="26.25" customHeight="1" x14ac:dyDescent="0.25">
      <c r="B1222" s="130"/>
      <c r="C1222" s="135"/>
      <c r="D1222" s="177"/>
      <c r="E1222" s="178"/>
      <c r="F1222" s="178"/>
      <c r="G1222" s="340"/>
      <c r="H1222" s="340"/>
      <c r="I1222" s="179"/>
      <c r="J1222" s="344"/>
      <c r="K1222" s="345"/>
      <c r="L1222" s="346"/>
      <c r="M1222" s="347"/>
      <c r="N1222" s="347"/>
      <c r="O1222" s="132"/>
    </row>
    <row r="1223" spans="2:15" ht="26.25" customHeight="1" x14ac:dyDescent="0.25">
      <c r="B1223" s="130"/>
      <c r="C1223" s="135"/>
      <c r="D1223" s="177"/>
      <c r="E1223" s="178"/>
      <c r="F1223" s="178"/>
      <c r="G1223" s="340"/>
      <c r="H1223" s="340"/>
      <c r="I1223" s="179"/>
      <c r="J1223" s="344"/>
      <c r="K1223" s="345"/>
      <c r="L1223" s="346"/>
      <c r="M1223" s="347"/>
      <c r="N1223" s="347"/>
      <c r="O1223" s="132"/>
    </row>
    <row r="1224" spans="2:15" ht="26.25" customHeight="1" x14ac:dyDescent="0.25">
      <c r="B1224" s="130"/>
      <c r="C1224" s="135"/>
      <c r="D1224" s="177"/>
      <c r="E1224" s="178"/>
      <c r="F1224" s="178"/>
      <c r="G1224" s="340"/>
      <c r="H1224" s="340"/>
      <c r="I1224" s="179"/>
      <c r="J1224" s="344"/>
      <c r="K1224" s="345"/>
      <c r="L1224" s="346"/>
      <c r="M1224" s="347"/>
      <c r="N1224" s="347"/>
      <c r="O1224" s="132"/>
    </row>
    <row r="1225" spans="2:15" ht="26.25" customHeight="1" x14ac:dyDescent="0.25">
      <c r="B1225" s="130"/>
      <c r="C1225" s="135"/>
      <c r="D1225" s="177"/>
      <c r="E1225" s="178"/>
      <c r="F1225" s="178"/>
      <c r="G1225" s="340"/>
      <c r="H1225" s="340"/>
      <c r="I1225" s="179"/>
      <c r="J1225" s="344"/>
      <c r="K1225" s="345"/>
      <c r="L1225" s="346"/>
      <c r="M1225" s="347"/>
      <c r="N1225" s="347"/>
      <c r="O1225" s="132"/>
    </row>
    <row r="1226" spans="2:15" ht="26.25" customHeight="1" x14ac:dyDescent="0.25">
      <c r="B1226" s="130"/>
      <c r="C1226" s="135"/>
      <c r="D1226" s="177"/>
      <c r="E1226" s="178"/>
      <c r="F1226" s="178"/>
      <c r="G1226" s="340"/>
      <c r="H1226" s="340"/>
      <c r="I1226" s="179"/>
      <c r="J1226" s="344"/>
      <c r="K1226" s="345"/>
      <c r="L1226" s="346"/>
      <c r="M1226" s="347"/>
      <c r="N1226" s="347"/>
      <c r="O1226" s="132"/>
    </row>
    <row r="1227" spans="2:15" ht="26.25" customHeight="1" x14ac:dyDescent="0.25">
      <c r="B1227" s="130"/>
      <c r="C1227" s="135"/>
      <c r="D1227" s="177"/>
      <c r="E1227" s="178"/>
      <c r="F1227" s="178"/>
      <c r="G1227" s="340"/>
      <c r="H1227" s="340"/>
      <c r="I1227" s="179"/>
      <c r="J1227" s="344"/>
      <c r="K1227" s="345"/>
      <c r="L1227" s="346"/>
      <c r="M1227" s="347"/>
      <c r="N1227" s="347"/>
      <c r="O1227" s="132"/>
    </row>
    <row r="1228" spans="2:15" ht="26.25" customHeight="1" x14ac:dyDescent="0.25">
      <c r="B1228" s="130"/>
      <c r="C1228" s="135"/>
      <c r="D1228" s="177"/>
      <c r="E1228" s="178"/>
      <c r="F1228" s="178"/>
      <c r="G1228" s="340"/>
      <c r="H1228" s="340"/>
      <c r="I1228" s="179"/>
      <c r="J1228" s="344"/>
      <c r="K1228" s="345"/>
      <c r="L1228" s="346"/>
      <c r="M1228" s="347"/>
      <c r="N1228" s="347"/>
      <c r="O1228" s="132"/>
    </row>
    <row r="1229" spans="2:15" ht="26.25" customHeight="1" x14ac:dyDescent="0.25">
      <c r="B1229" s="130"/>
      <c r="C1229" s="135"/>
      <c r="D1229" s="177"/>
      <c r="E1229" s="178"/>
      <c r="F1229" s="178"/>
      <c r="G1229" s="340"/>
      <c r="H1229" s="340"/>
      <c r="I1229" s="179"/>
      <c r="J1229" s="344"/>
      <c r="K1229" s="345"/>
      <c r="L1229" s="346"/>
      <c r="M1229" s="347"/>
      <c r="N1229" s="347"/>
      <c r="O1229" s="132"/>
    </row>
    <row r="1230" spans="2:15" ht="26.25" customHeight="1" x14ac:dyDescent="0.25">
      <c r="B1230" s="130"/>
      <c r="C1230" s="135"/>
      <c r="D1230" s="177"/>
      <c r="E1230" s="178"/>
      <c r="F1230" s="178"/>
      <c r="G1230" s="340"/>
      <c r="H1230" s="340"/>
      <c r="I1230" s="179"/>
      <c r="J1230" s="344"/>
      <c r="K1230" s="345"/>
      <c r="L1230" s="346"/>
      <c r="M1230" s="347"/>
      <c r="N1230" s="347"/>
      <c r="O1230" s="132"/>
    </row>
    <row r="1231" spans="2:15" ht="26.25" customHeight="1" x14ac:dyDescent="0.25">
      <c r="B1231" s="130"/>
      <c r="C1231" s="135"/>
      <c r="D1231" s="177"/>
      <c r="E1231" s="178"/>
      <c r="F1231" s="178"/>
      <c r="G1231" s="340"/>
      <c r="H1231" s="340"/>
      <c r="I1231" s="179"/>
      <c r="J1231" s="344"/>
      <c r="K1231" s="345"/>
      <c r="L1231" s="346"/>
      <c r="M1231" s="347"/>
      <c r="N1231" s="347"/>
      <c r="O1231" s="132"/>
    </row>
    <row r="1232" spans="2:15" ht="26.25" customHeight="1" x14ac:dyDescent="0.25">
      <c r="B1232" s="130"/>
      <c r="C1232" s="135"/>
      <c r="D1232" s="177"/>
      <c r="E1232" s="178"/>
      <c r="F1232" s="178"/>
      <c r="G1232" s="340"/>
      <c r="H1232" s="340"/>
      <c r="I1232" s="179"/>
      <c r="J1232" s="344"/>
      <c r="K1232" s="345"/>
      <c r="L1232" s="346"/>
      <c r="M1232" s="347"/>
      <c r="N1232" s="347"/>
      <c r="O1232" s="132"/>
    </row>
    <row r="1233" spans="2:15" ht="26.25" customHeight="1" x14ac:dyDescent="0.25">
      <c r="B1233" s="130"/>
      <c r="C1233" s="135"/>
      <c r="D1233" s="177"/>
      <c r="E1233" s="178"/>
      <c r="F1233" s="178"/>
      <c r="G1233" s="340"/>
      <c r="H1233" s="340"/>
      <c r="I1233" s="179"/>
      <c r="J1233" s="344"/>
      <c r="K1233" s="345"/>
      <c r="L1233" s="346"/>
      <c r="M1233" s="347"/>
      <c r="N1233" s="347"/>
      <c r="O1233" s="132"/>
    </row>
    <row r="1234" spans="2:15" ht="26.25" customHeight="1" x14ac:dyDescent="0.25">
      <c r="B1234" s="130"/>
      <c r="C1234" s="135"/>
      <c r="D1234" s="177"/>
      <c r="E1234" s="178"/>
      <c r="F1234" s="178"/>
      <c r="G1234" s="340"/>
      <c r="H1234" s="340"/>
      <c r="I1234" s="179"/>
      <c r="J1234" s="344"/>
      <c r="K1234" s="345"/>
      <c r="L1234" s="346"/>
      <c r="M1234" s="347"/>
      <c r="N1234" s="347"/>
      <c r="O1234" s="132"/>
    </row>
    <row r="1235" spans="2:15" ht="26.25" customHeight="1" x14ac:dyDescent="0.25">
      <c r="B1235" s="130"/>
      <c r="C1235" s="135"/>
      <c r="D1235" s="177"/>
      <c r="E1235" s="178"/>
      <c r="F1235" s="178"/>
      <c r="G1235" s="340"/>
      <c r="H1235" s="340"/>
      <c r="I1235" s="179"/>
      <c r="J1235" s="344"/>
      <c r="K1235" s="345"/>
      <c r="L1235" s="346"/>
      <c r="M1235" s="347"/>
      <c r="N1235" s="347"/>
      <c r="O1235" s="132"/>
    </row>
    <row r="1236" spans="2:15" ht="26.25" customHeight="1" x14ac:dyDescent="0.25">
      <c r="B1236" s="130"/>
      <c r="C1236" s="135"/>
      <c r="D1236" s="177"/>
      <c r="E1236" s="178"/>
      <c r="F1236" s="178"/>
      <c r="G1236" s="340"/>
      <c r="H1236" s="340"/>
      <c r="I1236" s="179"/>
      <c r="J1236" s="344"/>
      <c r="K1236" s="345"/>
      <c r="L1236" s="346"/>
      <c r="M1236" s="347"/>
      <c r="N1236" s="347"/>
      <c r="O1236" s="132"/>
    </row>
    <row r="1237" spans="2:15" ht="26.25" customHeight="1" x14ac:dyDescent="0.25">
      <c r="B1237" s="130"/>
      <c r="C1237" s="135"/>
      <c r="D1237" s="177"/>
      <c r="E1237" s="178"/>
      <c r="F1237" s="178"/>
      <c r="G1237" s="340"/>
      <c r="H1237" s="340"/>
      <c r="I1237" s="179"/>
      <c r="J1237" s="344"/>
      <c r="K1237" s="345"/>
      <c r="L1237" s="346"/>
      <c r="M1237" s="347"/>
      <c r="N1237" s="347"/>
      <c r="O1237" s="132"/>
    </row>
    <row r="1238" spans="2:15" ht="26.25" customHeight="1" x14ac:dyDescent="0.25">
      <c r="B1238" s="130"/>
      <c r="C1238" s="135"/>
      <c r="D1238" s="177"/>
      <c r="E1238" s="178"/>
      <c r="F1238" s="178"/>
      <c r="G1238" s="340"/>
      <c r="H1238" s="340"/>
      <c r="I1238" s="179"/>
      <c r="J1238" s="344"/>
      <c r="K1238" s="345"/>
      <c r="L1238" s="346"/>
      <c r="M1238" s="347"/>
      <c r="N1238" s="347"/>
      <c r="O1238" s="132"/>
    </row>
    <row r="1239" spans="2:15" ht="26.25" customHeight="1" x14ac:dyDescent="0.25">
      <c r="B1239" s="130"/>
      <c r="C1239" s="135"/>
      <c r="D1239" s="177"/>
      <c r="E1239" s="178"/>
      <c r="F1239" s="178"/>
      <c r="G1239" s="340"/>
      <c r="H1239" s="340"/>
      <c r="I1239" s="179"/>
      <c r="J1239" s="344"/>
      <c r="K1239" s="345"/>
      <c r="L1239" s="346"/>
      <c r="M1239" s="347"/>
      <c r="N1239" s="347"/>
      <c r="O1239" s="132"/>
    </row>
    <row r="1240" spans="2:15" ht="26.25" customHeight="1" x14ac:dyDescent="0.25">
      <c r="B1240" s="130"/>
      <c r="C1240" s="135"/>
      <c r="D1240" s="177"/>
      <c r="E1240" s="178"/>
      <c r="F1240" s="178"/>
      <c r="G1240" s="340"/>
      <c r="H1240" s="340"/>
      <c r="I1240" s="179"/>
      <c r="J1240" s="344"/>
      <c r="K1240" s="345"/>
      <c r="L1240" s="346"/>
      <c r="M1240" s="347"/>
      <c r="N1240" s="347"/>
      <c r="O1240" s="132"/>
    </row>
    <row r="1241" spans="2:15" ht="26.25" customHeight="1" x14ac:dyDescent="0.25">
      <c r="B1241" s="130"/>
      <c r="C1241" s="135"/>
      <c r="D1241" s="177"/>
      <c r="E1241" s="178"/>
      <c r="F1241" s="178"/>
      <c r="G1241" s="340"/>
      <c r="H1241" s="340"/>
      <c r="I1241" s="179"/>
      <c r="J1241" s="344"/>
      <c r="K1241" s="345"/>
      <c r="L1241" s="346"/>
      <c r="M1241" s="347"/>
      <c r="N1241" s="347"/>
      <c r="O1241" s="132"/>
    </row>
    <row r="1242" spans="2:15" ht="26.25" customHeight="1" x14ac:dyDescent="0.25">
      <c r="B1242" s="130"/>
      <c r="C1242" s="135"/>
      <c r="D1242" s="177"/>
      <c r="E1242" s="178"/>
      <c r="F1242" s="178"/>
      <c r="G1242" s="340"/>
      <c r="H1242" s="340"/>
      <c r="I1242" s="179"/>
      <c r="J1242" s="344"/>
      <c r="K1242" s="345"/>
      <c r="L1242" s="346"/>
      <c r="M1242" s="347"/>
      <c r="N1242" s="347"/>
      <c r="O1242" s="132"/>
    </row>
    <row r="1243" spans="2:15" ht="26.25" customHeight="1" x14ac:dyDescent="0.25">
      <c r="B1243" s="130"/>
      <c r="C1243" s="135"/>
      <c r="D1243" s="177"/>
      <c r="E1243" s="178"/>
      <c r="F1243" s="178"/>
      <c r="G1243" s="340"/>
      <c r="H1243" s="340"/>
      <c r="I1243" s="179"/>
      <c r="J1243" s="344"/>
      <c r="K1243" s="345"/>
      <c r="L1243" s="346"/>
      <c r="M1243" s="347"/>
      <c r="N1243" s="347"/>
      <c r="O1243" s="132"/>
    </row>
    <row r="1244" spans="2:15" ht="26.25" customHeight="1" x14ac:dyDescent="0.25">
      <c r="B1244" s="130"/>
      <c r="C1244" s="135"/>
      <c r="D1244" s="177"/>
      <c r="E1244" s="178"/>
      <c r="F1244" s="178"/>
      <c r="G1244" s="340"/>
      <c r="H1244" s="340"/>
      <c r="I1244" s="179"/>
      <c r="J1244" s="344"/>
      <c r="K1244" s="345"/>
      <c r="L1244" s="346"/>
      <c r="M1244" s="347"/>
      <c r="N1244" s="347"/>
      <c r="O1244" s="132"/>
    </row>
    <row r="1245" spans="2:15" ht="26.25" customHeight="1" x14ac:dyDescent="0.25">
      <c r="B1245" s="130"/>
      <c r="C1245" s="135"/>
      <c r="D1245" s="177"/>
      <c r="E1245" s="178"/>
      <c r="F1245" s="178"/>
      <c r="G1245" s="340"/>
      <c r="H1245" s="340"/>
      <c r="I1245" s="179"/>
      <c r="J1245" s="344"/>
      <c r="K1245" s="345"/>
      <c r="L1245" s="346"/>
      <c r="M1245" s="347"/>
      <c r="N1245" s="347"/>
      <c r="O1245" s="132"/>
    </row>
    <row r="1246" spans="2:15" ht="26.25" customHeight="1" x14ac:dyDescent="0.25">
      <c r="B1246" s="130"/>
      <c r="C1246" s="135"/>
      <c r="D1246" s="177"/>
      <c r="E1246" s="178"/>
      <c r="F1246" s="178"/>
      <c r="G1246" s="340"/>
      <c r="H1246" s="340"/>
      <c r="I1246" s="179"/>
      <c r="J1246" s="344"/>
      <c r="K1246" s="345"/>
      <c r="L1246" s="346"/>
      <c r="M1246" s="347"/>
      <c r="N1246" s="347"/>
      <c r="O1246" s="132"/>
    </row>
    <row r="1247" spans="2:15" ht="26.25" customHeight="1" x14ac:dyDescent="0.25">
      <c r="B1247" s="130"/>
      <c r="C1247" s="135"/>
      <c r="D1247" s="177"/>
      <c r="E1247" s="178"/>
      <c r="F1247" s="178"/>
      <c r="G1247" s="340"/>
      <c r="H1247" s="340"/>
      <c r="I1247" s="179"/>
      <c r="J1247" s="344"/>
      <c r="K1247" s="345"/>
      <c r="L1247" s="346"/>
      <c r="M1247" s="347"/>
      <c r="N1247" s="347"/>
      <c r="O1247" s="132"/>
    </row>
    <row r="1248" spans="2:15" ht="26.25" customHeight="1" x14ac:dyDescent="0.25">
      <c r="B1248" s="130"/>
      <c r="C1248" s="135"/>
      <c r="D1248" s="177"/>
      <c r="E1248" s="178"/>
      <c r="F1248" s="178"/>
      <c r="G1248" s="340"/>
      <c r="H1248" s="340"/>
      <c r="I1248" s="179"/>
      <c r="J1248" s="344"/>
      <c r="K1248" s="345"/>
      <c r="L1248" s="346"/>
      <c r="M1248" s="347"/>
      <c r="N1248" s="347"/>
      <c r="O1248" s="132"/>
    </row>
    <row r="1249" spans="2:15" ht="26.25" customHeight="1" x14ac:dyDescent="0.25">
      <c r="B1249" s="130"/>
      <c r="C1249" s="135"/>
      <c r="D1249" s="177"/>
      <c r="E1249" s="178"/>
      <c r="F1249" s="178"/>
      <c r="G1249" s="340"/>
      <c r="H1249" s="340"/>
      <c r="I1249" s="179"/>
      <c r="J1249" s="344"/>
      <c r="K1249" s="345"/>
      <c r="L1249" s="346"/>
      <c r="M1249" s="347"/>
      <c r="N1249" s="347"/>
      <c r="O1249" s="132"/>
    </row>
    <row r="1250" spans="2:15" ht="26.25" customHeight="1" x14ac:dyDescent="0.25">
      <c r="B1250" s="130"/>
      <c r="C1250" s="135"/>
      <c r="D1250" s="177"/>
      <c r="E1250" s="178"/>
      <c r="F1250" s="178"/>
      <c r="G1250" s="340"/>
      <c r="H1250" s="340"/>
      <c r="I1250" s="179"/>
      <c r="J1250" s="344"/>
      <c r="K1250" s="345"/>
      <c r="L1250" s="346"/>
      <c r="M1250" s="347"/>
      <c r="N1250" s="347"/>
      <c r="O1250" s="132"/>
    </row>
    <row r="1251" spans="2:15" ht="26.25" customHeight="1" x14ac:dyDescent="0.25">
      <c r="B1251" s="130"/>
      <c r="C1251" s="135"/>
      <c r="D1251" s="177"/>
      <c r="E1251" s="178"/>
      <c r="F1251" s="178"/>
      <c r="G1251" s="340"/>
      <c r="H1251" s="340"/>
      <c r="I1251" s="179"/>
      <c r="J1251" s="344"/>
      <c r="K1251" s="345"/>
      <c r="L1251" s="346"/>
      <c r="M1251" s="347"/>
      <c r="N1251" s="347"/>
      <c r="O1251" s="132"/>
    </row>
    <row r="1252" spans="2:15" ht="26.25" customHeight="1" x14ac:dyDescent="0.25">
      <c r="B1252" s="130"/>
      <c r="C1252" s="135"/>
      <c r="D1252" s="177"/>
      <c r="E1252" s="178"/>
      <c r="F1252" s="178"/>
      <c r="G1252" s="340"/>
      <c r="H1252" s="340"/>
      <c r="I1252" s="179"/>
      <c r="J1252" s="344"/>
      <c r="K1252" s="345"/>
      <c r="L1252" s="346"/>
      <c r="M1252" s="347"/>
      <c r="N1252" s="347"/>
      <c r="O1252" s="132"/>
    </row>
    <row r="1253" spans="2:15" ht="26.25" customHeight="1" x14ac:dyDescent="0.25">
      <c r="B1253" s="130"/>
      <c r="C1253" s="135"/>
      <c r="D1253" s="177"/>
      <c r="E1253" s="178"/>
      <c r="F1253" s="178"/>
      <c r="G1253" s="340"/>
      <c r="H1253" s="340"/>
      <c r="I1253" s="179"/>
      <c r="J1253" s="344"/>
      <c r="K1253" s="345"/>
      <c r="L1253" s="346"/>
      <c r="M1253" s="347"/>
      <c r="N1253" s="347"/>
      <c r="O1253" s="132"/>
    </row>
    <row r="1254" spans="2:15" ht="26.25" customHeight="1" x14ac:dyDescent="0.25">
      <c r="B1254" s="130"/>
      <c r="C1254" s="135"/>
      <c r="D1254" s="177"/>
      <c r="E1254" s="178"/>
      <c r="F1254" s="178"/>
      <c r="G1254" s="340"/>
      <c r="H1254" s="340"/>
      <c r="I1254" s="179"/>
      <c r="J1254" s="344"/>
      <c r="K1254" s="345"/>
      <c r="L1254" s="346"/>
      <c r="M1254" s="347"/>
      <c r="N1254" s="347"/>
      <c r="O1254" s="132"/>
    </row>
    <row r="1255" spans="2:15" ht="26.25" customHeight="1" x14ac:dyDescent="0.25">
      <c r="B1255" s="130"/>
      <c r="C1255" s="135"/>
      <c r="D1255" s="177"/>
      <c r="E1255" s="178"/>
      <c r="F1255" s="178"/>
      <c r="G1255" s="340"/>
      <c r="H1255" s="340"/>
      <c r="I1255" s="179"/>
      <c r="J1255" s="344"/>
      <c r="K1255" s="345"/>
      <c r="L1255" s="346"/>
      <c r="M1255" s="347"/>
      <c r="N1255" s="347"/>
      <c r="O1255" s="132"/>
    </row>
    <row r="1256" spans="2:15" ht="26.25" customHeight="1" x14ac:dyDescent="0.25">
      <c r="B1256" s="130"/>
      <c r="C1256" s="135"/>
      <c r="D1256" s="177"/>
      <c r="E1256" s="178"/>
      <c r="F1256" s="178"/>
      <c r="G1256" s="340"/>
      <c r="H1256" s="340"/>
      <c r="I1256" s="179"/>
      <c r="J1256" s="344"/>
      <c r="K1256" s="345"/>
      <c r="L1256" s="346"/>
      <c r="M1256" s="347"/>
      <c r="N1256" s="347"/>
      <c r="O1256" s="132"/>
    </row>
    <row r="1257" spans="2:15" ht="26.25" customHeight="1" x14ac:dyDescent="0.25">
      <c r="B1257" s="130"/>
      <c r="C1257" s="135"/>
      <c r="D1257" s="177"/>
      <c r="E1257" s="178"/>
      <c r="F1257" s="178"/>
      <c r="G1257" s="340"/>
      <c r="H1257" s="340"/>
      <c r="I1257" s="179"/>
      <c r="J1257" s="344"/>
      <c r="K1257" s="345"/>
      <c r="L1257" s="346"/>
      <c r="M1257" s="347"/>
      <c r="N1257" s="347"/>
      <c r="O1257" s="132"/>
    </row>
    <row r="1258" spans="2:15" ht="26.25" customHeight="1" x14ac:dyDescent="0.25">
      <c r="B1258" s="130"/>
      <c r="C1258" s="135"/>
      <c r="D1258" s="177"/>
      <c r="E1258" s="178"/>
      <c r="F1258" s="178"/>
      <c r="G1258" s="340"/>
      <c r="H1258" s="340"/>
      <c r="I1258" s="179"/>
      <c r="J1258" s="344"/>
      <c r="K1258" s="345"/>
      <c r="L1258" s="346"/>
      <c r="M1258" s="347"/>
      <c r="N1258" s="347"/>
      <c r="O1258" s="132"/>
    </row>
    <row r="1259" spans="2:15" ht="26.25" customHeight="1" x14ac:dyDescent="0.25">
      <c r="B1259" s="130"/>
      <c r="C1259" s="135"/>
      <c r="D1259" s="177"/>
      <c r="E1259" s="178"/>
      <c r="F1259" s="178"/>
      <c r="G1259" s="340"/>
      <c r="H1259" s="340"/>
      <c r="I1259" s="179"/>
      <c r="J1259" s="344"/>
      <c r="K1259" s="345"/>
      <c r="L1259" s="346"/>
      <c r="M1259" s="347"/>
      <c r="N1259" s="347"/>
      <c r="O1259" s="132"/>
    </row>
    <row r="1260" spans="2:15" ht="26.25" customHeight="1" x14ac:dyDescent="0.25">
      <c r="B1260" s="130"/>
      <c r="C1260" s="135"/>
      <c r="D1260" s="177"/>
      <c r="E1260" s="178"/>
      <c r="F1260" s="178"/>
      <c r="G1260" s="340"/>
      <c r="H1260" s="340"/>
      <c r="I1260" s="179"/>
      <c r="J1260" s="344"/>
      <c r="K1260" s="345"/>
      <c r="L1260" s="346"/>
      <c r="M1260" s="347"/>
      <c r="N1260" s="347"/>
      <c r="O1260" s="132"/>
    </row>
    <row r="1261" spans="2:15" ht="26.25" customHeight="1" x14ac:dyDescent="0.25">
      <c r="B1261" s="130"/>
      <c r="C1261" s="135"/>
      <c r="D1261" s="177"/>
      <c r="E1261" s="178"/>
      <c r="F1261" s="178"/>
      <c r="G1261" s="340"/>
      <c r="H1261" s="340"/>
      <c r="I1261" s="179"/>
      <c r="J1261" s="344"/>
      <c r="K1261" s="345"/>
      <c r="L1261" s="346"/>
      <c r="M1261" s="347"/>
      <c r="N1261" s="347"/>
      <c r="O1261" s="132"/>
    </row>
    <row r="1262" spans="2:15" ht="26.25" customHeight="1" x14ac:dyDescent="0.25">
      <c r="B1262" s="130"/>
      <c r="C1262" s="135"/>
      <c r="D1262" s="177"/>
      <c r="E1262" s="178"/>
      <c r="F1262" s="178"/>
      <c r="G1262" s="340"/>
      <c r="H1262" s="340"/>
      <c r="I1262" s="179"/>
      <c r="J1262" s="344"/>
      <c r="K1262" s="345"/>
      <c r="L1262" s="346"/>
      <c r="M1262" s="347"/>
      <c r="N1262" s="347"/>
      <c r="O1262" s="132"/>
    </row>
    <row r="1263" spans="2:15" ht="26.25" customHeight="1" x14ac:dyDescent="0.25">
      <c r="B1263" s="130"/>
      <c r="C1263" s="135"/>
      <c r="D1263" s="177"/>
      <c r="E1263" s="178"/>
      <c r="F1263" s="178"/>
      <c r="G1263" s="340"/>
      <c r="H1263" s="340"/>
      <c r="I1263" s="179"/>
      <c r="J1263" s="344"/>
      <c r="K1263" s="345"/>
      <c r="L1263" s="346"/>
      <c r="M1263" s="347"/>
      <c r="N1263" s="347"/>
      <c r="O1263" s="132"/>
    </row>
    <row r="1264" spans="2:15" ht="26.25" customHeight="1" x14ac:dyDescent="0.25">
      <c r="B1264" s="130"/>
      <c r="C1264" s="135"/>
      <c r="D1264" s="177"/>
      <c r="E1264" s="178"/>
      <c r="F1264" s="178"/>
      <c r="G1264" s="340"/>
      <c r="H1264" s="340"/>
      <c r="I1264" s="179"/>
      <c r="J1264" s="344"/>
      <c r="K1264" s="345"/>
      <c r="L1264" s="346"/>
      <c r="M1264" s="347"/>
      <c r="N1264" s="347"/>
      <c r="O1264" s="132"/>
    </row>
    <row r="1265" spans="2:15" ht="26.25" customHeight="1" x14ac:dyDescent="0.25">
      <c r="B1265" s="130"/>
      <c r="C1265" s="135"/>
      <c r="D1265" s="177"/>
      <c r="E1265" s="178"/>
      <c r="F1265" s="178"/>
      <c r="G1265" s="340"/>
      <c r="H1265" s="340"/>
      <c r="I1265" s="179"/>
      <c r="J1265" s="344"/>
      <c r="K1265" s="345"/>
      <c r="L1265" s="346"/>
      <c r="M1265" s="347"/>
      <c r="N1265" s="347"/>
      <c r="O1265" s="132"/>
    </row>
    <row r="1266" spans="2:15" ht="26.25" customHeight="1" x14ac:dyDescent="0.25">
      <c r="B1266" s="130"/>
      <c r="C1266" s="135"/>
      <c r="D1266" s="177"/>
      <c r="E1266" s="178"/>
      <c r="F1266" s="178"/>
      <c r="G1266" s="340"/>
      <c r="H1266" s="340"/>
      <c r="I1266" s="179"/>
      <c r="J1266" s="344"/>
      <c r="K1266" s="345"/>
      <c r="L1266" s="346"/>
      <c r="M1266" s="347"/>
      <c r="N1266" s="347"/>
      <c r="O1266" s="132"/>
    </row>
    <row r="1267" spans="2:15" ht="26.25" customHeight="1" x14ac:dyDescent="0.25">
      <c r="B1267" s="130"/>
      <c r="C1267" s="135"/>
      <c r="D1267" s="177"/>
      <c r="E1267" s="178"/>
      <c r="F1267" s="178"/>
      <c r="G1267" s="340"/>
      <c r="H1267" s="340"/>
      <c r="I1267" s="179"/>
      <c r="J1267" s="344"/>
      <c r="K1267" s="345"/>
      <c r="L1267" s="346"/>
      <c r="M1267" s="347"/>
      <c r="N1267" s="347"/>
      <c r="O1267" s="132"/>
    </row>
    <row r="1268" spans="2:15" ht="26.25" customHeight="1" x14ac:dyDescent="0.25">
      <c r="B1268" s="130"/>
      <c r="C1268" s="135"/>
      <c r="D1268" s="177"/>
      <c r="E1268" s="178"/>
      <c r="F1268" s="178"/>
      <c r="G1268" s="340"/>
      <c r="H1268" s="340"/>
      <c r="I1268" s="179"/>
      <c r="J1268" s="344"/>
      <c r="K1268" s="345"/>
      <c r="L1268" s="346"/>
      <c r="M1268" s="347"/>
      <c r="N1268" s="347"/>
      <c r="O1268" s="132"/>
    </row>
    <row r="1269" spans="2:15" ht="26.25" customHeight="1" x14ac:dyDescent="0.25">
      <c r="B1269" s="130"/>
      <c r="C1269" s="135"/>
      <c r="D1269" s="177"/>
      <c r="E1269" s="178"/>
      <c r="F1269" s="178"/>
      <c r="G1269" s="340"/>
      <c r="H1269" s="340"/>
      <c r="I1269" s="179"/>
      <c r="J1269" s="344"/>
      <c r="K1269" s="345"/>
      <c r="L1269" s="346"/>
      <c r="M1269" s="347"/>
      <c r="N1269" s="347"/>
      <c r="O1269" s="132"/>
    </row>
    <row r="1270" spans="2:15" ht="26.25" customHeight="1" x14ac:dyDescent="0.25">
      <c r="B1270" s="130"/>
      <c r="C1270" s="135"/>
      <c r="D1270" s="177"/>
      <c r="E1270" s="178"/>
      <c r="F1270" s="178"/>
      <c r="G1270" s="340"/>
      <c r="H1270" s="340"/>
      <c r="I1270" s="179"/>
      <c r="J1270" s="344"/>
      <c r="K1270" s="345"/>
      <c r="L1270" s="346"/>
      <c r="M1270" s="347"/>
      <c r="N1270" s="347"/>
      <c r="O1270" s="132"/>
    </row>
    <row r="1271" spans="2:15" ht="26.25" customHeight="1" x14ac:dyDescent="0.25">
      <c r="B1271" s="130"/>
      <c r="C1271" s="135"/>
      <c r="D1271" s="177"/>
      <c r="E1271" s="178"/>
      <c r="F1271" s="178"/>
      <c r="G1271" s="340"/>
      <c r="H1271" s="340"/>
      <c r="I1271" s="179"/>
      <c r="J1271" s="344"/>
      <c r="K1271" s="345"/>
      <c r="L1271" s="346"/>
      <c r="M1271" s="347"/>
      <c r="N1271" s="347"/>
      <c r="O1271" s="132"/>
    </row>
    <row r="1272" spans="2:15" ht="26.25" customHeight="1" x14ac:dyDescent="0.25">
      <c r="B1272" s="130"/>
      <c r="C1272" s="135"/>
      <c r="D1272" s="177"/>
      <c r="E1272" s="178"/>
      <c r="F1272" s="178"/>
      <c r="G1272" s="340"/>
      <c r="H1272" s="340"/>
      <c r="I1272" s="179"/>
      <c r="J1272" s="344"/>
      <c r="K1272" s="345"/>
      <c r="L1272" s="346"/>
      <c r="M1272" s="347"/>
      <c r="N1272" s="347"/>
      <c r="O1272" s="132"/>
    </row>
    <row r="1273" spans="2:15" ht="26.25" customHeight="1" x14ac:dyDescent="0.25">
      <c r="B1273" s="130"/>
      <c r="C1273" s="135"/>
      <c r="D1273" s="177"/>
      <c r="E1273" s="178"/>
      <c r="F1273" s="178"/>
      <c r="G1273" s="340"/>
      <c r="H1273" s="340"/>
      <c r="I1273" s="179"/>
      <c r="J1273" s="344"/>
      <c r="K1273" s="345"/>
      <c r="L1273" s="346"/>
      <c r="M1273" s="347"/>
      <c r="N1273" s="347"/>
      <c r="O1273" s="132"/>
    </row>
    <row r="1274" spans="2:15" ht="26.25" customHeight="1" x14ac:dyDescent="0.25">
      <c r="B1274" s="130"/>
      <c r="C1274" s="135"/>
      <c r="D1274" s="177"/>
      <c r="E1274" s="178"/>
      <c r="F1274" s="178"/>
      <c r="G1274" s="340"/>
      <c r="H1274" s="340"/>
      <c r="I1274" s="179"/>
      <c r="J1274" s="344"/>
      <c r="K1274" s="345"/>
      <c r="L1274" s="346"/>
      <c r="M1274" s="347"/>
      <c r="N1274" s="347"/>
      <c r="O1274" s="132"/>
    </row>
    <row r="1275" spans="2:15" ht="26.25" customHeight="1" x14ac:dyDescent="0.25">
      <c r="B1275" s="130"/>
      <c r="C1275" s="135"/>
      <c r="D1275" s="177"/>
      <c r="E1275" s="178"/>
      <c r="F1275" s="178"/>
      <c r="G1275" s="340"/>
      <c r="H1275" s="340"/>
      <c r="I1275" s="179"/>
      <c r="J1275" s="344"/>
      <c r="K1275" s="345"/>
      <c r="L1275" s="346"/>
      <c r="M1275" s="347"/>
      <c r="N1275" s="347"/>
      <c r="O1275" s="132"/>
    </row>
    <row r="1276" spans="2:15" ht="26.25" customHeight="1" x14ac:dyDescent="0.25">
      <c r="B1276" s="130"/>
      <c r="C1276" s="135"/>
      <c r="D1276" s="177"/>
      <c r="E1276" s="178"/>
      <c r="F1276" s="178"/>
      <c r="G1276" s="340"/>
      <c r="H1276" s="340"/>
      <c r="I1276" s="179"/>
      <c r="J1276" s="344"/>
      <c r="K1276" s="345"/>
      <c r="L1276" s="346"/>
      <c r="M1276" s="347"/>
      <c r="N1276" s="347"/>
      <c r="O1276" s="132"/>
    </row>
    <row r="1277" spans="2:15" ht="26.25" customHeight="1" x14ac:dyDescent="0.25">
      <c r="B1277" s="130"/>
      <c r="C1277" s="135"/>
      <c r="D1277" s="177"/>
      <c r="E1277" s="178"/>
      <c r="F1277" s="178"/>
      <c r="G1277" s="340"/>
      <c r="H1277" s="340"/>
      <c r="I1277" s="179"/>
      <c r="J1277" s="344"/>
      <c r="K1277" s="345"/>
      <c r="L1277" s="346"/>
      <c r="M1277" s="347"/>
      <c r="N1277" s="347"/>
      <c r="O1277" s="132"/>
    </row>
    <row r="1278" spans="2:15" ht="26.25" customHeight="1" x14ac:dyDescent="0.25">
      <c r="B1278" s="130"/>
      <c r="C1278" s="135"/>
      <c r="D1278" s="177"/>
      <c r="E1278" s="178"/>
      <c r="F1278" s="178"/>
      <c r="G1278" s="340"/>
      <c r="H1278" s="340"/>
      <c r="I1278" s="179"/>
      <c r="J1278" s="344"/>
      <c r="K1278" s="345"/>
      <c r="L1278" s="346"/>
      <c r="M1278" s="347"/>
      <c r="N1278" s="347"/>
      <c r="O1278" s="132"/>
    </row>
    <row r="1279" spans="2:15" ht="26.25" customHeight="1" x14ac:dyDescent="0.25">
      <c r="B1279" s="130"/>
      <c r="C1279" s="135"/>
      <c r="D1279" s="177"/>
      <c r="E1279" s="178"/>
      <c r="F1279" s="178"/>
      <c r="G1279" s="340"/>
      <c r="H1279" s="340"/>
      <c r="I1279" s="179"/>
      <c r="J1279" s="344"/>
      <c r="K1279" s="345"/>
      <c r="L1279" s="346"/>
      <c r="M1279" s="347"/>
      <c r="N1279" s="347"/>
      <c r="O1279" s="132"/>
    </row>
    <row r="1280" spans="2:15" ht="26.25" customHeight="1" x14ac:dyDescent="0.25">
      <c r="B1280" s="130"/>
      <c r="C1280" s="135"/>
      <c r="D1280" s="177"/>
      <c r="E1280" s="178"/>
      <c r="F1280" s="178"/>
      <c r="G1280" s="340"/>
      <c r="H1280" s="340"/>
      <c r="I1280" s="179"/>
      <c r="J1280" s="344"/>
      <c r="K1280" s="345"/>
      <c r="L1280" s="346"/>
      <c r="M1280" s="347"/>
      <c r="N1280" s="347"/>
      <c r="O1280" s="132"/>
    </row>
    <row r="1281" spans="2:15" ht="26.25" customHeight="1" x14ac:dyDescent="0.25">
      <c r="B1281" s="130"/>
      <c r="C1281" s="135"/>
      <c r="D1281" s="177"/>
      <c r="E1281" s="178"/>
      <c r="F1281" s="178"/>
      <c r="G1281" s="340"/>
      <c r="H1281" s="340"/>
      <c r="I1281" s="179"/>
      <c r="J1281" s="344"/>
      <c r="K1281" s="345"/>
      <c r="L1281" s="346"/>
      <c r="M1281" s="347"/>
      <c r="N1281" s="347"/>
      <c r="O1281" s="132"/>
    </row>
    <row r="1282" spans="2:15" ht="26.25" customHeight="1" x14ac:dyDescent="0.25">
      <c r="B1282" s="130"/>
      <c r="C1282" s="135"/>
      <c r="D1282" s="177"/>
      <c r="E1282" s="178"/>
      <c r="F1282" s="178"/>
      <c r="G1282" s="340"/>
      <c r="H1282" s="340"/>
      <c r="I1282" s="179"/>
      <c r="J1282" s="344"/>
      <c r="K1282" s="345"/>
      <c r="L1282" s="346"/>
      <c r="M1282" s="347"/>
      <c r="N1282" s="347"/>
      <c r="O1282" s="132"/>
    </row>
    <row r="1283" spans="2:15" ht="26.25" customHeight="1" x14ac:dyDescent="0.25">
      <c r="B1283" s="130"/>
      <c r="C1283" s="135"/>
      <c r="D1283" s="177"/>
      <c r="E1283" s="178"/>
      <c r="F1283" s="178"/>
      <c r="G1283" s="340"/>
      <c r="H1283" s="340"/>
      <c r="I1283" s="179"/>
      <c r="J1283" s="344"/>
      <c r="K1283" s="345"/>
      <c r="L1283" s="346"/>
      <c r="M1283" s="347"/>
      <c r="N1283" s="347"/>
      <c r="O1283" s="132"/>
    </row>
    <row r="1284" spans="2:15" ht="26.25" customHeight="1" x14ac:dyDescent="0.25">
      <c r="B1284" s="130"/>
      <c r="C1284" s="135"/>
      <c r="D1284" s="177"/>
      <c r="E1284" s="178"/>
      <c r="F1284" s="178"/>
      <c r="G1284" s="340"/>
      <c r="H1284" s="340"/>
      <c r="I1284" s="179"/>
      <c r="J1284" s="344"/>
      <c r="K1284" s="345"/>
      <c r="L1284" s="346"/>
      <c r="M1284" s="347"/>
      <c r="N1284" s="347"/>
      <c r="O1284" s="132"/>
    </row>
    <row r="1285" spans="2:15" ht="26.25" customHeight="1" x14ac:dyDescent="0.25">
      <c r="B1285" s="130"/>
      <c r="C1285" s="135"/>
      <c r="D1285" s="177"/>
      <c r="E1285" s="178"/>
      <c r="F1285" s="178"/>
      <c r="G1285" s="340"/>
      <c r="H1285" s="340"/>
      <c r="I1285" s="179"/>
      <c r="J1285" s="344"/>
      <c r="K1285" s="345"/>
      <c r="L1285" s="346"/>
      <c r="M1285" s="347"/>
      <c r="N1285" s="347"/>
      <c r="O1285" s="132"/>
    </row>
    <row r="1286" spans="2:15" ht="26.25" customHeight="1" x14ac:dyDescent="0.25">
      <c r="B1286" s="130"/>
      <c r="C1286" s="135"/>
      <c r="D1286" s="177"/>
      <c r="E1286" s="178"/>
      <c r="F1286" s="178"/>
      <c r="G1286" s="340"/>
      <c r="H1286" s="340"/>
      <c r="I1286" s="179"/>
      <c r="J1286" s="344"/>
      <c r="K1286" s="345"/>
      <c r="L1286" s="346"/>
      <c r="M1286" s="347"/>
      <c r="N1286" s="347"/>
      <c r="O1286" s="132"/>
    </row>
    <row r="1287" spans="2:15" ht="26.25" customHeight="1" x14ac:dyDescent="0.25">
      <c r="B1287" s="130"/>
      <c r="C1287" s="135"/>
      <c r="D1287" s="177"/>
      <c r="E1287" s="178"/>
      <c r="F1287" s="178"/>
      <c r="G1287" s="340"/>
      <c r="H1287" s="340"/>
      <c r="I1287" s="179"/>
      <c r="J1287" s="344"/>
      <c r="K1287" s="345"/>
      <c r="L1287" s="346"/>
      <c r="M1287" s="347"/>
      <c r="N1287" s="347"/>
      <c r="O1287" s="132"/>
    </row>
    <row r="1288" spans="2:15" ht="26.25" customHeight="1" x14ac:dyDescent="0.25">
      <c r="B1288" s="130"/>
      <c r="C1288" s="135"/>
      <c r="D1288" s="177"/>
      <c r="E1288" s="178"/>
      <c r="F1288" s="178"/>
      <c r="G1288" s="340"/>
      <c r="H1288" s="340"/>
      <c r="I1288" s="179"/>
      <c r="J1288" s="344"/>
      <c r="K1288" s="345"/>
      <c r="L1288" s="346"/>
      <c r="M1288" s="347"/>
      <c r="N1288" s="347"/>
      <c r="O1288" s="132"/>
    </row>
    <row r="1289" spans="2:15" ht="26.25" customHeight="1" x14ac:dyDescent="0.25">
      <c r="B1289" s="130"/>
      <c r="C1289" s="135"/>
      <c r="D1289" s="177"/>
      <c r="E1289" s="178"/>
      <c r="F1289" s="178"/>
      <c r="G1289" s="340"/>
      <c r="H1289" s="340"/>
      <c r="I1289" s="179"/>
      <c r="J1289" s="344"/>
      <c r="K1289" s="345"/>
      <c r="L1289" s="346"/>
      <c r="M1289" s="347"/>
      <c r="N1289" s="347"/>
      <c r="O1289" s="132"/>
    </row>
    <row r="1290" spans="2:15" ht="26.25" customHeight="1" x14ac:dyDescent="0.25">
      <c r="B1290" s="130"/>
      <c r="C1290" s="135"/>
      <c r="D1290" s="177"/>
      <c r="E1290" s="178"/>
      <c r="F1290" s="178"/>
      <c r="G1290" s="340"/>
      <c r="H1290" s="340"/>
      <c r="I1290" s="179"/>
      <c r="J1290" s="344"/>
      <c r="K1290" s="345"/>
      <c r="L1290" s="346"/>
      <c r="M1290" s="347"/>
      <c r="N1290" s="347"/>
      <c r="O1290" s="132"/>
    </row>
    <row r="1291" spans="2:15" ht="26.25" customHeight="1" x14ac:dyDescent="0.25">
      <c r="B1291" s="130"/>
      <c r="C1291" s="135"/>
      <c r="D1291" s="177"/>
      <c r="E1291" s="178"/>
      <c r="F1291" s="178"/>
      <c r="G1291" s="340"/>
      <c r="H1291" s="340"/>
      <c r="I1291" s="179"/>
      <c r="J1291" s="344"/>
      <c r="K1291" s="345"/>
      <c r="L1291" s="346"/>
      <c r="M1291" s="347"/>
      <c r="N1291" s="347"/>
      <c r="O1291" s="132"/>
    </row>
    <row r="1292" spans="2:15" ht="26.25" customHeight="1" x14ac:dyDescent="0.25">
      <c r="B1292" s="130"/>
      <c r="C1292" s="135"/>
      <c r="D1292" s="177"/>
      <c r="E1292" s="178"/>
      <c r="F1292" s="178"/>
      <c r="G1292" s="340"/>
      <c r="H1292" s="340"/>
      <c r="I1292" s="179"/>
      <c r="J1292" s="344"/>
      <c r="K1292" s="345"/>
      <c r="L1292" s="346"/>
      <c r="M1292" s="347"/>
      <c r="N1292" s="347"/>
      <c r="O1292" s="132"/>
    </row>
    <row r="1293" spans="2:15" ht="26.25" customHeight="1" x14ac:dyDescent="0.25">
      <c r="B1293" s="130"/>
      <c r="C1293" s="135"/>
      <c r="D1293" s="177"/>
      <c r="E1293" s="178"/>
      <c r="F1293" s="178"/>
      <c r="G1293" s="340"/>
      <c r="H1293" s="340"/>
      <c r="I1293" s="179"/>
      <c r="J1293" s="344"/>
      <c r="K1293" s="345"/>
      <c r="L1293" s="346"/>
      <c r="M1293" s="347"/>
      <c r="N1293" s="347"/>
      <c r="O1293" s="132"/>
    </row>
    <row r="1294" spans="2:15" ht="26.25" customHeight="1" x14ac:dyDescent="0.25">
      <c r="B1294" s="130"/>
      <c r="C1294" s="135"/>
      <c r="D1294" s="177"/>
      <c r="E1294" s="178"/>
      <c r="F1294" s="178"/>
      <c r="G1294" s="340"/>
      <c r="H1294" s="340"/>
      <c r="I1294" s="179"/>
      <c r="J1294" s="344"/>
      <c r="K1294" s="345"/>
      <c r="L1294" s="346"/>
      <c r="M1294" s="347"/>
      <c r="N1294" s="347"/>
      <c r="O1294" s="132"/>
    </row>
    <row r="1295" spans="2:15" ht="26.25" customHeight="1" x14ac:dyDescent="0.25">
      <c r="B1295" s="130"/>
      <c r="C1295" s="135"/>
      <c r="D1295" s="177"/>
      <c r="E1295" s="178"/>
      <c r="F1295" s="178"/>
      <c r="G1295" s="340"/>
      <c r="H1295" s="340"/>
      <c r="I1295" s="179"/>
      <c r="J1295" s="344"/>
      <c r="K1295" s="345"/>
      <c r="L1295" s="346"/>
      <c r="M1295" s="347"/>
      <c r="N1295" s="347"/>
      <c r="O1295" s="132"/>
    </row>
    <row r="1296" spans="2:15" ht="26.25" customHeight="1" x14ac:dyDescent="0.25">
      <c r="B1296" s="130"/>
      <c r="C1296" s="135"/>
      <c r="D1296" s="177"/>
      <c r="E1296" s="178"/>
      <c r="F1296" s="178"/>
      <c r="G1296" s="340"/>
      <c r="H1296" s="340"/>
      <c r="I1296" s="179"/>
      <c r="J1296" s="344"/>
      <c r="K1296" s="345"/>
      <c r="L1296" s="346"/>
      <c r="M1296" s="347"/>
      <c r="N1296" s="347"/>
      <c r="O1296" s="132"/>
    </row>
    <row r="1297" spans="2:15" ht="26.25" customHeight="1" x14ac:dyDescent="0.25">
      <c r="B1297" s="130"/>
      <c r="C1297" s="135"/>
      <c r="D1297" s="177"/>
      <c r="E1297" s="178"/>
      <c r="F1297" s="178"/>
      <c r="G1297" s="340"/>
      <c r="H1297" s="340"/>
      <c r="I1297" s="179"/>
      <c r="J1297" s="344"/>
      <c r="K1297" s="345"/>
      <c r="L1297" s="346"/>
      <c r="M1297" s="347"/>
      <c r="N1297" s="347"/>
      <c r="O1297" s="132"/>
    </row>
    <row r="1298" spans="2:15" ht="26.25" customHeight="1" x14ac:dyDescent="0.25">
      <c r="B1298" s="130"/>
      <c r="C1298" s="135"/>
      <c r="D1298" s="177"/>
      <c r="E1298" s="178"/>
      <c r="F1298" s="178"/>
      <c r="G1298" s="340"/>
      <c r="H1298" s="340"/>
      <c r="I1298" s="179"/>
      <c r="J1298" s="344"/>
      <c r="K1298" s="345"/>
      <c r="L1298" s="346"/>
      <c r="M1298" s="347"/>
      <c r="N1298" s="347"/>
      <c r="O1298" s="132"/>
    </row>
    <row r="1299" spans="2:15" ht="26.25" customHeight="1" x14ac:dyDescent="0.25">
      <c r="B1299" s="130"/>
      <c r="C1299" s="135"/>
      <c r="D1299" s="177"/>
      <c r="E1299" s="178"/>
      <c r="F1299" s="178"/>
      <c r="G1299" s="340"/>
      <c r="H1299" s="340"/>
      <c r="I1299" s="179"/>
      <c r="J1299" s="344"/>
      <c r="K1299" s="345"/>
      <c r="L1299" s="346"/>
      <c r="M1299" s="347"/>
      <c r="N1299" s="347"/>
      <c r="O1299" s="132"/>
    </row>
    <row r="1300" spans="2:15" ht="26.25" customHeight="1" x14ac:dyDescent="0.25">
      <c r="B1300" s="130"/>
      <c r="C1300" s="135"/>
      <c r="D1300" s="177"/>
      <c r="E1300" s="178"/>
      <c r="F1300" s="178"/>
      <c r="G1300" s="340"/>
      <c r="H1300" s="340"/>
      <c r="I1300" s="179"/>
      <c r="J1300" s="344"/>
      <c r="K1300" s="345"/>
      <c r="L1300" s="346"/>
      <c r="M1300" s="347"/>
      <c r="N1300" s="347"/>
      <c r="O1300" s="132"/>
    </row>
    <row r="1301" spans="2:15" ht="26.25" customHeight="1" x14ac:dyDescent="0.25">
      <c r="B1301" s="130"/>
      <c r="C1301" s="135"/>
      <c r="D1301" s="177"/>
      <c r="E1301" s="178"/>
      <c r="F1301" s="178"/>
      <c r="G1301" s="340"/>
      <c r="H1301" s="340"/>
      <c r="I1301" s="179"/>
      <c r="J1301" s="344"/>
      <c r="K1301" s="345"/>
      <c r="L1301" s="346"/>
      <c r="M1301" s="347"/>
      <c r="N1301" s="347"/>
      <c r="O1301" s="132"/>
    </row>
    <row r="1302" spans="2:15" ht="26.25" customHeight="1" x14ac:dyDescent="0.25">
      <c r="B1302" s="130"/>
      <c r="C1302" s="135"/>
      <c r="D1302" s="177"/>
      <c r="E1302" s="178"/>
      <c r="F1302" s="178"/>
      <c r="G1302" s="340"/>
      <c r="H1302" s="340"/>
      <c r="I1302" s="179"/>
      <c r="J1302" s="344"/>
      <c r="K1302" s="345"/>
      <c r="L1302" s="346"/>
      <c r="M1302" s="347"/>
      <c r="N1302" s="347"/>
      <c r="O1302" s="132"/>
    </row>
    <row r="1303" spans="2:15" ht="26.25" customHeight="1" x14ac:dyDescent="0.25">
      <c r="B1303" s="130"/>
      <c r="C1303" s="135"/>
      <c r="D1303" s="177"/>
      <c r="E1303" s="178"/>
      <c r="F1303" s="178"/>
      <c r="G1303" s="340"/>
      <c r="H1303" s="340"/>
      <c r="I1303" s="179"/>
      <c r="J1303" s="344"/>
      <c r="K1303" s="345"/>
      <c r="L1303" s="346"/>
      <c r="M1303" s="347"/>
      <c r="N1303" s="347"/>
      <c r="O1303" s="132"/>
    </row>
    <row r="1304" spans="2:15" ht="26.25" customHeight="1" x14ac:dyDescent="0.25">
      <c r="B1304" s="130"/>
      <c r="C1304" s="135"/>
      <c r="D1304" s="177"/>
      <c r="E1304" s="178"/>
      <c r="F1304" s="178"/>
      <c r="G1304" s="340"/>
      <c r="H1304" s="340"/>
      <c r="I1304" s="179"/>
      <c r="J1304" s="344"/>
      <c r="K1304" s="345"/>
      <c r="L1304" s="346"/>
      <c r="M1304" s="347"/>
      <c r="N1304" s="347"/>
      <c r="O1304" s="132"/>
    </row>
    <row r="1305" spans="2:15" ht="26.25" customHeight="1" x14ac:dyDescent="0.25">
      <c r="B1305" s="130"/>
      <c r="C1305" s="135"/>
      <c r="D1305" s="177"/>
      <c r="E1305" s="178"/>
      <c r="F1305" s="178"/>
      <c r="G1305" s="340"/>
      <c r="H1305" s="340"/>
      <c r="I1305" s="179"/>
      <c r="J1305" s="344"/>
      <c r="K1305" s="345"/>
      <c r="L1305" s="346"/>
      <c r="M1305" s="347"/>
      <c r="N1305" s="347"/>
      <c r="O1305" s="132"/>
    </row>
    <row r="1306" spans="2:15" ht="26.25" customHeight="1" x14ac:dyDescent="0.25">
      <c r="B1306" s="130"/>
      <c r="C1306" s="135"/>
      <c r="D1306" s="177"/>
      <c r="E1306" s="178"/>
      <c r="F1306" s="178"/>
      <c r="G1306" s="340"/>
      <c r="H1306" s="340"/>
      <c r="I1306" s="179"/>
      <c r="J1306" s="344"/>
      <c r="K1306" s="345"/>
      <c r="L1306" s="346"/>
      <c r="M1306" s="347"/>
      <c r="N1306" s="347"/>
      <c r="O1306" s="132"/>
    </row>
    <row r="1307" spans="2:15" ht="26.25" customHeight="1" x14ac:dyDescent="0.25">
      <c r="B1307" s="130"/>
      <c r="C1307" s="135"/>
      <c r="D1307" s="177"/>
      <c r="E1307" s="178"/>
      <c r="F1307" s="178"/>
      <c r="G1307" s="340"/>
      <c r="H1307" s="340"/>
      <c r="I1307" s="179"/>
      <c r="J1307" s="344"/>
      <c r="K1307" s="345"/>
      <c r="L1307" s="346"/>
      <c r="M1307" s="347"/>
      <c r="N1307" s="347"/>
      <c r="O1307" s="132"/>
    </row>
    <row r="1308" spans="2:15" ht="26.25" customHeight="1" x14ac:dyDescent="0.25">
      <c r="B1308" s="130"/>
      <c r="C1308" s="135"/>
      <c r="D1308" s="177"/>
      <c r="E1308" s="178"/>
      <c r="F1308" s="178"/>
      <c r="G1308" s="340"/>
      <c r="H1308" s="340"/>
      <c r="I1308" s="179"/>
      <c r="J1308" s="344"/>
      <c r="K1308" s="345"/>
      <c r="L1308" s="346"/>
      <c r="M1308" s="347"/>
      <c r="N1308" s="347"/>
      <c r="O1308" s="132"/>
    </row>
    <row r="1309" spans="2:15" ht="26.25" customHeight="1" x14ac:dyDescent="0.25">
      <c r="B1309" s="130"/>
      <c r="C1309" s="135"/>
      <c r="D1309" s="177"/>
      <c r="E1309" s="178"/>
      <c r="F1309" s="178"/>
      <c r="G1309" s="340"/>
      <c r="H1309" s="340"/>
      <c r="I1309" s="179"/>
      <c r="J1309" s="344"/>
      <c r="K1309" s="345"/>
      <c r="L1309" s="346"/>
      <c r="M1309" s="347"/>
      <c r="N1309" s="347"/>
      <c r="O1309" s="132"/>
    </row>
    <row r="1310" spans="2:15" ht="26.25" customHeight="1" x14ac:dyDescent="0.25">
      <c r="B1310" s="130"/>
      <c r="C1310" s="135"/>
      <c r="D1310" s="177"/>
      <c r="E1310" s="178"/>
      <c r="F1310" s="178"/>
      <c r="G1310" s="340"/>
      <c r="H1310" s="340"/>
      <c r="I1310" s="179"/>
      <c r="J1310" s="344"/>
      <c r="K1310" s="345"/>
      <c r="L1310" s="346"/>
      <c r="M1310" s="347"/>
      <c r="N1310" s="347"/>
      <c r="O1310" s="132"/>
    </row>
    <row r="1311" spans="2:15" ht="26.25" customHeight="1" x14ac:dyDescent="0.25">
      <c r="B1311" s="130"/>
      <c r="C1311" s="135"/>
      <c r="D1311" s="177"/>
      <c r="E1311" s="178"/>
      <c r="F1311" s="178"/>
      <c r="G1311" s="340"/>
      <c r="H1311" s="340"/>
      <c r="I1311" s="179"/>
      <c r="J1311" s="344"/>
      <c r="K1311" s="345"/>
      <c r="L1311" s="346"/>
      <c r="M1311" s="347"/>
      <c r="N1311" s="347"/>
      <c r="O1311" s="132"/>
    </row>
    <row r="1312" spans="2:15" ht="26.25" customHeight="1" x14ac:dyDescent="0.25">
      <c r="B1312" s="130"/>
      <c r="C1312" s="135"/>
      <c r="D1312" s="177"/>
      <c r="E1312" s="178"/>
      <c r="F1312" s="178"/>
      <c r="G1312" s="340"/>
      <c r="H1312" s="340"/>
      <c r="I1312" s="179"/>
      <c r="J1312" s="344"/>
      <c r="K1312" s="345"/>
      <c r="L1312" s="346"/>
      <c r="M1312" s="347"/>
      <c r="N1312" s="347"/>
      <c r="O1312" s="132"/>
    </row>
    <row r="1313" spans="2:15" ht="26.25" customHeight="1" x14ac:dyDescent="0.25">
      <c r="B1313" s="130"/>
      <c r="C1313" s="135"/>
      <c r="D1313" s="177"/>
      <c r="E1313" s="178"/>
      <c r="F1313" s="178"/>
      <c r="G1313" s="340"/>
      <c r="H1313" s="340"/>
      <c r="I1313" s="179"/>
      <c r="J1313" s="344"/>
      <c r="K1313" s="345"/>
      <c r="L1313" s="346"/>
      <c r="M1313" s="347"/>
      <c r="N1313" s="347"/>
      <c r="O1313" s="132"/>
    </row>
    <row r="1314" spans="2:15" ht="26.25" customHeight="1" x14ac:dyDescent="0.25">
      <c r="B1314" s="130"/>
      <c r="C1314" s="135"/>
      <c r="D1314" s="177"/>
      <c r="E1314" s="178"/>
      <c r="F1314" s="178"/>
      <c r="G1314" s="340"/>
      <c r="H1314" s="340"/>
      <c r="I1314" s="179"/>
      <c r="J1314" s="344"/>
      <c r="K1314" s="345"/>
      <c r="L1314" s="346"/>
      <c r="M1314" s="347"/>
      <c r="N1314" s="347"/>
      <c r="O1314" s="132"/>
    </row>
    <row r="1315" spans="2:15" ht="26.25" customHeight="1" x14ac:dyDescent="0.25">
      <c r="B1315" s="130"/>
      <c r="C1315" s="135"/>
      <c r="D1315" s="177"/>
      <c r="E1315" s="178"/>
      <c r="F1315" s="178"/>
      <c r="G1315" s="340"/>
      <c r="H1315" s="340"/>
      <c r="I1315" s="179"/>
      <c r="J1315" s="344"/>
      <c r="K1315" s="345"/>
      <c r="L1315" s="346"/>
      <c r="M1315" s="347"/>
      <c r="N1315" s="347"/>
      <c r="O1315" s="132"/>
    </row>
    <row r="1316" spans="2:15" ht="26.25" customHeight="1" x14ac:dyDescent="0.25">
      <c r="B1316" s="130"/>
      <c r="C1316" s="135"/>
      <c r="D1316" s="177"/>
      <c r="E1316" s="178"/>
      <c r="F1316" s="178"/>
      <c r="G1316" s="340"/>
      <c r="H1316" s="340"/>
      <c r="I1316" s="179"/>
      <c r="J1316" s="344"/>
      <c r="K1316" s="345"/>
      <c r="L1316" s="346"/>
      <c r="M1316" s="347"/>
      <c r="N1316" s="347"/>
      <c r="O1316" s="132"/>
    </row>
    <row r="1317" spans="2:15" ht="26.25" customHeight="1" x14ac:dyDescent="0.25">
      <c r="B1317" s="130"/>
      <c r="C1317" s="135"/>
      <c r="D1317" s="177"/>
      <c r="E1317" s="178"/>
      <c r="F1317" s="178"/>
      <c r="G1317" s="340"/>
      <c r="H1317" s="340"/>
      <c r="I1317" s="179"/>
      <c r="J1317" s="344"/>
      <c r="K1317" s="345"/>
      <c r="L1317" s="346"/>
      <c r="M1317" s="347"/>
      <c r="N1317" s="347"/>
      <c r="O1317" s="132"/>
    </row>
    <row r="1318" spans="2:15" ht="26.25" customHeight="1" x14ac:dyDescent="0.25">
      <c r="B1318" s="130"/>
      <c r="C1318" s="135"/>
      <c r="D1318" s="177"/>
      <c r="E1318" s="178"/>
      <c r="F1318" s="178"/>
      <c r="G1318" s="340"/>
      <c r="H1318" s="340"/>
      <c r="I1318" s="179"/>
      <c r="J1318" s="344"/>
      <c r="K1318" s="345"/>
      <c r="L1318" s="346"/>
      <c r="M1318" s="347"/>
      <c r="N1318" s="347"/>
      <c r="O1318" s="132"/>
    </row>
    <row r="1319" spans="2:15" ht="26.25" customHeight="1" x14ac:dyDescent="0.25">
      <c r="B1319" s="130"/>
      <c r="C1319" s="135"/>
      <c r="D1319" s="177"/>
      <c r="E1319" s="178"/>
      <c r="F1319" s="178"/>
      <c r="G1319" s="340"/>
      <c r="H1319" s="340"/>
      <c r="I1319" s="179"/>
      <c r="J1319" s="344"/>
      <c r="K1319" s="345"/>
      <c r="L1319" s="346"/>
      <c r="M1319" s="347"/>
      <c r="N1319" s="347"/>
      <c r="O1319" s="132"/>
    </row>
    <row r="1320" spans="2:15" ht="26.25" customHeight="1" x14ac:dyDescent="0.25">
      <c r="B1320" s="130"/>
      <c r="C1320" s="135"/>
      <c r="D1320" s="177"/>
      <c r="E1320" s="178"/>
      <c r="F1320" s="178"/>
      <c r="G1320" s="340"/>
      <c r="H1320" s="340"/>
      <c r="I1320" s="179"/>
      <c r="J1320" s="344"/>
      <c r="K1320" s="345"/>
      <c r="L1320" s="346"/>
      <c r="M1320" s="347"/>
      <c r="N1320" s="347"/>
      <c r="O1320" s="132"/>
    </row>
    <row r="1321" spans="2:15" ht="26.25" customHeight="1" x14ac:dyDescent="0.25">
      <c r="B1321" s="130"/>
      <c r="C1321" s="135"/>
      <c r="D1321" s="177"/>
      <c r="E1321" s="178"/>
      <c r="F1321" s="178"/>
      <c r="G1321" s="340"/>
      <c r="H1321" s="340"/>
      <c r="I1321" s="179"/>
      <c r="J1321" s="344"/>
      <c r="K1321" s="345"/>
      <c r="L1321" s="346"/>
      <c r="M1321" s="347"/>
      <c r="N1321" s="347"/>
      <c r="O1321" s="132"/>
    </row>
    <row r="1322" spans="2:15" ht="26.25" customHeight="1" x14ac:dyDescent="0.25">
      <c r="B1322" s="130"/>
      <c r="C1322" s="135"/>
      <c r="D1322" s="177"/>
      <c r="E1322" s="178"/>
      <c r="F1322" s="178"/>
      <c r="G1322" s="340"/>
      <c r="H1322" s="340"/>
      <c r="I1322" s="179"/>
      <c r="J1322" s="344"/>
      <c r="K1322" s="345"/>
      <c r="L1322" s="346"/>
      <c r="M1322" s="347"/>
      <c r="N1322" s="347"/>
      <c r="O1322" s="132"/>
    </row>
    <row r="1323" spans="2:15" ht="26.25" customHeight="1" x14ac:dyDescent="0.25">
      <c r="B1323" s="130"/>
      <c r="C1323" s="135"/>
      <c r="D1323" s="177"/>
      <c r="E1323" s="178"/>
      <c r="F1323" s="178"/>
      <c r="G1323" s="340"/>
      <c r="H1323" s="340"/>
      <c r="I1323" s="179"/>
      <c r="J1323" s="344"/>
      <c r="K1323" s="345"/>
      <c r="L1323" s="346"/>
      <c r="M1323" s="347"/>
      <c r="N1323" s="347"/>
      <c r="O1323" s="132"/>
    </row>
    <row r="1324" spans="2:15" ht="26.25" customHeight="1" x14ac:dyDescent="0.25">
      <c r="B1324" s="130"/>
      <c r="C1324" s="135"/>
      <c r="D1324" s="177"/>
      <c r="E1324" s="178"/>
      <c r="F1324" s="178"/>
      <c r="G1324" s="340"/>
      <c r="H1324" s="340"/>
      <c r="I1324" s="179"/>
      <c r="J1324" s="344"/>
      <c r="K1324" s="345"/>
      <c r="L1324" s="346"/>
      <c r="M1324" s="347"/>
      <c r="N1324" s="347"/>
      <c r="O1324" s="132"/>
    </row>
    <row r="1325" spans="2:15" ht="26.25" customHeight="1" x14ac:dyDescent="0.25">
      <c r="B1325" s="130"/>
      <c r="C1325" s="135"/>
      <c r="D1325" s="177"/>
      <c r="E1325" s="178"/>
      <c r="F1325" s="178"/>
      <c r="G1325" s="340"/>
      <c r="H1325" s="340"/>
      <c r="I1325" s="179"/>
      <c r="J1325" s="344"/>
      <c r="K1325" s="345"/>
      <c r="L1325" s="346"/>
      <c r="M1325" s="347"/>
      <c r="N1325" s="347"/>
      <c r="O1325" s="132"/>
    </row>
    <row r="1326" spans="2:15" ht="26.25" customHeight="1" x14ac:dyDescent="0.25">
      <c r="B1326" s="130"/>
      <c r="C1326" s="135"/>
      <c r="D1326" s="177"/>
      <c r="E1326" s="178"/>
      <c r="F1326" s="178"/>
      <c r="G1326" s="340"/>
      <c r="H1326" s="340"/>
      <c r="I1326" s="179"/>
      <c r="J1326" s="344"/>
      <c r="K1326" s="345"/>
      <c r="L1326" s="346"/>
      <c r="M1326" s="347"/>
      <c r="N1326" s="347"/>
      <c r="O1326" s="132"/>
    </row>
    <row r="1327" spans="2:15" ht="26.25" customHeight="1" x14ac:dyDescent="0.25">
      <c r="B1327" s="130"/>
      <c r="C1327" s="135"/>
      <c r="D1327" s="177"/>
      <c r="E1327" s="178"/>
      <c r="F1327" s="178"/>
      <c r="G1327" s="340"/>
      <c r="H1327" s="340"/>
      <c r="I1327" s="179"/>
      <c r="J1327" s="344"/>
      <c r="K1327" s="345"/>
      <c r="L1327" s="346"/>
      <c r="M1327" s="347"/>
      <c r="N1327" s="347"/>
      <c r="O1327" s="132"/>
    </row>
    <row r="1328" spans="2:15" ht="26.25" customHeight="1" x14ac:dyDescent="0.25">
      <c r="B1328" s="130"/>
      <c r="C1328" s="135"/>
      <c r="D1328" s="177"/>
      <c r="E1328" s="178"/>
      <c r="F1328" s="178"/>
      <c r="G1328" s="340"/>
      <c r="H1328" s="340"/>
      <c r="I1328" s="179"/>
      <c r="J1328" s="344"/>
      <c r="K1328" s="345"/>
      <c r="L1328" s="346"/>
      <c r="M1328" s="347"/>
      <c r="N1328" s="347"/>
      <c r="O1328" s="132"/>
    </row>
    <row r="1329" spans="2:15" ht="26.25" customHeight="1" x14ac:dyDescent="0.25">
      <c r="B1329" s="130"/>
      <c r="C1329" s="135"/>
      <c r="D1329" s="177"/>
      <c r="E1329" s="178"/>
      <c r="F1329" s="178"/>
      <c r="G1329" s="340"/>
      <c r="H1329" s="340"/>
      <c r="I1329" s="179"/>
      <c r="J1329" s="344"/>
      <c r="K1329" s="345"/>
      <c r="L1329" s="346"/>
      <c r="M1329" s="347"/>
      <c r="N1329" s="347"/>
      <c r="O1329" s="132"/>
    </row>
    <row r="1330" spans="2:15" ht="26.25" customHeight="1" x14ac:dyDescent="0.25">
      <c r="B1330" s="130"/>
      <c r="C1330" s="135"/>
      <c r="D1330" s="177"/>
      <c r="E1330" s="178"/>
      <c r="F1330" s="178"/>
      <c r="G1330" s="340"/>
      <c r="H1330" s="340"/>
      <c r="I1330" s="179"/>
      <c r="J1330" s="344"/>
      <c r="K1330" s="345"/>
      <c r="L1330" s="346"/>
      <c r="M1330" s="347"/>
      <c r="N1330" s="347"/>
      <c r="O1330" s="132"/>
    </row>
    <row r="1331" spans="2:15" ht="26.25" customHeight="1" x14ac:dyDescent="0.25">
      <c r="B1331" s="130"/>
      <c r="C1331" s="135"/>
      <c r="D1331" s="177"/>
      <c r="E1331" s="178"/>
      <c r="F1331" s="178"/>
      <c r="G1331" s="340"/>
      <c r="H1331" s="340"/>
      <c r="I1331" s="179"/>
      <c r="J1331" s="344"/>
      <c r="K1331" s="345"/>
      <c r="L1331" s="346"/>
      <c r="M1331" s="347"/>
      <c r="N1331" s="347"/>
      <c r="O1331" s="132"/>
    </row>
    <row r="1332" spans="2:15" ht="26.25" customHeight="1" x14ac:dyDescent="0.25">
      <c r="B1332" s="130"/>
      <c r="C1332" s="135"/>
      <c r="D1332" s="177"/>
      <c r="E1332" s="178"/>
      <c r="F1332" s="178"/>
      <c r="G1332" s="340"/>
      <c r="H1332" s="340"/>
      <c r="I1332" s="179"/>
      <c r="J1332" s="344"/>
      <c r="K1332" s="345"/>
      <c r="L1332" s="346"/>
      <c r="M1332" s="347"/>
      <c r="N1332" s="347"/>
      <c r="O1332" s="132"/>
    </row>
    <row r="1333" spans="2:15" ht="26.25" customHeight="1" x14ac:dyDescent="0.25">
      <c r="B1333" s="130"/>
      <c r="C1333" s="135"/>
      <c r="D1333" s="177"/>
      <c r="E1333" s="178"/>
      <c r="F1333" s="178"/>
      <c r="G1333" s="340"/>
      <c r="H1333" s="340"/>
      <c r="I1333" s="179"/>
      <c r="J1333" s="344"/>
      <c r="K1333" s="345"/>
      <c r="L1333" s="346"/>
      <c r="M1333" s="347"/>
      <c r="N1333" s="347"/>
      <c r="O1333" s="132"/>
    </row>
    <row r="1334" spans="2:15" ht="26.25" customHeight="1" x14ac:dyDescent="0.25">
      <c r="B1334" s="130"/>
      <c r="C1334" s="135"/>
      <c r="D1334" s="177"/>
      <c r="E1334" s="178"/>
      <c r="F1334" s="178"/>
      <c r="G1334" s="340"/>
      <c r="H1334" s="340"/>
      <c r="I1334" s="179"/>
      <c r="J1334" s="344"/>
      <c r="K1334" s="345"/>
      <c r="L1334" s="346"/>
      <c r="M1334" s="347"/>
      <c r="N1334" s="347"/>
      <c r="O1334" s="132"/>
    </row>
    <row r="1335" spans="2:15" ht="26.25" customHeight="1" x14ac:dyDescent="0.25">
      <c r="B1335" s="130"/>
      <c r="C1335" s="135"/>
      <c r="D1335" s="177"/>
      <c r="E1335" s="178"/>
      <c r="F1335" s="178"/>
      <c r="G1335" s="340"/>
      <c r="H1335" s="340"/>
      <c r="I1335" s="179"/>
      <c r="J1335" s="344"/>
      <c r="K1335" s="345"/>
      <c r="L1335" s="346"/>
      <c r="M1335" s="347"/>
      <c r="N1335" s="347"/>
      <c r="O1335" s="132"/>
    </row>
    <row r="1336" spans="2:15" ht="26.25" customHeight="1" x14ac:dyDescent="0.25">
      <c r="B1336" s="130"/>
      <c r="C1336" s="135"/>
      <c r="D1336" s="177"/>
      <c r="E1336" s="178"/>
      <c r="F1336" s="178"/>
      <c r="G1336" s="340"/>
      <c r="H1336" s="340"/>
      <c r="I1336" s="179"/>
      <c r="J1336" s="344"/>
      <c r="K1336" s="345"/>
      <c r="L1336" s="346"/>
      <c r="M1336" s="347"/>
      <c r="N1336" s="347"/>
      <c r="O1336" s="132"/>
    </row>
    <row r="1337" spans="2:15" ht="26.25" customHeight="1" x14ac:dyDescent="0.25">
      <c r="B1337" s="130"/>
      <c r="C1337" s="135"/>
      <c r="D1337" s="177"/>
      <c r="E1337" s="178"/>
      <c r="F1337" s="178"/>
      <c r="G1337" s="340"/>
      <c r="H1337" s="340"/>
      <c r="I1337" s="179"/>
      <c r="J1337" s="344"/>
      <c r="K1337" s="345"/>
      <c r="L1337" s="346"/>
      <c r="M1337" s="347"/>
      <c r="N1337" s="347"/>
      <c r="O1337" s="132"/>
    </row>
    <row r="1338" spans="2:15" ht="26.25" customHeight="1" x14ac:dyDescent="0.25">
      <c r="B1338" s="130"/>
      <c r="C1338" s="135"/>
      <c r="D1338" s="177"/>
      <c r="E1338" s="178"/>
      <c r="F1338" s="178"/>
      <c r="G1338" s="340"/>
      <c r="H1338" s="340"/>
      <c r="I1338" s="179"/>
      <c r="J1338" s="344"/>
      <c r="K1338" s="345"/>
      <c r="L1338" s="346"/>
      <c r="M1338" s="347"/>
      <c r="N1338" s="347"/>
      <c r="O1338" s="132"/>
    </row>
    <row r="1339" spans="2:15" ht="26.25" customHeight="1" x14ac:dyDescent="0.25">
      <c r="B1339" s="130"/>
      <c r="C1339" s="135"/>
      <c r="D1339" s="177"/>
      <c r="E1339" s="178"/>
      <c r="F1339" s="178"/>
      <c r="G1339" s="340"/>
      <c r="H1339" s="340"/>
      <c r="I1339" s="179"/>
      <c r="J1339" s="344"/>
      <c r="K1339" s="345"/>
      <c r="L1339" s="346"/>
      <c r="M1339" s="347"/>
      <c r="N1339" s="347"/>
      <c r="O1339" s="132"/>
    </row>
    <row r="1340" spans="2:15" ht="26.25" customHeight="1" x14ac:dyDescent="0.25">
      <c r="B1340" s="130"/>
      <c r="C1340" s="135"/>
      <c r="D1340" s="177"/>
      <c r="E1340" s="178"/>
      <c r="F1340" s="178"/>
      <c r="G1340" s="340"/>
      <c r="H1340" s="340"/>
      <c r="I1340" s="179"/>
      <c r="J1340" s="344"/>
      <c r="K1340" s="345"/>
      <c r="L1340" s="346"/>
      <c r="M1340" s="347"/>
      <c r="N1340" s="347"/>
      <c r="O1340" s="132"/>
    </row>
    <row r="1341" spans="2:15" ht="26.25" customHeight="1" x14ac:dyDescent="0.25">
      <c r="B1341" s="130"/>
      <c r="C1341" s="135"/>
      <c r="D1341" s="177"/>
      <c r="E1341" s="178"/>
      <c r="F1341" s="178"/>
      <c r="G1341" s="340"/>
      <c r="H1341" s="340"/>
      <c r="I1341" s="179"/>
      <c r="J1341" s="344"/>
      <c r="K1341" s="345"/>
      <c r="L1341" s="346"/>
      <c r="M1341" s="347"/>
      <c r="N1341" s="347"/>
      <c r="O1341" s="132"/>
    </row>
    <row r="1342" spans="2:15" ht="26.25" customHeight="1" x14ac:dyDescent="0.25">
      <c r="B1342" s="130"/>
      <c r="C1342" s="135"/>
      <c r="D1342" s="177"/>
      <c r="E1342" s="178"/>
      <c r="F1342" s="178"/>
      <c r="G1342" s="340"/>
      <c r="H1342" s="340"/>
      <c r="I1342" s="179"/>
      <c r="J1342" s="344"/>
      <c r="K1342" s="345"/>
      <c r="L1342" s="346"/>
      <c r="M1342" s="347"/>
      <c r="N1342" s="347"/>
      <c r="O1342" s="132"/>
    </row>
    <row r="1343" spans="2:15" ht="26.25" customHeight="1" x14ac:dyDescent="0.25">
      <c r="B1343" s="130"/>
      <c r="C1343" s="135"/>
      <c r="D1343" s="177"/>
      <c r="E1343" s="178"/>
      <c r="F1343" s="178"/>
      <c r="G1343" s="340"/>
      <c r="H1343" s="340"/>
      <c r="I1343" s="179"/>
      <c r="J1343" s="344"/>
      <c r="K1343" s="345"/>
      <c r="L1343" s="346"/>
      <c r="M1343" s="347"/>
      <c r="N1343" s="347"/>
      <c r="O1343" s="132"/>
    </row>
    <row r="1344" spans="2:15" ht="26.25" customHeight="1" x14ac:dyDescent="0.25">
      <c r="B1344" s="130"/>
      <c r="C1344" s="135"/>
      <c r="D1344" s="177"/>
      <c r="E1344" s="178"/>
      <c r="F1344" s="178"/>
      <c r="G1344" s="340"/>
      <c r="H1344" s="340"/>
      <c r="I1344" s="179"/>
      <c r="J1344" s="344"/>
      <c r="K1344" s="345"/>
      <c r="L1344" s="346"/>
      <c r="M1344" s="347"/>
      <c r="N1344" s="347"/>
      <c r="O1344" s="132"/>
    </row>
    <row r="1345" spans="2:15" ht="26.25" customHeight="1" x14ac:dyDescent="0.25">
      <c r="B1345" s="130"/>
      <c r="C1345" s="135"/>
      <c r="D1345" s="177"/>
      <c r="E1345" s="178"/>
      <c r="F1345" s="178"/>
      <c r="G1345" s="340"/>
      <c r="H1345" s="340"/>
      <c r="I1345" s="179"/>
      <c r="J1345" s="344"/>
      <c r="K1345" s="345"/>
      <c r="L1345" s="346"/>
      <c r="M1345" s="347"/>
      <c r="N1345" s="347"/>
      <c r="O1345" s="132"/>
    </row>
    <row r="1346" spans="2:15" ht="26.25" customHeight="1" x14ac:dyDescent="0.25">
      <c r="B1346" s="130"/>
      <c r="C1346" s="135"/>
      <c r="D1346" s="177"/>
      <c r="E1346" s="178"/>
      <c r="F1346" s="178"/>
      <c r="G1346" s="340"/>
      <c r="H1346" s="340"/>
      <c r="I1346" s="179"/>
      <c r="J1346" s="344"/>
      <c r="K1346" s="345"/>
      <c r="L1346" s="346"/>
      <c r="M1346" s="347"/>
      <c r="N1346" s="347"/>
      <c r="O1346" s="132"/>
    </row>
    <row r="1347" spans="2:15" ht="26.25" customHeight="1" x14ac:dyDescent="0.25">
      <c r="B1347" s="130"/>
      <c r="C1347" s="135"/>
      <c r="D1347" s="177"/>
      <c r="E1347" s="178"/>
      <c r="F1347" s="178"/>
      <c r="G1347" s="340"/>
      <c r="H1347" s="340"/>
      <c r="I1347" s="179"/>
      <c r="J1347" s="344"/>
      <c r="K1347" s="345"/>
      <c r="L1347" s="346"/>
      <c r="M1347" s="347"/>
      <c r="N1347" s="347"/>
      <c r="O1347" s="132"/>
    </row>
    <row r="1348" spans="2:15" ht="26.25" customHeight="1" x14ac:dyDescent="0.25">
      <c r="B1348" s="130"/>
      <c r="C1348" s="135"/>
      <c r="D1348" s="177"/>
      <c r="E1348" s="178"/>
      <c r="F1348" s="178"/>
      <c r="G1348" s="340"/>
      <c r="H1348" s="340"/>
      <c r="I1348" s="179"/>
      <c r="J1348" s="344"/>
      <c r="K1348" s="345"/>
      <c r="L1348" s="346"/>
      <c r="M1348" s="347"/>
      <c r="N1348" s="347"/>
      <c r="O1348" s="132"/>
    </row>
    <row r="1349" spans="2:15" ht="26.25" customHeight="1" x14ac:dyDescent="0.25">
      <c r="B1349" s="130"/>
      <c r="C1349" s="135"/>
      <c r="D1349" s="177"/>
      <c r="E1349" s="178"/>
      <c r="F1349" s="178"/>
      <c r="G1349" s="340"/>
      <c r="H1349" s="340"/>
      <c r="I1349" s="179"/>
      <c r="J1349" s="344"/>
      <c r="K1349" s="345"/>
      <c r="L1349" s="346"/>
      <c r="M1349" s="347"/>
      <c r="N1349" s="347"/>
      <c r="O1349" s="132"/>
    </row>
    <row r="1350" spans="2:15" ht="26.25" customHeight="1" x14ac:dyDescent="0.25">
      <c r="B1350" s="130"/>
      <c r="C1350" s="135"/>
      <c r="D1350" s="177"/>
      <c r="E1350" s="178"/>
      <c r="F1350" s="178"/>
      <c r="G1350" s="340"/>
      <c r="H1350" s="340"/>
      <c r="I1350" s="179"/>
      <c r="J1350" s="344"/>
      <c r="K1350" s="345"/>
      <c r="L1350" s="346"/>
      <c r="M1350" s="347"/>
      <c r="N1350" s="347"/>
      <c r="O1350" s="132"/>
    </row>
    <row r="1351" spans="2:15" ht="26.25" customHeight="1" x14ac:dyDescent="0.25">
      <c r="B1351" s="130"/>
      <c r="C1351" s="135"/>
      <c r="D1351" s="177"/>
      <c r="E1351" s="178"/>
      <c r="F1351" s="178"/>
      <c r="G1351" s="340"/>
      <c r="H1351" s="340"/>
      <c r="I1351" s="179"/>
      <c r="J1351" s="344"/>
      <c r="K1351" s="345"/>
      <c r="L1351" s="346"/>
      <c r="M1351" s="347"/>
      <c r="N1351" s="347"/>
      <c r="O1351" s="132"/>
    </row>
    <row r="1352" spans="2:15" ht="26.25" customHeight="1" x14ac:dyDescent="0.25">
      <c r="B1352" s="130"/>
      <c r="C1352" s="135"/>
      <c r="D1352" s="177"/>
      <c r="E1352" s="178"/>
      <c r="F1352" s="178"/>
      <c r="G1352" s="340"/>
      <c r="H1352" s="340"/>
      <c r="I1352" s="179"/>
      <c r="J1352" s="344"/>
      <c r="K1352" s="345"/>
      <c r="L1352" s="346"/>
      <c r="M1352" s="347"/>
      <c r="N1352" s="347"/>
      <c r="O1352" s="132"/>
    </row>
    <row r="1353" spans="2:15" ht="26.25" customHeight="1" x14ac:dyDescent="0.25">
      <c r="B1353" s="130"/>
      <c r="C1353" s="135"/>
      <c r="D1353" s="177"/>
      <c r="E1353" s="178"/>
      <c r="F1353" s="178"/>
      <c r="G1353" s="340"/>
      <c r="H1353" s="340"/>
      <c r="I1353" s="179"/>
      <c r="J1353" s="344"/>
      <c r="K1353" s="345"/>
      <c r="L1353" s="346"/>
      <c r="M1353" s="347"/>
      <c r="N1353" s="347"/>
      <c r="O1353" s="132"/>
    </row>
    <row r="1354" spans="2:15" ht="26.25" customHeight="1" x14ac:dyDescent="0.25">
      <c r="B1354" s="130"/>
      <c r="C1354" s="135"/>
      <c r="D1354" s="177"/>
      <c r="E1354" s="178"/>
      <c r="F1354" s="178"/>
      <c r="G1354" s="340"/>
      <c r="H1354" s="340"/>
      <c r="I1354" s="179"/>
      <c r="J1354" s="344"/>
      <c r="K1354" s="345"/>
      <c r="L1354" s="346"/>
      <c r="M1354" s="347"/>
      <c r="N1354" s="347"/>
      <c r="O1354" s="132"/>
    </row>
    <row r="1355" spans="2:15" ht="26.25" customHeight="1" x14ac:dyDescent="0.25">
      <c r="B1355" s="130"/>
      <c r="C1355" s="135"/>
      <c r="D1355" s="177"/>
      <c r="E1355" s="178"/>
      <c r="F1355" s="178"/>
      <c r="G1355" s="340"/>
      <c r="H1355" s="340"/>
      <c r="I1355" s="179"/>
      <c r="J1355" s="344"/>
      <c r="K1355" s="345"/>
      <c r="L1355" s="346"/>
      <c r="M1355" s="347"/>
      <c r="N1355" s="347"/>
      <c r="O1355" s="132"/>
    </row>
    <row r="1356" spans="2:15" ht="26.25" customHeight="1" x14ac:dyDescent="0.25">
      <c r="B1356" s="130"/>
      <c r="C1356" s="135"/>
      <c r="D1356" s="177"/>
      <c r="E1356" s="178"/>
      <c r="F1356" s="178"/>
      <c r="G1356" s="340"/>
      <c r="H1356" s="340"/>
      <c r="I1356" s="179"/>
      <c r="J1356" s="344"/>
      <c r="K1356" s="345"/>
      <c r="L1356" s="346"/>
      <c r="M1356" s="347"/>
      <c r="N1356" s="347"/>
      <c r="O1356" s="132"/>
    </row>
    <row r="1357" spans="2:15" ht="26.25" customHeight="1" x14ac:dyDescent="0.25">
      <c r="B1357" s="130"/>
      <c r="C1357" s="135"/>
      <c r="D1357" s="177"/>
      <c r="E1357" s="178"/>
      <c r="F1357" s="178"/>
      <c r="G1357" s="340"/>
      <c r="H1357" s="340"/>
      <c r="I1357" s="179"/>
      <c r="J1357" s="344"/>
      <c r="K1357" s="345"/>
      <c r="L1357" s="346"/>
      <c r="M1357" s="347"/>
      <c r="N1357" s="347"/>
      <c r="O1357" s="132"/>
    </row>
    <row r="1358" spans="2:15" ht="26.25" customHeight="1" x14ac:dyDescent="0.25">
      <c r="B1358" s="130"/>
      <c r="C1358" s="135"/>
      <c r="D1358" s="177"/>
      <c r="E1358" s="178"/>
      <c r="F1358" s="178"/>
      <c r="G1358" s="340"/>
      <c r="H1358" s="340"/>
      <c r="I1358" s="179"/>
      <c r="J1358" s="344"/>
      <c r="K1358" s="345"/>
      <c r="L1358" s="346"/>
      <c r="M1358" s="347"/>
      <c r="N1358" s="347"/>
      <c r="O1358" s="132"/>
    </row>
    <row r="1359" spans="2:15" ht="26.25" customHeight="1" x14ac:dyDescent="0.25">
      <c r="B1359" s="130"/>
      <c r="C1359" s="135"/>
      <c r="D1359" s="177"/>
      <c r="E1359" s="178"/>
      <c r="F1359" s="178"/>
      <c r="G1359" s="340"/>
      <c r="H1359" s="340"/>
      <c r="I1359" s="179"/>
      <c r="J1359" s="344"/>
      <c r="K1359" s="345"/>
      <c r="L1359" s="346"/>
      <c r="M1359" s="347"/>
      <c r="N1359" s="347"/>
      <c r="O1359" s="132"/>
    </row>
    <row r="1360" spans="2:15" ht="26.25" customHeight="1" x14ac:dyDescent="0.25">
      <c r="B1360" s="130"/>
      <c r="C1360" s="135"/>
      <c r="D1360" s="177"/>
      <c r="E1360" s="178"/>
      <c r="F1360" s="178"/>
      <c r="G1360" s="340"/>
      <c r="H1360" s="340"/>
      <c r="I1360" s="179"/>
      <c r="J1360" s="344"/>
      <c r="K1360" s="345"/>
      <c r="L1360" s="346"/>
      <c r="M1360" s="347"/>
      <c r="N1360" s="347"/>
      <c r="O1360" s="132"/>
    </row>
    <row r="1361" spans="2:15" ht="26.25" customHeight="1" x14ac:dyDescent="0.25">
      <c r="B1361" s="130"/>
      <c r="C1361" s="135"/>
      <c r="D1361" s="177"/>
      <c r="E1361" s="178"/>
      <c r="F1361" s="178"/>
      <c r="G1361" s="340"/>
      <c r="H1361" s="340"/>
      <c r="I1361" s="179"/>
      <c r="J1361" s="344"/>
      <c r="K1361" s="345"/>
      <c r="L1361" s="346"/>
      <c r="M1361" s="347"/>
      <c r="N1361" s="347"/>
      <c r="O1361" s="132"/>
    </row>
    <row r="1362" spans="2:15" ht="26.25" customHeight="1" x14ac:dyDescent="0.25">
      <c r="B1362" s="130"/>
      <c r="C1362" s="135"/>
      <c r="D1362" s="177"/>
      <c r="E1362" s="178"/>
      <c r="F1362" s="178"/>
      <c r="G1362" s="340"/>
      <c r="H1362" s="340"/>
      <c r="I1362" s="179"/>
      <c r="J1362" s="344"/>
      <c r="K1362" s="345"/>
      <c r="L1362" s="346"/>
      <c r="M1362" s="347"/>
      <c r="N1362" s="347"/>
      <c r="O1362" s="132"/>
    </row>
    <row r="1363" spans="2:15" ht="26.25" customHeight="1" x14ac:dyDescent="0.25">
      <c r="B1363" s="130"/>
      <c r="C1363" s="135"/>
      <c r="D1363" s="177"/>
      <c r="E1363" s="178"/>
      <c r="F1363" s="178"/>
      <c r="G1363" s="340"/>
      <c r="H1363" s="340"/>
      <c r="I1363" s="179"/>
      <c r="J1363" s="344"/>
      <c r="K1363" s="345"/>
      <c r="L1363" s="346"/>
      <c r="M1363" s="347"/>
      <c r="N1363" s="347"/>
      <c r="O1363" s="132"/>
    </row>
    <row r="1364" spans="2:15" ht="26.25" customHeight="1" x14ac:dyDescent="0.25">
      <c r="B1364" s="130"/>
      <c r="C1364" s="135"/>
      <c r="D1364" s="177"/>
      <c r="E1364" s="178"/>
      <c r="F1364" s="178"/>
      <c r="G1364" s="340"/>
      <c r="H1364" s="340"/>
      <c r="I1364" s="179"/>
      <c r="J1364" s="344"/>
      <c r="K1364" s="345"/>
      <c r="L1364" s="346"/>
      <c r="M1364" s="347"/>
      <c r="N1364" s="347"/>
      <c r="O1364" s="132"/>
    </row>
    <row r="1365" spans="2:15" ht="26.25" customHeight="1" x14ac:dyDescent="0.25">
      <c r="B1365" s="130"/>
      <c r="C1365" s="135"/>
      <c r="D1365" s="177"/>
      <c r="E1365" s="178"/>
      <c r="F1365" s="178"/>
      <c r="G1365" s="340"/>
      <c r="H1365" s="340"/>
      <c r="I1365" s="179"/>
      <c r="J1365" s="344"/>
      <c r="K1365" s="345"/>
      <c r="L1365" s="346"/>
      <c r="M1365" s="347"/>
      <c r="N1365" s="347"/>
      <c r="O1365" s="132"/>
    </row>
    <row r="1366" spans="2:15" ht="26.25" customHeight="1" x14ac:dyDescent="0.25">
      <c r="B1366" s="130"/>
      <c r="C1366" s="135"/>
      <c r="D1366" s="177"/>
      <c r="E1366" s="178"/>
      <c r="F1366" s="178"/>
      <c r="G1366" s="340"/>
      <c r="H1366" s="340"/>
      <c r="I1366" s="179"/>
      <c r="J1366" s="344"/>
      <c r="K1366" s="345"/>
      <c r="L1366" s="346"/>
      <c r="M1366" s="347"/>
      <c r="N1366" s="347"/>
      <c r="O1366" s="132"/>
    </row>
    <row r="1367" spans="2:15" ht="26.25" customHeight="1" x14ac:dyDescent="0.25">
      <c r="B1367" s="130"/>
      <c r="C1367" s="135"/>
      <c r="D1367" s="177"/>
      <c r="E1367" s="178"/>
      <c r="F1367" s="178"/>
      <c r="G1367" s="340"/>
      <c r="H1367" s="340"/>
      <c r="I1367" s="179"/>
      <c r="J1367" s="344"/>
      <c r="K1367" s="345"/>
      <c r="L1367" s="346"/>
      <c r="M1367" s="347"/>
      <c r="N1367" s="347"/>
      <c r="O1367" s="132"/>
    </row>
    <row r="1368" spans="2:15" ht="26.25" customHeight="1" x14ac:dyDescent="0.25">
      <c r="B1368" s="130"/>
      <c r="C1368" s="135"/>
      <c r="D1368" s="177"/>
      <c r="E1368" s="178"/>
      <c r="F1368" s="178"/>
      <c r="G1368" s="340"/>
      <c r="H1368" s="340"/>
      <c r="I1368" s="179"/>
      <c r="J1368" s="344"/>
      <c r="K1368" s="345"/>
      <c r="L1368" s="346"/>
      <c r="M1368" s="347"/>
      <c r="N1368" s="347"/>
      <c r="O1368" s="132"/>
    </row>
    <row r="1369" spans="2:15" ht="26.25" customHeight="1" x14ac:dyDescent="0.25">
      <c r="B1369" s="130"/>
      <c r="C1369" s="135"/>
      <c r="D1369" s="177"/>
      <c r="E1369" s="178"/>
      <c r="F1369" s="178"/>
      <c r="G1369" s="340"/>
      <c r="H1369" s="340"/>
      <c r="I1369" s="179"/>
      <c r="J1369" s="344"/>
      <c r="K1369" s="345"/>
      <c r="L1369" s="346"/>
      <c r="M1369" s="347"/>
      <c r="N1369" s="347"/>
      <c r="O1369" s="132"/>
    </row>
    <row r="1370" spans="2:15" ht="26.25" customHeight="1" x14ac:dyDescent="0.25">
      <c r="B1370" s="130"/>
      <c r="C1370" s="135"/>
      <c r="D1370" s="177"/>
      <c r="E1370" s="178"/>
      <c r="F1370" s="178"/>
      <c r="G1370" s="340"/>
      <c r="H1370" s="340"/>
      <c r="I1370" s="179"/>
      <c r="J1370" s="344"/>
      <c r="K1370" s="345"/>
      <c r="L1370" s="346"/>
      <c r="M1370" s="347"/>
      <c r="N1370" s="347"/>
      <c r="O1370" s="132"/>
    </row>
    <row r="1371" spans="2:15" ht="26.25" customHeight="1" x14ac:dyDescent="0.25">
      <c r="B1371" s="130"/>
      <c r="C1371" s="135"/>
      <c r="D1371" s="177"/>
      <c r="E1371" s="178"/>
      <c r="F1371" s="178"/>
      <c r="G1371" s="340"/>
      <c r="H1371" s="340"/>
      <c r="I1371" s="179"/>
      <c r="J1371" s="344"/>
      <c r="K1371" s="345"/>
      <c r="L1371" s="346"/>
      <c r="M1371" s="347"/>
      <c r="N1371" s="347"/>
      <c r="O1371" s="132"/>
    </row>
    <row r="1372" spans="2:15" ht="26.25" customHeight="1" x14ac:dyDescent="0.25">
      <c r="B1372" s="130"/>
      <c r="C1372" s="135"/>
      <c r="D1372" s="177"/>
      <c r="E1372" s="178"/>
      <c r="F1372" s="178"/>
      <c r="G1372" s="340"/>
      <c r="H1372" s="340"/>
      <c r="I1372" s="179"/>
      <c r="J1372" s="344"/>
      <c r="K1372" s="345"/>
      <c r="L1372" s="346"/>
      <c r="M1372" s="347"/>
      <c r="N1372" s="347"/>
      <c r="O1372" s="132"/>
    </row>
    <row r="1373" spans="2:15" ht="26.25" customHeight="1" x14ac:dyDescent="0.25">
      <c r="B1373" s="130"/>
      <c r="C1373" s="135"/>
      <c r="D1373" s="177"/>
      <c r="E1373" s="178"/>
      <c r="F1373" s="178"/>
      <c r="G1373" s="340"/>
      <c r="H1373" s="340"/>
      <c r="I1373" s="179"/>
      <c r="J1373" s="344"/>
      <c r="K1373" s="345"/>
      <c r="L1373" s="346"/>
      <c r="M1373" s="347"/>
      <c r="N1373" s="347"/>
      <c r="O1373" s="132"/>
    </row>
    <row r="1374" spans="2:15" ht="26.25" customHeight="1" x14ac:dyDescent="0.25">
      <c r="B1374" s="130"/>
      <c r="C1374" s="135"/>
      <c r="D1374" s="177"/>
      <c r="E1374" s="178"/>
      <c r="F1374" s="178"/>
      <c r="G1374" s="340"/>
      <c r="H1374" s="340"/>
      <c r="I1374" s="179"/>
      <c r="J1374" s="344"/>
      <c r="K1374" s="345"/>
      <c r="L1374" s="346"/>
      <c r="M1374" s="347"/>
      <c r="N1374" s="347"/>
      <c r="O1374" s="132"/>
    </row>
    <row r="1375" spans="2:15" ht="26.25" customHeight="1" x14ac:dyDescent="0.25">
      <c r="B1375" s="130"/>
      <c r="C1375" s="135"/>
      <c r="D1375" s="177"/>
      <c r="E1375" s="178"/>
      <c r="F1375" s="178"/>
      <c r="G1375" s="340"/>
      <c r="H1375" s="340"/>
      <c r="I1375" s="179"/>
      <c r="J1375" s="344"/>
      <c r="K1375" s="345"/>
      <c r="L1375" s="346"/>
      <c r="M1375" s="347"/>
      <c r="N1375" s="347"/>
      <c r="O1375" s="132"/>
    </row>
    <row r="1376" spans="2:15" ht="26.25" customHeight="1" x14ac:dyDescent="0.25">
      <c r="B1376" s="130"/>
      <c r="C1376" s="135"/>
      <c r="D1376" s="177"/>
      <c r="E1376" s="178"/>
      <c r="F1376" s="178"/>
      <c r="G1376" s="340"/>
      <c r="H1376" s="340"/>
      <c r="I1376" s="179"/>
      <c r="J1376" s="344"/>
      <c r="K1376" s="345"/>
      <c r="L1376" s="346"/>
      <c r="M1376" s="347"/>
      <c r="N1376" s="347"/>
      <c r="O1376" s="132"/>
    </row>
    <row r="1377" spans="2:15" ht="26.25" customHeight="1" x14ac:dyDescent="0.25">
      <c r="B1377" s="130"/>
      <c r="C1377" s="135"/>
      <c r="D1377" s="177"/>
      <c r="E1377" s="178"/>
      <c r="F1377" s="178"/>
      <c r="G1377" s="340"/>
      <c r="H1377" s="340"/>
      <c r="I1377" s="179"/>
      <c r="J1377" s="344"/>
      <c r="K1377" s="345"/>
      <c r="L1377" s="346"/>
      <c r="M1377" s="347"/>
      <c r="N1377" s="347"/>
      <c r="O1377" s="132"/>
    </row>
    <row r="1378" spans="2:15" ht="26.25" customHeight="1" x14ac:dyDescent="0.25">
      <c r="B1378" s="130"/>
      <c r="C1378" s="135"/>
      <c r="D1378" s="177"/>
      <c r="E1378" s="178"/>
      <c r="F1378" s="178"/>
      <c r="G1378" s="340"/>
      <c r="H1378" s="340"/>
      <c r="I1378" s="179"/>
      <c r="J1378" s="344"/>
      <c r="K1378" s="345"/>
      <c r="L1378" s="346"/>
      <c r="M1378" s="347"/>
      <c r="N1378" s="347"/>
      <c r="O1378" s="132"/>
    </row>
    <row r="1379" spans="2:15" ht="26.25" customHeight="1" x14ac:dyDescent="0.25">
      <c r="B1379" s="130"/>
      <c r="C1379" s="135"/>
      <c r="D1379" s="177"/>
      <c r="E1379" s="178"/>
      <c r="F1379" s="178"/>
      <c r="G1379" s="340"/>
      <c r="H1379" s="340"/>
      <c r="I1379" s="179"/>
      <c r="J1379" s="344"/>
      <c r="K1379" s="345"/>
      <c r="L1379" s="346"/>
      <c r="M1379" s="347"/>
      <c r="N1379" s="347"/>
      <c r="O1379" s="132"/>
    </row>
    <row r="1380" spans="2:15" ht="26.25" customHeight="1" x14ac:dyDescent="0.25">
      <c r="B1380" s="130"/>
      <c r="C1380" s="135"/>
      <c r="D1380" s="177"/>
      <c r="E1380" s="178"/>
      <c r="F1380" s="178"/>
      <c r="G1380" s="340"/>
      <c r="H1380" s="340"/>
      <c r="I1380" s="179"/>
      <c r="J1380" s="344"/>
      <c r="K1380" s="345"/>
      <c r="L1380" s="346"/>
      <c r="M1380" s="347"/>
      <c r="N1380" s="347"/>
      <c r="O1380" s="132"/>
    </row>
    <row r="1381" spans="2:15" ht="26.25" customHeight="1" x14ac:dyDescent="0.25">
      <c r="B1381" s="130"/>
      <c r="C1381" s="135"/>
      <c r="D1381" s="177"/>
      <c r="E1381" s="178"/>
      <c r="F1381" s="178"/>
      <c r="G1381" s="340"/>
      <c r="H1381" s="340"/>
      <c r="I1381" s="179"/>
      <c r="J1381" s="344"/>
      <c r="K1381" s="345"/>
      <c r="L1381" s="346"/>
      <c r="M1381" s="347"/>
      <c r="N1381" s="347"/>
      <c r="O1381" s="132"/>
    </row>
    <row r="1382" spans="2:15" ht="26.25" customHeight="1" x14ac:dyDescent="0.25">
      <c r="B1382" s="130"/>
      <c r="C1382" s="135"/>
      <c r="D1382" s="177"/>
      <c r="E1382" s="178"/>
      <c r="F1382" s="178"/>
      <c r="G1382" s="340"/>
      <c r="H1382" s="340"/>
      <c r="I1382" s="179"/>
      <c r="J1382" s="344"/>
      <c r="K1382" s="345"/>
      <c r="L1382" s="346"/>
      <c r="M1382" s="347"/>
      <c r="N1382" s="347"/>
      <c r="O1382" s="132"/>
    </row>
    <row r="1383" spans="2:15" ht="26.25" customHeight="1" x14ac:dyDescent="0.25">
      <c r="B1383" s="130"/>
      <c r="C1383" s="135"/>
      <c r="D1383" s="177"/>
      <c r="E1383" s="178"/>
      <c r="F1383" s="178"/>
      <c r="G1383" s="340"/>
      <c r="H1383" s="340"/>
      <c r="I1383" s="179"/>
      <c r="J1383" s="344"/>
      <c r="K1383" s="345"/>
      <c r="L1383" s="346"/>
      <c r="M1383" s="347"/>
      <c r="N1383" s="347"/>
      <c r="O1383" s="132"/>
    </row>
    <row r="1384" spans="2:15" ht="26.25" customHeight="1" x14ac:dyDescent="0.25">
      <c r="B1384" s="130"/>
      <c r="C1384" s="135"/>
      <c r="D1384" s="177"/>
      <c r="E1384" s="178"/>
      <c r="F1384" s="178"/>
      <c r="G1384" s="340"/>
      <c r="H1384" s="340"/>
      <c r="I1384" s="179"/>
      <c r="J1384" s="344"/>
      <c r="K1384" s="345"/>
      <c r="L1384" s="346"/>
      <c r="M1384" s="347"/>
      <c r="N1384" s="347"/>
      <c r="O1384" s="132"/>
    </row>
    <row r="1385" spans="2:15" ht="26.25" customHeight="1" x14ac:dyDescent="0.25">
      <c r="B1385" s="130"/>
      <c r="C1385" s="135"/>
      <c r="D1385" s="177"/>
      <c r="E1385" s="178"/>
      <c r="F1385" s="178"/>
      <c r="G1385" s="340"/>
      <c r="H1385" s="340"/>
      <c r="I1385" s="179"/>
      <c r="J1385" s="344"/>
      <c r="K1385" s="345"/>
      <c r="L1385" s="346"/>
      <c r="M1385" s="347"/>
      <c r="N1385" s="347"/>
      <c r="O1385" s="132"/>
    </row>
    <row r="1386" spans="2:15" ht="26.25" customHeight="1" x14ac:dyDescent="0.25">
      <c r="B1386" s="130"/>
      <c r="C1386" s="135"/>
      <c r="D1386" s="177"/>
      <c r="E1386" s="178"/>
      <c r="F1386" s="178"/>
      <c r="G1386" s="340"/>
      <c r="H1386" s="340"/>
      <c r="I1386" s="179"/>
      <c r="J1386" s="344"/>
      <c r="K1386" s="345"/>
      <c r="L1386" s="346"/>
      <c r="M1386" s="347"/>
      <c r="N1386" s="347"/>
      <c r="O1386" s="132"/>
    </row>
    <row r="1387" spans="2:15" ht="26.25" customHeight="1" x14ac:dyDescent="0.25">
      <c r="B1387" s="130"/>
      <c r="C1387" s="135"/>
      <c r="D1387" s="177"/>
      <c r="E1387" s="178"/>
      <c r="F1387" s="178"/>
      <c r="G1387" s="340"/>
      <c r="H1387" s="340"/>
      <c r="I1387" s="179"/>
      <c r="J1387" s="344"/>
      <c r="K1387" s="345"/>
      <c r="L1387" s="346"/>
      <c r="M1387" s="347"/>
      <c r="N1387" s="347"/>
      <c r="O1387" s="132"/>
    </row>
    <row r="1388" spans="2:15" ht="26.25" customHeight="1" x14ac:dyDescent="0.25">
      <c r="B1388" s="130"/>
      <c r="C1388" s="135"/>
      <c r="D1388" s="177"/>
      <c r="E1388" s="178"/>
      <c r="F1388" s="178"/>
      <c r="G1388" s="340"/>
      <c r="H1388" s="340"/>
      <c r="I1388" s="179"/>
      <c r="J1388" s="344"/>
      <c r="K1388" s="345"/>
      <c r="L1388" s="346"/>
      <c r="M1388" s="347"/>
      <c r="N1388" s="347"/>
      <c r="O1388" s="132"/>
    </row>
    <row r="1389" spans="2:15" ht="26.25" customHeight="1" x14ac:dyDescent="0.25">
      <c r="B1389" s="130"/>
      <c r="C1389" s="135"/>
      <c r="D1389" s="177"/>
      <c r="E1389" s="178"/>
      <c r="F1389" s="178"/>
      <c r="G1389" s="340"/>
      <c r="H1389" s="340"/>
      <c r="I1389" s="179"/>
      <c r="J1389" s="344"/>
      <c r="K1389" s="345"/>
      <c r="L1389" s="346"/>
      <c r="M1389" s="347"/>
      <c r="N1389" s="347"/>
      <c r="O1389" s="132"/>
    </row>
    <row r="1390" spans="2:15" ht="26.25" customHeight="1" x14ac:dyDescent="0.25">
      <c r="B1390" s="130"/>
      <c r="C1390" s="135"/>
      <c r="D1390" s="177"/>
      <c r="E1390" s="178"/>
      <c r="F1390" s="178"/>
      <c r="G1390" s="340"/>
      <c r="H1390" s="340"/>
      <c r="I1390" s="179"/>
      <c r="J1390" s="344"/>
      <c r="K1390" s="345"/>
      <c r="L1390" s="346"/>
      <c r="M1390" s="347"/>
      <c r="N1390" s="347"/>
      <c r="O1390" s="132"/>
    </row>
    <row r="1391" spans="2:15" ht="26.25" customHeight="1" x14ac:dyDescent="0.25">
      <c r="B1391" s="130"/>
      <c r="C1391" s="135"/>
      <c r="D1391" s="177"/>
      <c r="E1391" s="178"/>
      <c r="F1391" s="178"/>
      <c r="G1391" s="340"/>
      <c r="H1391" s="340"/>
      <c r="I1391" s="179"/>
      <c r="J1391" s="344"/>
      <c r="K1391" s="345"/>
      <c r="L1391" s="346"/>
      <c r="M1391" s="347"/>
      <c r="N1391" s="347"/>
      <c r="O1391" s="132"/>
    </row>
    <row r="1392" spans="2:15" ht="26.25" customHeight="1" x14ac:dyDescent="0.25">
      <c r="B1392" s="130"/>
      <c r="C1392" s="135"/>
      <c r="D1392" s="177"/>
      <c r="E1392" s="178"/>
      <c r="F1392" s="178"/>
      <c r="G1392" s="340"/>
      <c r="H1392" s="340"/>
      <c r="I1392" s="179"/>
      <c r="J1392" s="344"/>
      <c r="K1392" s="345"/>
      <c r="L1392" s="346"/>
      <c r="M1392" s="347"/>
      <c r="N1392" s="347"/>
      <c r="O1392" s="132"/>
    </row>
    <row r="1393" spans="2:15" ht="26.25" customHeight="1" x14ac:dyDescent="0.25">
      <c r="B1393" s="130"/>
      <c r="C1393" s="135"/>
      <c r="D1393" s="177"/>
      <c r="E1393" s="178"/>
      <c r="F1393" s="178"/>
      <c r="G1393" s="340"/>
      <c r="H1393" s="340"/>
      <c r="I1393" s="179"/>
      <c r="J1393" s="344"/>
      <c r="K1393" s="345"/>
      <c r="L1393" s="346"/>
      <c r="M1393" s="347"/>
      <c r="N1393" s="347"/>
      <c r="O1393" s="132"/>
    </row>
    <row r="1394" spans="2:15" ht="26.25" customHeight="1" x14ac:dyDescent="0.25">
      <c r="B1394" s="130"/>
      <c r="C1394" s="135"/>
      <c r="D1394" s="177"/>
      <c r="E1394" s="178"/>
      <c r="F1394" s="178"/>
      <c r="G1394" s="340"/>
      <c r="H1394" s="340"/>
      <c r="I1394" s="179"/>
      <c r="J1394" s="344"/>
      <c r="K1394" s="345"/>
      <c r="L1394" s="346"/>
      <c r="M1394" s="347"/>
      <c r="N1394" s="347"/>
      <c r="O1394" s="132"/>
    </row>
    <row r="1395" spans="2:15" ht="26.25" customHeight="1" x14ac:dyDescent="0.25">
      <c r="B1395" s="130"/>
      <c r="C1395" s="135"/>
      <c r="D1395" s="177"/>
      <c r="E1395" s="178"/>
      <c r="F1395" s="178"/>
      <c r="G1395" s="340"/>
      <c r="H1395" s="340"/>
      <c r="I1395" s="179"/>
      <c r="J1395" s="344"/>
      <c r="K1395" s="345"/>
      <c r="L1395" s="346"/>
      <c r="M1395" s="347"/>
      <c r="N1395" s="347"/>
      <c r="O1395" s="132"/>
    </row>
    <row r="1396" spans="2:15" ht="26.25" customHeight="1" x14ac:dyDescent="0.25">
      <c r="B1396" s="130"/>
      <c r="C1396" s="135"/>
      <c r="D1396" s="177"/>
      <c r="E1396" s="178"/>
      <c r="F1396" s="178"/>
      <c r="G1396" s="340"/>
      <c r="H1396" s="340"/>
      <c r="I1396" s="179"/>
      <c r="J1396" s="344"/>
      <c r="K1396" s="345"/>
      <c r="L1396" s="346"/>
      <c r="M1396" s="347"/>
      <c r="N1396" s="347"/>
      <c r="O1396" s="132"/>
    </row>
    <row r="1397" spans="2:15" ht="26.25" customHeight="1" x14ac:dyDescent="0.25">
      <c r="B1397" s="130"/>
      <c r="C1397" s="135"/>
      <c r="D1397" s="177"/>
      <c r="E1397" s="178"/>
      <c r="F1397" s="178"/>
      <c r="G1397" s="340"/>
      <c r="H1397" s="340"/>
      <c r="I1397" s="179"/>
      <c r="J1397" s="344"/>
      <c r="K1397" s="345"/>
      <c r="L1397" s="346"/>
      <c r="M1397" s="347"/>
      <c r="N1397" s="347"/>
      <c r="O1397" s="132"/>
    </row>
    <row r="1398" spans="2:15" ht="26.25" customHeight="1" x14ac:dyDescent="0.25">
      <c r="B1398" s="130"/>
      <c r="C1398" s="135"/>
      <c r="D1398" s="177"/>
      <c r="E1398" s="178"/>
      <c r="F1398" s="178"/>
      <c r="G1398" s="340"/>
      <c r="H1398" s="340"/>
      <c r="I1398" s="179"/>
      <c r="J1398" s="344"/>
      <c r="K1398" s="345"/>
      <c r="L1398" s="346"/>
      <c r="M1398" s="347"/>
      <c r="N1398" s="347"/>
      <c r="O1398" s="132"/>
    </row>
    <row r="1399" spans="2:15" ht="26.25" customHeight="1" x14ac:dyDescent="0.25">
      <c r="B1399" s="130"/>
      <c r="C1399" s="135"/>
      <c r="D1399" s="177"/>
      <c r="E1399" s="178"/>
      <c r="F1399" s="178"/>
      <c r="G1399" s="340"/>
      <c r="H1399" s="340"/>
      <c r="I1399" s="179"/>
      <c r="J1399" s="344"/>
      <c r="K1399" s="345"/>
      <c r="L1399" s="346"/>
      <c r="M1399" s="347"/>
      <c r="N1399" s="347"/>
      <c r="O1399" s="132"/>
    </row>
    <row r="1400" spans="2:15" ht="26.25" customHeight="1" x14ac:dyDescent="0.25">
      <c r="B1400" s="130"/>
      <c r="C1400" s="135"/>
      <c r="D1400" s="177"/>
      <c r="E1400" s="178"/>
      <c r="F1400" s="178"/>
      <c r="G1400" s="340"/>
      <c r="H1400" s="340"/>
      <c r="I1400" s="179"/>
      <c r="J1400" s="344"/>
      <c r="K1400" s="345"/>
      <c r="L1400" s="346"/>
      <c r="M1400" s="347"/>
      <c r="N1400" s="347"/>
      <c r="O1400" s="132"/>
    </row>
    <row r="1401" spans="2:15" ht="26.25" customHeight="1" x14ac:dyDescent="0.25">
      <c r="B1401" s="130"/>
      <c r="C1401" s="135"/>
      <c r="D1401" s="177"/>
      <c r="E1401" s="178"/>
      <c r="F1401" s="178"/>
      <c r="G1401" s="340"/>
      <c r="H1401" s="340"/>
      <c r="I1401" s="179"/>
      <c r="J1401" s="344"/>
      <c r="K1401" s="345"/>
      <c r="L1401" s="346"/>
      <c r="M1401" s="347"/>
      <c r="N1401" s="347"/>
      <c r="O1401" s="132"/>
    </row>
    <row r="1402" spans="2:15" ht="26.25" customHeight="1" x14ac:dyDescent="0.25">
      <c r="B1402" s="130"/>
      <c r="C1402" s="135"/>
      <c r="D1402" s="177"/>
      <c r="E1402" s="178"/>
      <c r="F1402" s="178"/>
      <c r="G1402" s="340"/>
      <c r="H1402" s="340"/>
      <c r="I1402" s="179"/>
      <c r="J1402" s="344"/>
      <c r="K1402" s="345"/>
      <c r="L1402" s="346"/>
      <c r="M1402" s="347"/>
      <c r="N1402" s="347"/>
      <c r="O1402" s="132"/>
    </row>
    <row r="1403" spans="2:15" ht="26.25" customHeight="1" x14ac:dyDescent="0.25">
      <c r="B1403" s="130"/>
      <c r="C1403" s="135"/>
      <c r="D1403" s="177"/>
      <c r="E1403" s="178"/>
      <c r="F1403" s="178"/>
      <c r="G1403" s="340"/>
      <c r="H1403" s="340"/>
      <c r="I1403" s="179"/>
      <c r="J1403" s="344"/>
      <c r="K1403" s="345"/>
      <c r="L1403" s="346"/>
      <c r="M1403" s="347"/>
      <c r="N1403" s="347"/>
      <c r="O1403" s="132"/>
    </row>
    <row r="1404" spans="2:15" ht="26.25" customHeight="1" x14ac:dyDescent="0.25">
      <c r="B1404" s="130"/>
      <c r="C1404" s="135"/>
      <c r="D1404" s="177"/>
      <c r="E1404" s="178"/>
      <c r="F1404" s="178"/>
      <c r="G1404" s="340"/>
      <c r="H1404" s="340"/>
      <c r="I1404" s="179"/>
      <c r="J1404" s="344"/>
      <c r="K1404" s="345"/>
      <c r="L1404" s="346"/>
      <c r="M1404" s="347"/>
      <c r="N1404" s="347"/>
      <c r="O1404" s="132"/>
    </row>
    <row r="1405" spans="2:15" ht="26.25" customHeight="1" x14ac:dyDescent="0.25">
      <c r="B1405" s="130"/>
      <c r="C1405" s="135"/>
      <c r="D1405" s="177"/>
      <c r="E1405" s="178"/>
      <c r="F1405" s="178"/>
      <c r="G1405" s="340"/>
      <c r="H1405" s="340"/>
      <c r="I1405" s="179"/>
      <c r="J1405" s="344"/>
      <c r="K1405" s="345"/>
      <c r="L1405" s="346"/>
      <c r="M1405" s="347"/>
      <c r="N1405" s="347"/>
      <c r="O1405" s="132"/>
    </row>
    <row r="1406" spans="2:15" ht="26.25" customHeight="1" x14ac:dyDescent="0.25">
      <c r="B1406" s="130"/>
      <c r="C1406" s="135"/>
      <c r="D1406" s="177"/>
      <c r="E1406" s="178"/>
      <c r="F1406" s="178"/>
      <c r="G1406" s="340"/>
      <c r="H1406" s="340"/>
      <c r="I1406" s="179"/>
      <c r="J1406" s="344"/>
      <c r="K1406" s="345"/>
      <c r="L1406" s="346"/>
      <c r="M1406" s="347"/>
      <c r="N1406" s="347"/>
      <c r="O1406" s="132"/>
    </row>
    <row r="1407" spans="2:15" ht="26.25" customHeight="1" x14ac:dyDescent="0.25">
      <c r="B1407" s="130"/>
      <c r="C1407" s="135"/>
      <c r="D1407" s="177"/>
      <c r="E1407" s="178"/>
      <c r="F1407" s="178"/>
      <c r="G1407" s="340"/>
      <c r="H1407" s="340"/>
      <c r="I1407" s="179"/>
      <c r="J1407" s="344"/>
      <c r="K1407" s="345"/>
      <c r="L1407" s="346"/>
      <c r="M1407" s="347"/>
      <c r="N1407" s="347"/>
      <c r="O1407" s="132"/>
    </row>
    <row r="1408" spans="2:15" ht="26.25" customHeight="1" x14ac:dyDescent="0.25">
      <c r="B1408" s="130"/>
      <c r="C1408" s="135"/>
      <c r="D1408" s="177"/>
      <c r="E1408" s="178"/>
      <c r="F1408" s="178"/>
      <c r="G1408" s="340"/>
      <c r="H1408" s="340"/>
      <c r="I1408" s="179"/>
      <c r="J1408" s="344"/>
      <c r="K1408" s="345"/>
      <c r="L1408" s="346"/>
      <c r="M1408" s="347"/>
      <c r="N1408" s="347"/>
      <c r="O1408" s="132"/>
    </row>
    <row r="1409" spans="2:15" ht="26.25" customHeight="1" x14ac:dyDescent="0.25">
      <c r="B1409" s="130"/>
      <c r="C1409" s="135"/>
      <c r="D1409" s="177"/>
      <c r="E1409" s="178"/>
      <c r="F1409" s="178"/>
      <c r="G1409" s="340"/>
      <c r="H1409" s="340"/>
      <c r="I1409" s="179"/>
      <c r="J1409" s="344"/>
      <c r="K1409" s="345"/>
      <c r="L1409" s="346"/>
      <c r="M1409" s="347"/>
      <c r="N1409" s="347"/>
      <c r="O1409" s="132"/>
    </row>
    <row r="1410" spans="2:15" ht="26.25" customHeight="1" x14ac:dyDescent="0.25">
      <c r="B1410" s="130"/>
      <c r="C1410" s="135"/>
      <c r="D1410" s="177"/>
      <c r="E1410" s="178"/>
      <c r="F1410" s="178"/>
      <c r="G1410" s="340"/>
      <c r="H1410" s="340"/>
      <c r="I1410" s="179"/>
      <c r="J1410" s="344"/>
      <c r="K1410" s="345"/>
      <c r="L1410" s="346"/>
      <c r="M1410" s="347"/>
      <c r="N1410" s="347"/>
      <c r="O1410" s="132"/>
    </row>
    <row r="1411" spans="2:15" ht="26.25" customHeight="1" x14ac:dyDescent="0.25">
      <c r="B1411" s="130"/>
      <c r="C1411" s="135"/>
      <c r="D1411" s="177"/>
      <c r="E1411" s="178"/>
      <c r="F1411" s="178"/>
      <c r="G1411" s="340"/>
      <c r="H1411" s="340"/>
      <c r="I1411" s="179"/>
      <c r="J1411" s="344"/>
      <c r="K1411" s="345"/>
      <c r="L1411" s="346"/>
      <c r="M1411" s="347"/>
      <c r="N1411" s="347"/>
      <c r="O1411" s="132"/>
    </row>
    <row r="1412" spans="2:15" ht="26.25" customHeight="1" x14ac:dyDescent="0.25">
      <c r="B1412" s="130"/>
      <c r="C1412" s="135"/>
      <c r="D1412" s="177"/>
      <c r="E1412" s="178"/>
      <c r="F1412" s="178"/>
      <c r="G1412" s="340"/>
      <c r="H1412" s="340"/>
      <c r="I1412" s="179"/>
      <c r="J1412" s="344"/>
      <c r="K1412" s="345"/>
      <c r="L1412" s="346"/>
      <c r="M1412" s="347"/>
      <c r="N1412" s="347"/>
      <c r="O1412" s="132"/>
    </row>
    <row r="1413" spans="2:15" ht="26.25" customHeight="1" x14ac:dyDescent="0.25">
      <c r="B1413" s="130"/>
      <c r="C1413" s="135"/>
      <c r="D1413" s="177"/>
      <c r="E1413" s="178"/>
      <c r="F1413" s="178"/>
      <c r="G1413" s="340"/>
      <c r="H1413" s="340"/>
      <c r="I1413" s="179"/>
      <c r="J1413" s="344"/>
      <c r="K1413" s="345"/>
      <c r="L1413" s="346"/>
      <c r="M1413" s="347"/>
      <c r="N1413" s="347"/>
      <c r="O1413" s="132"/>
    </row>
    <row r="1414" spans="2:15" ht="26.25" customHeight="1" x14ac:dyDescent="0.25">
      <c r="B1414" s="130"/>
      <c r="C1414" s="135"/>
      <c r="D1414" s="177"/>
      <c r="E1414" s="178"/>
      <c r="F1414" s="178"/>
      <c r="G1414" s="340"/>
      <c r="H1414" s="340"/>
      <c r="I1414" s="179"/>
      <c r="J1414" s="344"/>
      <c r="K1414" s="345"/>
      <c r="L1414" s="346"/>
      <c r="M1414" s="347"/>
      <c r="N1414" s="347"/>
      <c r="O1414" s="132"/>
    </row>
    <row r="1415" spans="2:15" ht="26.25" customHeight="1" x14ac:dyDescent="0.25">
      <c r="B1415" s="130"/>
      <c r="C1415" s="135"/>
      <c r="D1415" s="177"/>
      <c r="E1415" s="178"/>
      <c r="F1415" s="178"/>
      <c r="G1415" s="340"/>
      <c r="H1415" s="340"/>
      <c r="I1415" s="179"/>
      <c r="J1415" s="344"/>
      <c r="K1415" s="345"/>
      <c r="L1415" s="346"/>
      <c r="M1415" s="347"/>
      <c r="N1415" s="347"/>
      <c r="O1415" s="132"/>
    </row>
    <row r="1416" spans="2:15" ht="26.25" customHeight="1" x14ac:dyDescent="0.25">
      <c r="B1416" s="130"/>
      <c r="C1416" s="135"/>
      <c r="D1416" s="177"/>
      <c r="E1416" s="178"/>
      <c r="F1416" s="178"/>
      <c r="G1416" s="340"/>
      <c r="H1416" s="340"/>
      <c r="I1416" s="179"/>
      <c r="J1416" s="344"/>
      <c r="K1416" s="345"/>
      <c r="L1416" s="346"/>
      <c r="M1416" s="347"/>
      <c r="N1416" s="347"/>
      <c r="O1416" s="132"/>
    </row>
    <row r="1417" spans="2:15" ht="26.25" customHeight="1" x14ac:dyDescent="0.25">
      <c r="B1417" s="130"/>
      <c r="C1417" s="135"/>
      <c r="D1417" s="177"/>
      <c r="E1417" s="178"/>
      <c r="F1417" s="178"/>
      <c r="G1417" s="340"/>
      <c r="H1417" s="340"/>
      <c r="I1417" s="179"/>
      <c r="J1417" s="344"/>
      <c r="K1417" s="345"/>
      <c r="L1417" s="346"/>
      <c r="M1417" s="347"/>
      <c r="N1417" s="347"/>
      <c r="O1417" s="132"/>
    </row>
    <row r="1418" spans="2:15" ht="26.25" customHeight="1" x14ac:dyDescent="0.25">
      <c r="B1418" s="130"/>
      <c r="C1418" s="135"/>
      <c r="D1418" s="177"/>
      <c r="E1418" s="178"/>
      <c r="F1418" s="178"/>
      <c r="G1418" s="340"/>
      <c r="H1418" s="340"/>
      <c r="I1418" s="179"/>
      <c r="J1418" s="344"/>
      <c r="K1418" s="345"/>
      <c r="L1418" s="346"/>
      <c r="M1418" s="347"/>
      <c r="N1418" s="347"/>
      <c r="O1418" s="132"/>
    </row>
    <row r="1419" spans="2:15" ht="26.25" customHeight="1" x14ac:dyDescent="0.25">
      <c r="B1419" s="130"/>
      <c r="C1419" s="135"/>
      <c r="D1419" s="177"/>
      <c r="E1419" s="178"/>
      <c r="F1419" s="178"/>
      <c r="G1419" s="340"/>
      <c r="H1419" s="340"/>
      <c r="I1419" s="179"/>
      <c r="J1419" s="344"/>
      <c r="K1419" s="345"/>
      <c r="L1419" s="346"/>
      <c r="M1419" s="347"/>
      <c r="N1419" s="347"/>
      <c r="O1419" s="132"/>
    </row>
    <row r="1420" spans="2:15" ht="26.25" customHeight="1" x14ac:dyDescent="0.25">
      <c r="B1420" s="130"/>
      <c r="C1420" s="135"/>
      <c r="D1420" s="177"/>
      <c r="E1420" s="178"/>
      <c r="F1420" s="178"/>
      <c r="G1420" s="340"/>
      <c r="H1420" s="340"/>
      <c r="I1420" s="179"/>
      <c r="J1420" s="344"/>
      <c r="K1420" s="345"/>
      <c r="L1420" s="346"/>
      <c r="M1420" s="347"/>
      <c r="N1420" s="347"/>
      <c r="O1420" s="132"/>
    </row>
    <row r="1421" spans="2:15" ht="26.25" customHeight="1" x14ac:dyDescent="0.25">
      <c r="B1421" s="130"/>
      <c r="C1421" s="135"/>
      <c r="D1421" s="177"/>
      <c r="E1421" s="178"/>
      <c r="F1421" s="178"/>
      <c r="G1421" s="340"/>
      <c r="H1421" s="340"/>
      <c r="I1421" s="179"/>
      <c r="J1421" s="344"/>
      <c r="K1421" s="345"/>
      <c r="L1421" s="346"/>
      <c r="M1421" s="347"/>
      <c r="N1421" s="347"/>
      <c r="O1421" s="132"/>
    </row>
    <row r="1422" spans="2:15" ht="26.25" customHeight="1" x14ac:dyDescent="0.25">
      <c r="B1422" s="130"/>
      <c r="C1422" s="135"/>
      <c r="D1422" s="177"/>
      <c r="E1422" s="178"/>
      <c r="F1422" s="178"/>
      <c r="G1422" s="340"/>
      <c r="H1422" s="340"/>
      <c r="I1422" s="179"/>
      <c r="J1422" s="344"/>
      <c r="K1422" s="345"/>
      <c r="L1422" s="346"/>
      <c r="M1422" s="347"/>
      <c r="N1422" s="347"/>
      <c r="O1422" s="132"/>
    </row>
    <row r="1423" spans="2:15" ht="26.25" customHeight="1" x14ac:dyDescent="0.25">
      <c r="B1423" s="130"/>
      <c r="C1423" s="135"/>
      <c r="D1423" s="177"/>
      <c r="E1423" s="178"/>
      <c r="F1423" s="178"/>
      <c r="G1423" s="340"/>
      <c r="H1423" s="340"/>
      <c r="I1423" s="179"/>
      <c r="J1423" s="344"/>
      <c r="K1423" s="345"/>
      <c r="L1423" s="346"/>
      <c r="M1423" s="347"/>
      <c r="N1423" s="347"/>
      <c r="O1423" s="132"/>
    </row>
    <row r="1424" spans="2:15" ht="26.25" customHeight="1" x14ac:dyDescent="0.25">
      <c r="B1424" s="130"/>
      <c r="C1424" s="135"/>
      <c r="D1424" s="177"/>
      <c r="E1424" s="178"/>
      <c r="F1424" s="178"/>
      <c r="G1424" s="340"/>
      <c r="H1424" s="340"/>
      <c r="I1424" s="179"/>
      <c r="J1424" s="344"/>
      <c r="K1424" s="345"/>
      <c r="L1424" s="346"/>
      <c r="M1424" s="347"/>
      <c r="N1424" s="347"/>
      <c r="O1424" s="132"/>
    </row>
    <row r="1425" spans="2:15" ht="26.25" customHeight="1" x14ac:dyDescent="0.25">
      <c r="B1425" s="130"/>
      <c r="C1425" s="135"/>
      <c r="D1425" s="177"/>
      <c r="E1425" s="178"/>
      <c r="F1425" s="178"/>
      <c r="G1425" s="340"/>
      <c r="H1425" s="340"/>
      <c r="I1425" s="179"/>
      <c r="J1425" s="344"/>
      <c r="K1425" s="345"/>
      <c r="L1425" s="346"/>
      <c r="M1425" s="347"/>
      <c r="N1425" s="347"/>
      <c r="O1425" s="132"/>
    </row>
    <row r="1426" spans="2:15" ht="26.25" customHeight="1" x14ac:dyDescent="0.25">
      <c r="B1426" s="130"/>
      <c r="C1426" s="135"/>
      <c r="D1426" s="177"/>
      <c r="E1426" s="178"/>
      <c r="F1426" s="178"/>
      <c r="G1426" s="340"/>
      <c r="H1426" s="340"/>
      <c r="I1426" s="179"/>
      <c r="J1426" s="344"/>
      <c r="K1426" s="345"/>
      <c r="L1426" s="346"/>
      <c r="M1426" s="347"/>
      <c r="N1426" s="347"/>
      <c r="O1426" s="132"/>
    </row>
    <row r="1427" spans="2:15" ht="26.25" customHeight="1" x14ac:dyDescent="0.25">
      <c r="B1427" s="130"/>
      <c r="C1427" s="135"/>
      <c r="D1427" s="177"/>
      <c r="E1427" s="178"/>
      <c r="F1427" s="178"/>
      <c r="G1427" s="340"/>
      <c r="H1427" s="340"/>
      <c r="I1427" s="179"/>
      <c r="J1427" s="344"/>
      <c r="K1427" s="345"/>
      <c r="L1427" s="346"/>
      <c r="M1427" s="347"/>
      <c r="N1427" s="347"/>
      <c r="O1427" s="132"/>
    </row>
    <row r="1428" spans="2:15" ht="26.25" customHeight="1" x14ac:dyDescent="0.25">
      <c r="B1428" s="130"/>
      <c r="C1428" s="135"/>
      <c r="D1428" s="177"/>
      <c r="E1428" s="178"/>
      <c r="F1428" s="178"/>
      <c r="G1428" s="340"/>
      <c r="H1428" s="340"/>
      <c r="I1428" s="179"/>
      <c r="J1428" s="344"/>
      <c r="K1428" s="345"/>
      <c r="L1428" s="346"/>
      <c r="M1428" s="347"/>
      <c r="N1428" s="347"/>
      <c r="O1428" s="132"/>
    </row>
    <row r="1429" spans="2:15" ht="26.25" customHeight="1" x14ac:dyDescent="0.25">
      <c r="B1429" s="130"/>
      <c r="C1429" s="135"/>
      <c r="D1429" s="177"/>
      <c r="E1429" s="178"/>
      <c r="F1429" s="178"/>
      <c r="G1429" s="340"/>
      <c r="H1429" s="340"/>
      <c r="I1429" s="179"/>
      <c r="J1429" s="344"/>
      <c r="K1429" s="345"/>
      <c r="L1429" s="346"/>
      <c r="M1429" s="347"/>
      <c r="N1429" s="347"/>
      <c r="O1429" s="132"/>
    </row>
    <row r="1430" spans="2:15" ht="26.25" customHeight="1" x14ac:dyDescent="0.25">
      <c r="B1430" s="130"/>
      <c r="C1430" s="135"/>
      <c r="D1430" s="177"/>
      <c r="E1430" s="178"/>
      <c r="F1430" s="178"/>
      <c r="G1430" s="340"/>
      <c r="H1430" s="340"/>
      <c r="I1430" s="179"/>
      <c r="J1430" s="344"/>
      <c r="K1430" s="345"/>
      <c r="L1430" s="346"/>
      <c r="M1430" s="347"/>
      <c r="N1430" s="347"/>
      <c r="O1430" s="132"/>
    </row>
    <row r="1431" spans="2:15" ht="26.25" customHeight="1" x14ac:dyDescent="0.25">
      <c r="B1431" s="130"/>
      <c r="C1431" s="135"/>
      <c r="D1431" s="177"/>
      <c r="E1431" s="178"/>
      <c r="F1431" s="178"/>
      <c r="G1431" s="340"/>
      <c r="H1431" s="340"/>
      <c r="I1431" s="179"/>
      <c r="J1431" s="344"/>
      <c r="K1431" s="345"/>
      <c r="L1431" s="346"/>
      <c r="M1431" s="347"/>
      <c r="N1431" s="347"/>
      <c r="O1431" s="132"/>
    </row>
    <row r="1432" spans="2:15" ht="26.25" customHeight="1" x14ac:dyDescent="0.25">
      <c r="B1432" s="130"/>
      <c r="C1432" s="135"/>
      <c r="D1432" s="177"/>
      <c r="E1432" s="178"/>
      <c r="F1432" s="178"/>
      <c r="G1432" s="340"/>
      <c r="H1432" s="340"/>
      <c r="I1432" s="179"/>
      <c r="J1432" s="344"/>
      <c r="K1432" s="345"/>
      <c r="L1432" s="346"/>
      <c r="M1432" s="347"/>
      <c r="N1432" s="347"/>
      <c r="O1432" s="132"/>
    </row>
    <row r="1433" spans="2:15" ht="26.25" customHeight="1" x14ac:dyDescent="0.25">
      <c r="B1433" s="130"/>
      <c r="C1433" s="135"/>
      <c r="D1433" s="177"/>
      <c r="E1433" s="178"/>
      <c r="F1433" s="178"/>
      <c r="G1433" s="340"/>
      <c r="H1433" s="340"/>
      <c r="I1433" s="179"/>
      <c r="J1433" s="344"/>
      <c r="K1433" s="345"/>
      <c r="L1433" s="346"/>
      <c r="M1433" s="347"/>
      <c r="N1433" s="347"/>
      <c r="O1433" s="132"/>
    </row>
    <row r="1434" spans="2:15" ht="26.25" customHeight="1" x14ac:dyDescent="0.25">
      <c r="B1434" s="130"/>
      <c r="C1434" s="135"/>
      <c r="D1434" s="177"/>
      <c r="E1434" s="178"/>
      <c r="F1434" s="178"/>
      <c r="G1434" s="340"/>
      <c r="H1434" s="340"/>
      <c r="I1434" s="179"/>
      <c r="J1434" s="344"/>
      <c r="K1434" s="345"/>
      <c r="L1434" s="346"/>
      <c r="M1434" s="347"/>
      <c r="N1434" s="347"/>
      <c r="O1434" s="132"/>
    </row>
    <row r="1435" spans="2:15" ht="26.25" customHeight="1" x14ac:dyDescent="0.25">
      <c r="B1435" s="130"/>
      <c r="C1435" s="135"/>
      <c r="D1435" s="177"/>
      <c r="E1435" s="178"/>
      <c r="F1435" s="178"/>
      <c r="G1435" s="340"/>
      <c r="H1435" s="340"/>
      <c r="I1435" s="179"/>
      <c r="J1435" s="344"/>
      <c r="K1435" s="345"/>
      <c r="L1435" s="346"/>
      <c r="M1435" s="347"/>
      <c r="N1435" s="347"/>
      <c r="O1435" s="132"/>
    </row>
    <row r="1436" spans="2:15" ht="26.25" customHeight="1" x14ac:dyDescent="0.25">
      <c r="B1436" s="130"/>
      <c r="C1436" s="135"/>
      <c r="D1436" s="177"/>
      <c r="E1436" s="178"/>
      <c r="F1436" s="178"/>
      <c r="G1436" s="340"/>
      <c r="H1436" s="340"/>
      <c r="I1436" s="179"/>
      <c r="J1436" s="344"/>
      <c r="K1436" s="345"/>
      <c r="L1436" s="346"/>
      <c r="M1436" s="347"/>
      <c r="N1436" s="347"/>
      <c r="O1436" s="132"/>
    </row>
    <row r="1437" spans="2:15" ht="26.25" customHeight="1" x14ac:dyDescent="0.25">
      <c r="B1437" s="130"/>
      <c r="C1437" s="135"/>
      <c r="D1437" s="177"/>
      <c r="E1437" s="178"/>
      <c r="F1437" s="178"/>
      <c r="G1437" s="340"/>
      <c r="H1437" s="340"/>
      <c r="I1437" s="179"/>
      <c r="J1437" s="344"/>
      <c r="K1437" s="345"/>
      <c r="L1437" s="346"/>
      <c r="M1437" s="347"/>
      <c r="N1437" s="347"/>
      <c r="O1437" s="132"/>
    </row>
    <row r="1438" spans="2:15" ht="26.25" customHeight="1" x14ac:dyDescent="0.25">
      <c r="B1438" s="130"/>
      <c r="C1438" s="135"/>
      <c r="D1438" s="177"/>
      <c r="E1438" s="178"/>
      <c r="F1438" s="178"/>
      <c r="G1438" s="340"/>
      <c r="H1438" s="340"/>
      <c r="I1438" s="179"/>
      <c r="J1438" s="344"/>
      <c r="K1438" s="345"/>
      <c r="L1438" s="346"/>
      <c r="M1438" s="347"/>
      <c r="N1438" s="347"/>
      <c r="O1438" s="132"/>
    </row>
    <row r="1439" spans="2:15" ht="26.25" customHeight="1" x14ac:dyDescent="0.25">
      <c r="B1439" s="130"/>
      <c r="C1439" s="135"/>
      <c r="D1439" s="177"/>
      <c r="E1439" s="178"/>
      <c r="F1439" s="178"/>
      <c r="G1439" s="340"/>
      <c r="H1439" s="340"/>
      <c r="I1439" s="179"/>
      <c r="J1439" s="344"/>
      <c r="K1439" s="345"/>
      <c r="L1439" s="346"/>
      <c r="M1439" s="347"/>
      <c r="N1439" s="347"/>
      <c r="O1439" s="132"/>
    </row>
    <row r="1440" spans="2:15" ht="26.25" customHeight="1" x14ac:dyDescent="0.25">
      <c r="B1440" s="130"/>
      <c r="C1440" s="135"/>
      <c r="D1440" s="177"/>
      <c r="E1440" s="178"/>
      <c r="F1440" s="178"/>
      <c r="G1440" s="340"/>
      <c r="H1440" s="340"/>
      <c r="I1440" s="179"/>
      <c r="J1440" s="344"/>
      <c r="K1440" s="345"/>
      <c r="L1440" s="346"/>
      <c r="M1440" s="347"/>
      <c r="N1440" s="347"/>
      <c r="O1440" s="132"/>
    </row>
    <row r="1441" spans="2:15" ht="26.25" customHeight="1" x14ac:dyDescent="0.25">
      <c r="B1441" s="130"/>
      <c r="C1441" s="135"/>
      <c r="D1441" s="177"/>
      <c r="E1441" s="178"/>
      <c r="F1441" s="178"/>
      <c r="G1441" s="340"/>
      <c r="H1441" s="340"/>
      <c r="I1441" s="179"/>
      <c r="J1441" s="344"/>
      <c r="K1441" s="345"/>
      <c r="L1441" s="346"/>
      <c r="M1441" s="347"/>
      <c r="N1441" s="347"/>
      <c r="O1441" s="132"/>
    </row>
    <row r="1442" spans="2:15" ht="26.25" customHeight="1" x14ac:dyDescent="0.25">
      <c r="B1442" s="130"/>
      <c r="C1442" s="135"/>
      <c r="D1442" s="177"/>
      <c r="E1442" s="178"/>
      <c r="F1442" s="178"/>
      <c r="G1442" s="340"/>
      <c r="H1442" s="340"/>
      <c r="I1442" s="179"/>
      <c r="J1442" s="344"/>
      <c r="K1442" s="345"/>
      <c r="L1442" s="346"/>
      <c r="M1442" s="347"/>
      <c r="N1442" s="347"/>
      <c r="O1442" s="132"/>
    </row>
    <row r="1443" spans="2:15" ht="26.25" customHeight="1" x14ac:dyDescent="0.25">
      <c r="B1443" s="130"/>
      <c r="C1443" s="135"/>
      <c r="D1443" s="177"/>
      <c r="E1443" s="178"/>
      <c r="F1443" s="178"/>
      <c r="G1443" s="340"/>
      <c r="H1443" s="340"/>
      <c r="I1443" s="179"/>
      <c r="J1443" s="344"/>
      <c r="K1443" s="345"/>
      <c r="L1443" s="346"/>
      <c r="M1443" s="347"/>
      <c r="N1443" s="347"/>
      <c r="O1443" s="132"/>
    </row>
    <row r="1444" spans="2:15" ht="26.25" customHeight="1" x14ac:dyDescent="0.25">
      <c r="B1444" s="130"/>
      <c r="C1444" s="135"/>
      <c r="D1444" s="177"/>
      <c r="E1444" s="178"/>
      <c r="F1444" s="178"/>
      <c r="G1444" s="340"/>
      <c r="H1444" s="340"/>
      <c r="I1444" s="179"/>
      <c r="J1444" s="344"/>
      <c r="K1444" s="345"/>
      <c r="L1444" s="346"/>
      <c r="M1444" s="347"/>
      <c r="N1444" s="347"/>
      <c r="O1444" s="132"/>
    </row>
    <row r="1445" spans="2:15" ht="26.25" customHeight="1" x14ac:dyDescent="0.25">
      <c r="B1445" s="130"/>
      <c r="C1445" s="135"/>
      <c r="D1445" s="177"/>
      <c r="E1445" s="178"/>
      <c r="F1445" s="178"/>
      <c r="G1445" s="340"/>
      <c r="H1445" s="340"/>
      <c r="I1445" s="179"/>
      <c r="J1445" s="344"/>
      <c r="K1445" s="345"/>
      <c r="L1445" s="346"/>
      <c r="M1445" s="347"/>
      <c r="N1445" s="347"/>
      <c r="O1445" s="132"/>
    </row>
    <row r="1446" spans="2:15" ht="26.25" customHeight="1" x14ac:dyDescent="0.25">
      <c r="B1446" s="130"/>
      <c r="C1446" s="135"/>
      <c r="D1446" s="177"/>
      <c r="E1446" s="178"/>
      <c r="F1446" s="178"/>
      <c r="G1446" s="340"/>
      <c r="H1446" s="340"/>
      <c r="I1446" s="179"/>
      <c r="J1446" s="344"/>
      <c r="K1446" s="345"/>
      <c r="L1446" s="346"/>
      <c r="M1446" s="347"/>
      <c r="N1446" s="347"/>
      <c r="O1446" s="132"/>
    </row>
    <row r="1447" spans="2:15" ht="26.25" customHeight="1" x14ac:dyDescent="0.25">
      <c r="B1447" s="130"/>
      <c r="C1447" s="135"/>
      <c r="D1447" s="177"/>
      <c r="E1447" s="178"/>
      <c r="F1447" s="178"/>
      <c r="G1447" s="340"/>
      <c r="H1447" s="340"/>
      <c r="I1447" s="179"/>
      <c r="J1447" s="344"/>
      <c r="K1447" s="345"/>
      <c r="L1447" s="346"/>
      <c r="M1447" s="347"/>
      <c r="N1447" s="347"/>
      <c r="O1447" s="132"/>
    </row>
    <row r="1448" spans="2:15" ht="26.25" customHeight="1" x14ac:dyDescent="0.25">
      <c r="B1448" s="130"/>
      <c r="C1448" s="135"/>
      <c r="D1448" s="177"/>
      <c r="E1448" s="178"/>
      <c r="F1448" s="178"/>
      <c r="G1448" s="340"/>
      <c r="H1448" s="340"/>
      <c r="I1448" s="179"/>
      <c r="J1448" s="344"/>
      <c r="K1448" s="345"/>
      <c r="L1448" s="346"/>
      <c r="M1448" s="347"/>
      <c r="N1448" s="347"/>
      <c r="O1448" s="132"/>
    </row>
    <row r="1449" spans="2:15" ht="26.25" customHeight="1" x14ac:dyDescent="0.25">
      <c r="B1449" s="130"/>
      <c r="C1449" s="135"/>
      <c r="D1449" s="177"/>
      <c r="E1449" s="178"/>
      <c r="F1449" s="178"/>
      <c r="G1449" s="340"/>
      <c r="H1449" s="340"/>
      <c r="I1449" s="179"/>
      <c r="J1449" s="344"/>
      <c r="K1449" s="345"/>
      <c r="L1449" s="346"/>
      <c r="M1449" s="347"/>
      <c r="N1449" s="347"/>
      <c r="O1449" s="132"/>
    </row>
    <row r="1450" spans="2:15" ht="26.25" customHeight="1" x14ac:dyDescent="0.25">
      <c r="B1450" s="130"/>
      <c r="C1450" s="135"/>
      <c r="D1450" s="177"/>
      <c r="E1450" s="178"/>
      <c r="F1450" s="178"/>
      <c r="G1450" s="340"/>
      <c r="H1450" s="340"/>
      <c r="I1450" s="179"/>
      <c r="J1450" s="344"/>
      <c r="K1450" s="345"/>
      <c r="L1450" s="346"/>
      <c r="M1450" s="347"/>
      <c r="N1450" s="347"/>
      <c r="O1450" s="132"/>
    </row>
    <row r="1451" spans="2:15" ht="26.25" customHeight="1" x14ac:dyDescent="0.25">
      <c r="B1451" s="130"/>
      <c r="C1451" s="135"/>
      <c r="D1451" s="177"/>
      <c r="E1451" s="178"/>
      <c r="F1451" s="178"/>
      <c r="G1451" s="340"/>
      <c r="H1451" s="340"/>
      <c r="I1451" s="179"/>
      <c r="J1451" s="344"/>
      <c r="K1451" s="345"/>
      <c r="L1451" s="346"/>
      <c r="M1451" s="347"/>
      <c r="N1451" s="347"/>
      <c r="O1451" s="132"/>
    </row>
    <row r="1452" spans="2:15" ht="26.25" customHeight="1" x14ac:dyDescent="0.25">
      <c r="B1452" s="130"/>
      <c r="C1452" s="135"/>
      <c r="D1452" s="177"/>
      <c r="E1452" s="178"/>
      <c r="F1452" s="178"/>
      <c r="G1452" s="340"/>
      <c r="H1452" s="340"/>
      <c r="I1452" s="179"/>
      <c r="J1452" s="344"/>
      <c r="K1452" s="345"/>
      <c r="L1452" s="346"/>
      <c r="M1452" s="347"/>
      <c r="N1452" s="347"/>
      <c r="O1452" s="132"/>
    </row>
    <row r="1453" spans="2:15" ht="26.25" customHeight="1" x14ac:dyDescent="0.25">
      <c r="B1453" s="130"/>
      <c r="C1453" s="135"/>
      <c r="D1453" s="177"/>
      <c r="E1453" s="178"/>
      <c r="F1453" s="178"/>
      <c r="G1453" s="340"/>
      <c r="H1453" s="340"/>
      <c r="I1453" s="179"/>
      <c r="J1453" s="344"/>
      <c r="K1453" s="345"/>
      <c r="L1453" s="346"/>
      <c r="M1453" s="347"/>
      <c r="N1453" s="347"/>
      <c r="O1453" s="132"/>
    </row>
    <row r="1454" spans="2:15" ht="26.25" customHeight="1" x14ac:dyDescent="0.25">
      <c r="B1454" s="130"/>
      <c r="C1454" s="135"/>
      <c r="D1454" s="177"/>
      <c r="E1454" s="178"/>
      <c r="F1454" s="178"/>
      <c r="G1454" s="340"/>
      <c r="H1454" s="340"/>
      <c r="I1454" s="179"/>
      <c r="J1454" s="344"/>
      <c r="K1454" s="345"/>
      <c r="L1454" s="346"/>
      <c r="M1454" s="347"/>
      <c r="N1454" s="347"/>
      <c r="O1454" s="132"/>
    </row>
    <row r="1455" spans="2:15" ht="26.25" customHeight="1" x14ac:dyDescent="0.25">
      <c r="B1455" s="130"/>
      <c r="C1455" s="135"/>
      <c r="D1455" s="177"/>
      <c r="E1455" s="178"/>
      <c r="F1455" s="178"/>
      <c r="G1455" s="340"/>
      <c r="H1455" s="340"/>
      <c r="I1455" s="179"/>
      <c r="J1455" s="344"/>
      <c r="K1455" s="345"/>
      <c r="L1455" s="346"/>
      <c r="M1455" s="347"/>
      <c r="N1455" s="347"/>
      <c r="O1455" s="132"/>
    </row>
    <row r="1456" spans="2:15" ht="26.25" customHeight="1" x14ac:dyDescent="0.25">
      <c r="B1456" s="130"/>
      <c r="C1456" s="135"/>
      <c r="D1456" s="177"/>
      <c r="E1456" s="178"/>
      <c r="F1456" s="178"/>
      <c r="G1456" s="340"/>
      <c r="H1456" s="340"/>
      <c r="I1456" s="179"/>
      <c r="J1456" s="344"/>
      <c r="K1456" s="345"/>
      <c r="L1456" s="346"/>
      <c r="M1456" s="347"/>
      <c r="N1456" s="347"/>
      <c r="O1456" s="132"/>
    </row>
    <row r="1457" spans="2:15" ht="26.25" customHeight="1" x14ac:dyDescent="0.25">
      <c r="B1457" s="130"/>
      <c r="C1457" s="135"/>
      <c r="D1457" s="177"/>
      <c r="E1457" s="178"/>
      <c r="F1457" s="178"/>
      <c r="G1457" s="340"/>
      <c r="H1457" s="340"/>
      <c r="I1457" s="179"/>
      <c r="J1457" s="344"/>
      <c r="K1457" s="345"/>
      <c r="L1457" s="346"/>
      <c r="M1457" s="347"/>
      <c r="N1457" s="347"/>
      <c r="O1457" s="132"/>
    </row>
    <row r="1458" spans="2:15" ht="26.25" customHeight="1" x14ac:dyDescent="0.25">
      <c r="B1458" s="130"/>
      <c r="C1458" s="135"/>
      <c r="D1458" s="177"/>
      <c r="E1458" s="178"/>
      <c r="F1458" s="178"/>
      <c r="G1458" s="340"/>
      <c r="H1458" s="340"/>
      <c r="I1458" s="179"/>
      <c r="J1458" s="344"/>
      <c r="K1458" s="345"/>
      <c r="L1458" s="346"/>
      <c r="M1458" s="347"/>
      <c r="N1458" s="347"/>
      <c r="O1458" s="132"/>
    </row>
    <row r="1459" spans="2:15" ht="26.25" customHeight="1" x14ac:dyDescent="0.25">
      <c r="B1459" s="130"/>
      <c r="C1459" s="135"/>
      <c r="D1459" s="177"/>
      <c r="E1459" s="178"/>
      <c r="F1459" s="178"/>
      <c r="G1459" s="340"/>
      <c r="H1459" s="340"/>
      <c r="I1459" s="179"/>
      <c r="J1459" s="344"/>
      <c r="K1459" s="345"/>
      <c r="L1459" s="346"/>
      <c r="M1459" s="347"/>
      <c r="N1459" s="347"/>
      <c r="O1459" s="132"/>
    </row>
    <row r="1460" spans="2:15" ht="26.25" customHeight="1" x14ac:dyDescent="0.25">
      <c r="B1460" s="130"/>
      <c r="C1460" s="135"/>
      <c r="D1460" s="177"/>
      <c r="E1460" s="178"/>
      <c r="F1460" s="178"/>
      <c r="G1460" s="340"/>
      <c r="H1460" s="340"/>
      <c r="I1460" s="179"/>
      <c r="J1460" s="344"/>
      <c r="K1460" s="345"/>
      <c r="L1460" s="346"/>
      <c r="M1460" s="347"/>
      <c r="N1460" s="347"/>
      <c r="O1460" s="132"/>
    </row>
    <row r="1461" spans="2:15" ht="26.25" customHeight="1" x14ac:dyDescent="0.25">
      <c r="B1461" s="130"/>
      <c r="C1461" s="135"/>
      <c r="D1461" s="177"/>
      <c r="E1461" s="178"/>
      <c r="F1461" s="178"/>
      <c r="G1461" s="340"/>
      <c r="H1461" s="340"/>
      <c r="I1461" s="179"/>
      <c r="J1461" s="344"/>
      <c r="K1461" s="345"/>
      <c r="L1461" s="346"/>
      <c r="M1461" s="347"/>
      <c r="N1461" s="347"/>
      <c r="O1461" s="132"/>
    </row>
    <row r="1462" spans="2:15" ht="26.25" customHeight="1" x14ac:dyDescent="0.25">
      <c r="B1462" s="130"/>
      <c r="C1462" s="135"/>
      <c r="D1462" s="177"/>
      <c r="E1462" s="178"/>
      <c r="F1462" s="178"/>
      <c r="G1462" s="340"/>
      <c r="H1462" s="340"/>
      <c r="I1462" s="179"/>
      <c r="J1462" s="344"/>
      <c r="K1462" s="345"/>
      <c r="L1462" s="346"/>
      <c r="M1462" s="347"/>
      <c r="N1462" s="347"/>
      <c r="O1462" s="132"/>
    </row>
    <row r="1463" spans="2:15" ht="26.25" customHeight="1" x14ac:dyDescent="0.25">
      <c r="B1463" s="130"/>
      <c r="C1463" s="135"/>
      <c r="D1463" s="177"/>
      <c r="E1463" s="178"/>
      <c r="F1463" s="178"/>
      <c r="G1463" s="340"/>
      <c r="H1463" s="340"/>
      <c r="I1463" s="179"/>
      <c r="J1463" s="344"/>
      <c r="K1463" s="345"/>
      <c r="L1463" s="346"/>
      <c r="M1463" s="347"/>
      <c r="N1463" s="347"/>
      <c r="O1463" s="132"/>
    </row>
    <row r="1464" spans="2:15" ht="26.25" customHeight="1" x14ac:dyDescent="0.25">
      <c r="B1464" s="130"/>
      <c r="C1464" s="135"/>
      <c r="D1464" s="177"/>
      <c r="E1464" s="178"/>
      <c r="F1464" s="178"/>
      <c r="G1464" s="340"/>
      <c r="H1464" s="340"/>
      <c r="I1464" s="179"/>
      <c r="J1464" s="344"/>
      <c r="K1464" s="345"/>
      <c r="L1464" s="346"/>
      <c r="M1464" s="347"/>
      <c r="N1464" s="347"/>
      <c r="O1464" s="132"/>
    </row>
    <row r="1465" spans="2:15" ht="26.25" customHeight="1" x14ac:dyDescent="0.25">
      <c r="B1465" s="130"/>
      <c r="C1465" s="135"/>
      <c r="D1465" s="177"/>
      <c r="E1465" s="178"/>
      <c r="F1465" s="178"/>
      <c r="G1465" s="340"/>
      <c r="H1465" s="340"/>
      <c r="I1465" s="179"/>
      <c r="J1465" s="344"/>
      <c r="K1465" s="345"/>
      <c r="L1465" s="346"/>
      <c r="M1465" s="347"/>
      <c r="N1465" s="347"/>
      <c r="O1465" s="132"/>
    </row>
    <row r="1466" spans="2:15" ht="26.25" customHeight="1" x14ac:dyDescent="0.25">
      <c r="B1466" s="130"/>
      <c r="C1466" s="135"/>
      <c r="D1466" s="177"/>
      <c r="E1466" s="178"/>
      <c r="F1466" s="178"/>
      <c r="G1466" s="340"/>
      <c r="H1466" s="340"/>
      <c r="I1466" s="179"/>
      <c r="J1466" s="344"/>
      <c r="K1466" s="345"/>
      <c r="L1466" s="346"/>
      <c r="M1466" s="347"/>
      <c r="N1466" s="347"/>
      <c r="O1466" s="132"/>
    </row>
    <row r="1467" spans="2:15" ht="26.25" customHeight="1" x14ac:dyDescent="0.25">
      <c r="B1467" s="130"/>
      <c r="C1467" s="135"/>
      <c r="D1467" s="177"/>
      <c r="E1467" s="178"/>
      <c r="F1467" s="178"/>
      <c r="G1467" s="340"/>
      <c r="H1467" s="340"/>
      <c r="I1467" s="179"/>
      <c r="J1467" s="344"/>
      <c r="K1467" s="345"/>
      <c r="L1467" s="346"/>
      <c r="M1467" s="347"/>
      <c r="N1467" s="347"/>
      <c r="O1467" s="132"/>
    </row>
    <row r="1468" spans="2:15" ht="26.25" customHeight="1" x14ac:dyDescent="0.25">
      <c r="B1468" s="130"/>
      <c r="C1468" s="135"/>
      <c r="D1468" s="177"/>
      <c r="E1468" s="178"/>
      <c r="F1468" s="178"/>
      <c r="G1468" s="340"/>
      <c r="H1468" s="340"/>
      <c r="I1468" s="179"/>
      <c r="J1468" s="344"/>
      <c r="K1468" s="345"/>
      <c r="L1468" s="346"/>
      <c r="M1468" s="347"/>
      <c r="N1468" s="347"/>
      <c r="O1468" s="132"/>
    </row>
    <row r="1469" spans="2:15" ht="26.25" customHeight="1" x14ac:dyDescent="0.25">
      <c r="B1469" s="130"/>
      <c r="C1469" s="135"/>
      <c r="D1469" s="177"/>
      <c r="E1469" s="178"/>
      <c r="F1469" s="178"/>
      <c r="G1469" s="340"/>
      <c r="H1469" s="340"/>
      <c r="I1469" s="179"/>
      <c r="J1469" s="344"/>
      <c r="K1469" s="345"/>
      <c r="L1469" s="346"/>
      <c r="M1469" s="347"/>
      <c r="N1469" s="347"/>
      <c r="O1469" s="132"/>
    </row>
    <row r="1470" spans="2:15" ht="26.25" customHeight="1" x14ac:dyDescent="0.25">
      <c r="B1470" s="130"/>
      <c r="C1470" s="135"/>
      <c r="D1470" s="177"/>
      <c r="E1470" s="178"/>
      <c r="F1470" s="178"/>
      <c r="G1470" s="340"/>
      <c r="H1470" s="340"/>
      <c r="I1470" s="179"/>
      <c r="J1470" s="344"/>
      <c r="K1470" s="345"/>
      <c r="L1470" s="346"/>
      <c r="M1470" s="347"/>
      <c r="N1470" s="347"/>
      <c r="O1470" s="132"/>
    </row>
    <row r="1471" spans="2:15" ht="26.25" customHeight="1" x14ac:dyDescent="0.25">
      <c r="B1471" s="130"/>
      <c r="C1471" s="135"/>
      <c r="D1471" s="177"/>
      <c r="E1471" s="178"/>
      <c r="F1471" s="178"/>
      <c r="G1471" s="340"/>
      <c r="H1471" s="340"/>
      <c r="I1471" s="179"/>
      <c r="J1471" s="344"/>
      <c r="K1471" s="345"/>
      <c r="L1471" s="346"/>
      <c r="M1471" s="347"/>
      <c r="N1471" s="347"/>
      <c r="O1471" s="132"/>
    </row>
    <row r="1472" spans="2:15" ht="26.25" customHeight="1" x14ac:dyDescent="0.25">
      <c r="B1472" s="130"/>
      <c r="C1472" s="135"/>
      <c r="D1472" s="177"/>
      <c r="E1472" s="178"/>
      <c r="F1472" s="178"/>
      <c r="G1472" s="340"/>
      <c r="H1472" s="340"/>
      <c r="I1472" s="179"/>
      <c r="J1472" s="344"/>
      <c r="K1472" s="345"/>
      <c r="L1472" s="346"/>
      <c r="M1472" s="347"/>
      <c r="N1472" s="347"/>
      <c r="O1472" s="132"/>
    </row>
    <row r="1473" spans="2:15" ht="26.25" customHeight="1" x14ac:dyDescent="0.25">
      <c r="B1473" s="130"/>
      <c r="C1473" s="135"/>
      <c r="D1473" s="177"/>
      <c r="E1473" s="178"/>
      <c r="F1473" s="178"/>
      <c r="G1473" s="340"/>
      <c r="H1473" s="340"/>
      <c r="I1473" s="179"/>
      <c r="J1473" s="344"/>
      <c r="K1473" s="345"/>
      <c r="L1473" s="346"/>
      <c r="M1473" s="347"/>
      <c r="N1473" s="347"/>
      <c r="O1473" s="132"/>
    </row>
    <row r="1474" spans="2:15" ht="26.25" customHeight="1" x14ac:dyDescent="0.25">
      <c r="B1474" s="130"/>
      <c r="C1474" s="135"/>
      <c r="D1474" s="177"/>
      <c r="E1474" s="178"/>
      <c r="F1474" s="178"/>
      <c r="G1474" s="340"/>
      <c r="H1474" s="340"/>
      <c r="I1474" s="179"/>
      <c r="J1474" s="344"/>
      <c r="K1474" s="345"/>
      <c r="L1474" s="346"/>
      <c r="M1474" s="347"/>
      <c r="N1474" s="347"/>
      <c r="O1474" s="132"/>
    </row>
    <row r="1475" spans="2:15" ht="26.25" customHeight="1" x14ac:dyDescent="0.25">
      <c r="B1475" s="130"/>
      <c r="C1475" s="135"/>
      <c r="D1475" s="177"/>
      <c r="E1475" s="178"/>
      <c r="F1475" s="178"/>
      <c r="G1475" s="340"/>
      <c r="H1475" s="340"/>
      <c r="I1475" s="179"/>
      <c r="J1475" s="344"/>
      <c r="K1475" s="345"/>
      <c r="L1475" s="346"/>
      <c r="M1475" s="347"/>
      <c r="N1475" s="347"/>
      <c r="O1475" s="132"/>
    </row>
    <row r="1476" spans="2:15" ht="26.25" customHeight="1" x14ac:dyDescent="0.25">
      <c r="B1476" s="130"/>
      <c r="C1476" s="135"/>
      <c r="D1476" s="177"/>
      <c r="E1476" s="178"/>
      <c r="F1476" s="178"/>
      <c r="G1476" s="340"/>
      <c r="H1476" s="340"/>
      <c r="I1476" s="179"/>
      <c r="J1476" s="344"/>
      <c r="K1476" s="345"/>
      <c r="L1476" s="346"/>
      <c r="M1476" s="347"/>
      <c r="N1476" s="347"/>
      <c r="O1476" s="132"/>
    </row>
    <row r="1477" spans="2:15" ht="26.25" customHeight="1" x14ac:dyDescent="0.25">
      <c r="B1477" s="130"/>
      <c r="C1477" s="135"/>
      <c r="D1477" s="177"/>
      <c r="E1477" s="178"/>
      <c r="F1477" s="178"/>
      <c r="G1477" s="340"/>
      <c r="H1477" s="340"/>
      <c r="I1477" s="179"/>
      <c r="J1477" s="344"/>
      <c r="K1477" s="345"/>
      <c r="L1477" s="346"/>
      <c r="M1477" s="347"/>
      <c r="N1477" s="347"/>
      <c r="O1477" s="132"/>
    </row>
    <row r="1478" spans="2:15" ht="26.25" customHeight="1" x14ac:dyDescent="0.25">
      <c r="B1478" s="130"/>
      <c r="C1478" s="135"/>
      <c r="D1478" s="177"/>
      <c r="E1478" s="178"/>
      <c r="F1478" s="178"/>
      <c r="G1478" s="340"/>
      <c r="H1478" s="340"/>
      <c r="I1478" s="179"/>
      <c r="J1478" s="344"/>
      <c r="K1478" s="345"/>
      <c r="L1478" s="346"/>
      <c r="M1478" s="347"/>
      <c r="N1478" s="347"/>
      <c r="O1478" s="132"/>
    </row>
    <row r="1479" spans="2:15" ht="26.25" customHeight="1" x14ac:dyDescent="0.25">
      <c r="B1479" s="130"/>
      <c r="C1479" s="135"/>
      <c r="D1479" s="177"/>
      <c r="E1479" s="178"/>
      <c r="F1479" s="178"/>
      <c r="G1479" s="340"/>
      <c r="H1479" s="340"/>
      <c r="I1479" s="179"/>
      <c r="J1479" s="344"/>
      <c r="K1479" s="345"/>
      <c r="L1479" s="346"/>
      <c r="M1479" s="347"/>
      <c r="N1479" s="347"/>
      <c r="O1479" s="132"/>
    </row>
    <row r="1480" spans="2:15" ht="26.25" customHeight="1" x14ac:dyDescent="0.25">
      <c r="B1480" s="130"/>
      <c r="C1480" s="135"/>
      <c r="D1480" s="177"/>
      <c r="E1480" s="178"/>
      <c r="F1480" s="178"/>
      <c r="G1480" s="340"/>
      <c r="H1480" s="340"/>
      <c r="I1480" s="179"/>
      <c r="J1480" s="344"/>
      <c r="K1480" s="345"/>
      <c r="L1480" s="346"/>
      <c r="M1480" s="347"/>
      <c r="N1480" s="347"/>
      <c r="O1480" s="132"/>
    </row>
    <row r="1481" spans="2:15" ht="26.25" customHeight="1" x14ac:dyDescent="0.25">
      <c r="B1481" s="130"/>
      <c r="C1481" s="135"/>
      <c r="D1481" s="177"/>
      <c r="E1481" s="178"/>
      <c r="F1481" s="178"/>
      <c r="G1481" s="340"/>
      <c r="H1481" s="340"/>
      <c r="I1481" s="179"/>
      <c r="J1481" s="344"/>
      <c r="K1481" s="345"/>
      <c r="L1481" s="346"/>
      <c r="M1481" s="347"/>
      <c r="N1481" s="347"/>
      <c r="O1481" s="132"/>
    </row>
    <row r="1482" spans="2:15" ht="26.25" customHeight="1" x14ac:dyDescent="0.25">
      <c r="B1482" s="130"/>
      <c r="C1482" s="135"/>
      <c r="D1482" s="177"/>
      <c r="E1482" s="178"/>
      <c r="F1482" s="178"/>
      <c r="G1482" s="340"/>
      <c r="H1482" s="340"/>
      <c r="I1482" s="179"/>
      <c r="J1482" s="344"/>
      <c r="K1482" s="345"/>
      <c r="L1482" s="346"/>
      <c r="M1482" s="347"/>
      <c r="N1482" s="347"/>
      <c r="O1482" s="132"/>
    </row>
    <row r="1483" spans="2:15" ht="26.25" customHeight="1" x14ac:dyDescent="0.25">
      <c r="B1483" s="130"/>
      <c r="C1483" s="135"/>
      <c r="D1483" s="177"/>
      <c r="E1483" s="178"/>
      <c r="F1483" s="178"/>
      <c r="G1483" s="340"/>
      <c r="H1483" s="340"/>
      <c r="I1483" s="179"/>
      <c r="J1483" s="344"/>
      <c r="K1483" s="345"/>
      <c r="L1483" s="346"/>
      <c r="M1483" s="347"/>
      <c r="N1483" s="347"/>
      <c r="O1483" s="132"/>
    </row>
    <row r="1484" spans="2:15" ht="26.25" customHeight="1" x14ac:dyDescent="0.25">
      <c r="B1484" s="130"/>
      <c r="C1484" s="135"/>
      <c r="D1484" s="177"/>
      <c r="E1484" s="178"/>
      <c r="F1484" s="178"/>
      <c r="G1484" s="340"/>
      <c r="H1484" s="340"/>
      <c r="I1484" s="179"/>
      <c r="J1484" s="344"/>
      <c r="K1484" s="345"/>
      <c r="L1484" s="346"/>
      <c r="M1484" s="347"/>
      <c r="N1484" s="347"/>
      <c r="O1484" s="132"/>
    </row>
    <row r="1485" spans="2:15" ht="26.25" customHeight="1" x14ac:dyDescent="0.25">
      <c r="B1485" s="130"/>
      <c r="C1485" s="135"/>
      <c r="D1485" s="177"/>
      <c r="E1485" s="178"/>
      <c r="F1485" s="178"/>
      <c r="G1485" s="340"/>
      <c r="H1485" s="340"/>
      <c r="I1485" s="179"/>
      <c r="J1485" s="344"/>
      <c r="K1485" s="345"/>
      <c r="L1485" s="346"/>
      <c r="M1485" s="347"/>
      <c r="N1485" s="347"/>
      <c r="O1485" s="132"/>
    </row>
    <row r="1486" spans="2:15" ht="26.25" customHeight="1" x14ac:dyDescent="0.25">
      <c r="B1486" s="130"/>
      <c r="C1486" s="135"/>
      <c r="D1486" s="177"/>
      <c r="E1486" s="178"/>
      <c r="F1486" s="178"/>
      <c r="G1486" s="340"/>
      <c r="H1486" s="340"/>
      <c r="I1486" s="179"/>
      <c r="J1486" s="344"/>
      <c r="K1486" s="345"/>
      <c r="L1486" s="346"/>
      <c r="M1486" s="347"/>
      <c r="N1486" s="347"/>
      <c r="O1486" s="132"/>
    </row>
    <row r="1487" spans="2:15" ht="26.25" customHeight="1" x14ac:dyDescent="0.25">
      <c r="B1487" s="130"/>
      <c r="C1487" s="135"/>
      <c r="D1487" s="177"/>
      <c r="E1487" s="178"/>
      <c r="F1487" s="178"/>
      <c r="G1487" s="340"/>
      <c r="H1487" s="340"/>
      <c r="I1487" s="179"/>
      <c r="J1487" s="344"/>
      <c r="K1487" s="345"/>
      <c r="L1487" s="346"/>
      <c r="M1487" s="347"/>
      <c r="N1487" s="347"/>
      <c r="O1487" s="132"/>
    </row>
    <row r="1488" spans="2:15" ht="26.25" customHeight="1" x14ac:dyDescent="0.25">
      <c r="B1488" s="130"/>
      <c r="C1488" s="135"/>
      <c r="D1488" s="177"/>
      <c r="E1488" s="178"/>
      <c r="F1488" s="178"/>
      <c r="G1488" s="340"/>
      <c r="H1488" s="340"/>
      <c r="I1488" s="179"/>
      <c r="J1488" s="344"/>
      <c r="K1488" s="345"/>
      <c r="L1488" s="346"/>
      <c r="M1488" s="347"/>
      <c r="N1488" s="347"/>
      <c r="O1488" s="132"/>
    </row>
    <row r="1489" spans="2:15" ht="26.25" customHeight="1" x14ac:dyDescent="0.25">
      <c r="B1489" s="130"/>
      <c r="C1489" s="135"/>
      <c r="D1489" s="177"/>
      <c r="E1489" s="178"/>
      <c r="F1489" s="178"/>
      <c r="G1489" s="340"/>
      <c r="H1489" s="340"/>
      <c r="I1489" s="179"/>
      <c r="J1489" s="344"/>
      <c r="K1489" s="345"/>
      <c r="L1489" s="346"/>
      <c r="M1489" s="347"/>
      <c r="N1489" s="347"/>
      <c r="O1489" s="132"/>
    </row>
    <row r="1490" spans="2:15" ht="26.25" customHeight="1" x14ac:dyDescent="0.25">
      <c r="B1490" s="130"/>
      <c r="C1490" s="135"/>
      <c r="D1490" s="177"/>
      <c r="E1490" s="178"/>
      <c r="F1490" s="178"/>
      <c r="G1490" s="340"/>
      <c r="H1490" s="340"/>
      <c r="I1490" s="179"/>
      <c r="J1490" s="344"/>
      <c r="K1490" s="345"/>
      <c r="L1490" s="346"/>
      <c r="M1490" s="347"/>
      <c r="N1490" s="347"/>
      <c r="O1490" s="132"/>
    </row>
    <row r="1491" spans="2:15" ht="26.25" customHeight="1" x14ac:dyDescent="0.25">
      <c r="B1491" s="130"/>
      <c r="C1491" s="135"/>
      <c r="D1491" s="177"/>
      <c r="E1491" s="178"/>
      <c r="F1491" s="178"/>
      <c r="G1491" s="340"/>
      <c r="H1491" s="340"/>
      <c r="I1491" s="179"/>
      <c r="J1491" s="344"/>
      <c r="K1491" s="345"/>
      <c r="L1491" s="346"/>
      <c r="M1491" s="347"/>
      <c r="N1491" s="347"/>
      <c r="O1491" s="132"/>
    </row>
    <row r="1492" spans="2:15" ht="26.25" customHeight="1" x14ac:dyDescent="0.25">
      <c r="B1492" s="130"/>
      <c r="C1492" s="135"/>
      <c r="D1492" s="177"/>
      <c r="E1492" s="178"/>
      <c r="F1492" s="178"/>
      <c r="G1492" s="340"/>
      <c r="H1492" s="340"/>
      <c r="I1492" s="179"/>
      <c r="J1492" s="344"/>
      <c r="K1492" s="345"/>
      <c r="L1492" s="346"/>
      <c r="M1492" s="347"/>
      <c r="N1492" s="347"/>
      <c r="O1492" s="132"/>
    </row>
    <row r="1493" spans="2:15" ht="26.25" customHeight="1" x14ac:dyDescent="0.25">
      <c r="B1493" s="130"/>
      <c r="C1493" s="135"/>
      <c r="D1493" s="177"/>
      <c r="E1493" s="178"/>
      <c r="F1493" s="178"/>
      <c r="G1493" s="340"/>
      <c r="H1493" s="340"/>
      <c r="I1493" s="179"/>
      <c r="J1493" s="344"/>
      <c r="K1493" s="345"/>
      <c r="L1493" s="346"/>
      <c r="M1493" s="347"/>
      <c r="N1493" s="347"/>
      <c r="O1493" s="132"/>
    </row>
    <row r="1494" spans="2:15" ht="26.25" customHeight="1" x14ac:dyDescent="0.25">
      <c r="B1494" s="130"/>
      <c r="C1494" s="135"/>
      <c r="D1494" s="177"/>
      <c r="E1494" s="178"/>
      <c r="F1494" s="178"/>
      <c r="G1494" s="340"/>
      <c r="H1494" s="340"/>
      <c r="I1494" s="179"/>
      <c r="J1494" s="344"/>
      <c r="K1494" s="345"/>
      <c r="L1494" s="346"/>
      <c r="M1494" s="347"/>
      <c r="N1494" s="347"/>
      <c r="O1494" s="132"/>
    </row>
    <row r="1495" spans="2:15" ht="26.25" customHeight="1" x14ac:dyDescent="0.25">
      <c r="B1495" s="130"/>
      <c r="C1495" s="135"/>
      <c r="D1495" s="177"/>
      <c r="E1495" s="178"/>
      <c r="F1495" s="178"/>
      <c r="G1495" s="340"/>
      <c r="H1495" s="340"/>
      <c r="I1495" s="179"/>
      <c r="J1495" s="344"/>
      <c r="K1495" s="345"/>
      <c r="L1495" s="346"/>
      <c r="M1495" s="347"/>
      <c r="N1495" s="347"/>
      <c r="O1495" s="132"/>
    </row>
    <row r="1496" spans="2:15" ht="26.25" customHeight="1" x14ac:dyDescent="0.25">
      <c r="B1496" s="130"/>
      <c r="C1496" s="135"/>
      <c r="D1496" s="177"/>
      <c r="E1496" s="178"/>
      <c r="F1496" s="178"/>
      <c r="G1496" s="340"/>
      <c r="H1496" s="340"/>
      <c r="I1496" s="179"/>
      <c r="J1496" s="344"/>
      <c r="K1496" s="345"/>
      <c r="L1496" s="346"/>
      <c r="M1496" s="347"/>
      <c r="N1496" s="347"/>
      <c r="O1496" s="132"/>
    </row>
    <row r="1497" spans="2:15" ht="26.25" customHeight="1" x14ac:dyDescent="0.25">
      <c r="B1497" s="130"/>
      <c r="C1497" s="135"/>
      <c r="D1497" s="177"/>
      <c r="E1497" s="178"/>
      <c r="F1497" s="178"/>
      <c r="G1497" s="340"/>
      <c r="H1497" s="340"/>
      <c r="I1497" s="179"/>
      <c r="J1497" s="344"/>
      <c r="K1497" s="345"/>
      <c r="L1497" s="346"/>
      <c r="M1497" s="347"/>
      <c r="N1497" s="347"/>
      <c r="O1497" s="132"/>
    </row>
    <row r="1498" spans="2:15" ht="26.25" customHeight="1" x14ac:dyDescent="0.25">
      <c r="B1498" s="130"/>
      <c r="C1498" s="135"/>
      <c r="D1498" s="177"/>
      <c r="E1498" s="178"/>
      <c r="F1498" s="178"/>
      <c r="G1498" s="340"/>
      <c r="H1498" s="340"/>
      <c r="I1498" s="179"/>
      <c r="J1498" s="344"/>
      <c r="K1498" s="345"/>
      <c r="L1498" s="346"/>
      <c r="M1498" s="347"/>
      <c r="N1498" s="347"/>
      <c r="O1498" s="132"/>
    </row>
    <row r="1499" spans="2:15" ht="26.25" customHeight="1" x14ac:dyDescent="0.25">
      <c r="B1499" s="130"/>
      <c r="C1499" s="135"/>
      <c r="D1499" s="177"/>
      <c r="E1499" s="178"/>
      <c r="F1499" s="178"/>
      <c r="G1499" s="340"/>
      <c r="H1499" s="340"/>
      <c r="I1499" s="179"/>
      <c r="J1499" s="344"/>
      <c r="K1499" s="345"/>
      <c r="L1499" s="346"/>
      <c r="M1499" s="347"/>
      <c r="N1499" s="347"/>
      <c r="O1499" s="132"/>
    </row>
    <row r="1500" spans="2:15" ht="26.25" customHeight="1" x14ac:dyDescent="0.25">
      <c r="B1500" s="130"/>
      <c r="C1500" s="135"/>
      <c r="D1500" s="177"/>
      <c r="E1500" s="178"/>
      <c r="F1500" s="178"/>
      <c r="G1500" s="340"/>
      <c r="H1500" s="340"/>
      <c r="I1500" s="179"/>
      <c r="J1500" s="344"/>
      <c r="K1500" s="345"/>
      <c r="L1500" s="346"/>
      <c r="M1500" s="347"/>
      <c r="N1500" s="347"/>
      <c r="O1500" s="132"/>
    </row>
    <row r="1501" spans="2:15" ht="26.25" customHeight="1" x14ac:dyDescent="0.25">
      <c r="B1501" s="130"/>
      <c r="C1501" s="135"/>
      <c r="D1501" s="177"/>
      <c r="E1501" s="178"/>
      <c r="F1501" s="178"/>
      <c r="G1501" s="340"/>
      <c r="H1501" s="340"/>
      <c r="I1501" s="179"/>
      <c r="J1501" s="344"/>
      <c r="K1501" s="345"/>
      <c r="L1501" s="346"/>
      <c r="M1501" s="347"/>
      <c r="N1501" s="347"/>
      <c r="O1501" s="132"/>
    </row>
    <row r="1502" spans="2:15" ht="26.25" customHeight="1" x14ac:dyDescent="0.25">
      <c r="B1502" s="130"/>
      <c r="C1502" s="135"/>
      <c r="D1502" s="177"/>
      <c r="E1502" s="178"/>
      <c r="F1502" s="178"/>
      <c r="G1502" s="340"/>
      <c r="H1502" s="340"/>
      <c r="I1502" s="179"/>
      <c r="J1502" s="344"/>
      <c r="K1502" s="345"/>
      <c r="L1502" s="346"/>
      <c r="M1502" s="347"/>
      <c r="N1502" s="347"/>
      <c r="O1502" s="132"/>
    </row>
    <row r="1503" spans="2:15" ht="26.25" customHeight="1" x14ac:dyDescent="0.25">
      <c r="B1503" s="130"/>
      <c r="C1503" s="135"/>
      <c r="D1503" s="177"/>
      <c r="E1503" s="178"/>
      <c r="F1503" s="178"/>
      <c r="G1503" s="340"/>
      <c r="H1503" s="340"/>
      <c r="I1503" s="179"/>
      <c r="J1503" s="344"/>
      <c r="K1503" s="345"/>
      <c r="L1503" s="346"/>
      <c r="M1503" s="347"/>
      <c r="N1503" s="347"/>
      <c r="O1503" s="132"/>
    </row>
    <row r="1504" spans="2:15" ht="26.25" customHeight="1" x14ac:dyDescent="0.25">
      <c r="B1504" s="130"/>
      <c r="C1504" s="135"/>
      <c r="D1504" s="177"/>
      <c r="E1504" s="178"/>
      <c r="F1504" s="178"/>
      <c r="G1504" s="340"/>
      <c r="H1504" s="340"/>
      <c r="I1504" s="179"/>
      <c r="J1504" s="344"/>
      <c r="K1504" s="345"/>
      <c r="L1504" s="346"/>
      <c r="M1504" s="347"/>
      <c r="N1504" s="347"/>
      <c r="O1504" s="132"/>
    </row>
    <row r="1505" spans="2:15" ht="26.25" customHeight="1" x14ac:dyDescent="0.25">
      <c r="B1505" s="130"/>
      <c r="C1505" s="135"/>
      <c r="D1505" s="177"/>
      <c r="E1505" s="178"/>
      <c r="F1505" s="178"/>
      <c r="G1505" s="340"/>
      <c r="H1505" s="340"/>
      <c r="I1505" s="179"/>
      <c r="J1505" s="344"/>
      <c r="K1505" s="345"/>
      <c r="L1505" s="346"/>
      <c r="M1505" s="347"/>
      <c r="N1505" s="347"/>
      <c r="O1505" s="132"/>
    </row>
    <row r="1506" spans="2:15" ht="26.25" customHeight="1" x14ac:dyDescent="0.25">
      <c r="B1506" s="130"/>
      <c r="C1506" s="135"/>
      <c r="D1506" s="177"/>
      <c r="E1506" s="178"/>
      <c r="F1506" s="178"/>
      <c r="G1506" s="340"/>
      <c r="H1506" s="340"/>
      <c r="I1506" s="179"/>
      <c r="J1506" s="344"/>
      <c r="K1506" s="345"/>
      <c r="L1506" s="346"/>
      <c r="M1506" s="347"/>
      <c r="N1506" s="347"/>
      <c r="O1506" s="132"/>
    </row>
    <row r="1507" spans="2:15" ht="26.25" customHeight="1" x14ac:dyDescent="0.25">
      <c r="B1507" s="130"/>
      <c r="C1507" s="135"/>
      <c r="D1507" s="177"/>
      <c r="E1507" s="178"/>
      <c r="F1507" s="178"/>
      <c r="G1507" s="340"/>
      <c r="H1507" s="340"/>
      <c r="I1507" s="179"/>
      <c r="J1507" s="344"/>
      <c r="K1507" s="345"/>
      <c r="L1507" s="346"/>
      <c r="M1507" s="347"/>
      <c r="N1507" s="347"/>
      <c r="O1507" s="132"/>
    </row>
    <row r="1508" spans="2:15" ht="26.25" customHeight="1" x14ac:dyDescent="0.25">
      <c r="B1508" s="130"/>
      <c r="C1508" s="135"/>
      <c r="D1508" s="177"/>
      <c r="E1508" s="178"/>
      <c r="F1508" s="178"/>
      <c r="G1508" s="340"/>
      <c r="H1508" s="340"/>
      <c r="I1508" s="179"/>
      <c r="J1508" s="344"/>
      <c r="K1508" s="345"/>
      <c r="L1508" s="346"/>
      <c r="M1508" s="347"/>
      <c r="N1508" s="347"/>
      <c r="O1508" s="132"/>
    </row>
    <row r="1509" spans="2:15" ht="26.25" customHeight="1" x14ac:dyDescent="0.25">
      <c r="B1509" s="130"/>
      <c r="C1509" s="135"/>
      <c r="D1509" s="177"/>
      <c r="E1509" s="178"/>
      <c r="F1509" s="178"/>
      <c r="G1509" s="340"/>
      <c r="H1509" s="340"/>
      <c r="I1509" s="179"/>
      <c r="J1509" s="344"/>
      <c r="K1509" s="345"/>
      <c r="L1509" s="346"/>
      <c r="M1509" s="347"/>
      <c r="N1509" s="347"/>
      <c r="O1509" s="132"/>
    </row>
    <row r="1510" spans="2:15" ht="26.25" customHeight="1" x14ac:dyDescent="0.25">
      <c r="B1510" s="130"/>
      <c r="C1510" s="135"/>
      <c r="D1510" s="177"/>
      <c r="E1510" s="178"/>
      <c r="F1510" s="178"/>
      <c r="G1510" s="340"/>
      <c r="H1510" s="340"/>
      <c r="I1510" s="179"/>
      <c r="J1510" s="344"/>
      <c r="K1510" s="345"/>
      <c r="L1510" s="346"/>
      <c r="M1510" s="347"/>
      <c r="N1510" s="347"/>
      <c r="O1510" s="132"/>
    </row>
    <row r="1511" spans="2:15" ht="26.25" customHeight="1" x14ac:dyDescent="0.25">
      <c r="B1511" s="130"/>
      <c r="C1511" s="135"/>
      <c r="D1511" s="177"/>
      <c r="E1511" s="178"/>
      <c r="F1511" s="178"/>
      <c r="G1511" s="340"/>
      <c r="H1511" s="340"/>
      <c r="I1511" s="179"/>
      <c r="J1511" s="344"/>
      <c r="K1511" s="345"/>
      <c r="L1511" s="346"/>
      <c r="M1511" s="347"/>
      <c r="N1511" s="347"/>
      <c r="O1511" s="132"/>
    </row>
    <row r="1512" spans="2:15" ht="26.25" customHeight="1" x14ac:dyDescent="0.25">
      <c r="B1512" s="130"/>
      <c r="C1512" s="135"/>
      <c r="D1512" s="177"/>
      <c r="E1512" s="178"/>
      <c r="F1512" s="178"/>
      <c r="G1512" s="340"/>
      <c r="H1512" s="340"/>
      <c r="I1512" s="179"/>
      <c r="J1512" s="344"/>
      <c r="K1512" s="345"/>
      <c r="L1512" s="346"/>
      <c r="M1512" s="347"/>
      <c r="N1512" s="347"/>
      <c r="O1512" s="132"/>
    </row>
    <row r="1513" spans="2:15" ht="26.25" customHeight="1" x14ac:dyDescent="0.25">
      <c r="B1513" s="130"/>
      <c r="C1513" s="135"/>
      <c r="D1513" s="177"/>
      <c r="E1513" s="178"/>
      <c r="F1513" s="178"/>
      <c r="G1513" s="340"/>
      <c r="H1513" s="340"/>
      <c r="I1513" s="179"/>
      <c r="J1513" s="344"/>
      <c r="K1513" s="345"/>
      <c r="L1513" s="346"/>
      <c r="M1513" s="347"/>
      <c r="N1513" s="347"/>
      <c r="O1513" s="132"/>
    </row>
    <row r="1514" spans="2:15" ht="26.25" customHeight="1" x14ac:dyDescent="0.25">
      <c r="B1514" s="130"/>
      <c r="C1514" s="135"/>
      <c r="D1514" s="177"/>
      <c r="E1514" s="178"/>
      <c r="F1514" s="178"/>
      <c r="G1514" s="340"/>
      <c r="H1514" s="340"/>
      <c r="I1514" s="179"/>
      <c r="J1514" s="344"/>
      <c r="K1514" s="345"/>
      <c r="L1514" s="346"/>
      <c r="M1514" s="347"/>
      <c r="N1514" s="347"/>
      <c r="O1514" s="132"/>
    </row>
    <row r="1515" spans="2:15" ht="26.25" customHeight="1" x14ac:dyDescent="0.25">
      <c r="B1515" s="130"/>
      <c r="C1515" s="135"/>
      <c r="D1515" s="177"/>
      <c r="E1515" s="178"/>
      <c r="F1515" s="178"/>
      <c r="G1515" s="340"/>
      <c r="H1515" s="340"/>
      <c r="I1515" s="179"/>
      <c r="J1515" s="344"/>
      <c r="K1515" s="345"/>
      <c r="L1515" s="346"/>
      <c r="M1515" s="347"/>
      <c r="N1515" s="347"/>
      <c r="O1515" s="132"/>
    </row>
    <row r="1516" spans="2:15" ht="26.25" customHeight="1" x14ac:dyDescent="0.25">
      <c r="B1516" s="130"/>
      <c r="C1516" s="135"/>
      <c r="D1516" s="177"/>
      <c r="E1516" s="178"/>
      <c r="F1516" s="178"/>
      <c r="G1516" s="340"/>
      <c r="H1516" s="340"/>
      <c r="I1516" s="179"/>
      <c r="J1516" s="344"/>
      <c r="K1516" s="345"/>
      <c r="L1516" s="346"/>
      <c r="M1516" s="347"/>
      <c r="N1516" s="347"/>
      <c r="O1516" s="132"/>
    </row>
    <row r="1517" spans="2:15" ht="26.25" customHeight="1" x14ac:dyDescent="0.25">
      <c r="B1517" s="130"/>
      <c r="C1517" s="135"/>
      <c r="D1517" s="177"/>
      <c r="E1517" s="178"/>
      <c r="F1517" s="178"/>
      <c r="G1517" s="340"/>
      <c r="H1517" s="340"/>
      <c r="I1517" s="179"/>
      <c r="J1517" s="344"/>
      <c r="K1517" s="345"/>
      <c r="L1517" s="346"/>
      <c r="M1517" s="347"/>
      <c r="N1517" s="347"/>
      <c r="O1517" s="132"/>
    </row>
    <row r="1518" spans="2:15" ht="26.25" customHeight="1" x14ac:dyDescent="0.25">
      <c r="B1518" s="130"/>
      <c r="C1518" s="135"/>
      <c r="D1518" s="177"/>
      <c r="E1518" s="178"/>
      <c r="F1518" s="178"/>
      <c r="G1518" s="340"/>
      <c r="H1518" s="340"/>
      <c r="I1518" s="179"/>
      <c r="J1518" s="344"/>
      <c r="K1518" s="345"/>
      <c r="L1518" s="346"/>
      <c r="M1518" s="347"/>
      <c r="N1518" s="347"/>
      <c r="O1518" s="132"/>
    </row>
    <row r="1519" spans="2:15" ht="26.25" customHeight="1" x14ac:dyDescent="0.25">
      <c r="B1519" s="130"/>
      <c r="C1519" s="135"/>
      <c r="D1519" s="177"/>
      <c r="E1519" s="178"/>
      <c r="F1519" s="178"/>
      <c r="G1519" s="340"/>
      <c r="H1519" s="340"/>
      <c r="I1519" s="179"/>
      <c r="J1519" s="344"/>
      <c r="K1519" s="345"/>
      <c r="L1519" s="346"/>
      <c r="M1519" s="347"/>
      <c r="N1519" s="347"/>
      <c r="O1519" s="132"/>
    </row>
    <row r="1520" spans="2:15" ht="26.25" customHeight="1" x14ac:dyDescent="0.25">
      <c r="B1520" s="130"/>
      <c r="C1520" s="135"/>
      <c r="D1520" s="177"/>
      <c r="E1520" s="178"/>
      <c r="F1520" s="178"/>
      <c r="G1520" s="340"/>
      <c r="H1520" s="340"/>
      <c r="I1520" s="179"/>
      <c r="J1520" s="344"/>
      <c r="K1520" s="345"/>
      <c r="L1520" s="346"/>
      <c r="M1520" s="347"/>
      <c r="N1520" s="347"/>
      <c r="O1520" s="132"/>
    </row>
    <row r="1521" spans="2:15" ht="26.25" customHeight="1" x14ac:dyDescent="0.25">
      <c r="B1521" s="130"/>
      <c r="C1521" s="135"/>
      <c r="D1521" s="177"/>
      <c r="E1521" s="178"/>
      <c r="F1521" s="178"/>
      <c r="G1521" s="340"/>
      <c r="H1521" s="340"/>
      <c r="I1521" s="179"/>
      <c r="J1521" s="344"/>
      <c r="K1521" s="345"/>
      <c r="L1521" s="346"/>
      <c r="M1521" s="347"/>
      <c r="N1521" s="347"/>
      <c r="O1521" s="132"/>
    </row>
    <row r="1522" spans="2:15" ht="26.25" customHeight="1" x14ac:dyDescent="0.25">
      <c r="B1522" s="130"/>
      <c r="C1522" s="135"/>
      <c r="D1522" s="177"/>
      <c r="E1522" s="178"/>
      <c r="F1522" s="178"/>
      <c r="G1522" s="340"/>
      <c r="H1522" s="340"/>
      <c r="I1522" s="179"/>
      <c r="J1522" s="344"/>
      <c r="K1522" s="345"/>
      <c r="L1522" s="346"/>
      <c r="M1522" s="347"/>
      <c r="N1522" s="347"/>
      <c r="O1522" s="132"/>
    </row>
    <row r="1523" spans="2:15" ht="26.25" customHeight="1" x14ac:dyDescent="0.25">
      <c r="B1523" s="130"/>
      <c r="C1523" s="135"/>
      <c r="D1523" s="177"/>
      <c r="E1523" s="178"/>
      <c r="F1523" s="178"/>
      <c r="G1523" s="340"/>
      <c r="H1523" s="340"/>
      <c r="I1523" s="179"/>
      <c r="J1523" s="344"/>
      <c r="K1523" s="345"/>
      <c r="L1523" s="346"/>
      <c r="M1523" s="347"/>
      <c r="N1523" s="347"/>
      <c r="O1523" s="132"/>
    </row>
    <row r="1524" spans="2:15" ht="26.25" customHeight="1" x14ac:dyDescent="0.25">
      <c r="B1524" s="130"/>
      <c r="C1524" s="135"/>
      <c r="D1524" s="177"/>
      <c r="E1524" s="178"/>
      <c r="F1524" s="178"/>
      <c r="G1524" s="340"/>
      <c r="H1524" s="340"/>
      <c r="I1524" s="179"/>
      <c r="J1524" s="344"/>
      <c r="K1524" s="345"/>
      <c r="L1524" s="346"/>
      <c r="M1524" s="347"/>
      <c r="N1524" s="347"/>
      <c r="O1524" s="132"/>
    </row>
    <row r="1525" spans="2:15" ht="26.25" customHeight="1" x14ac:dyDescent="0.25">
      <c r="B1525" s="130"/>
      <c r="C1525" s="135"/>
      <c r="D1525" s="177"/>
      <c r="E1525" s="178"/>
      <c r="F1525" s="178"/>
      <c r="G1525" s="340"/>
      <c r="H1525" s="340"/>
      <c r="I1525" s="179"/>
      <c r="J1525" s="344"/>
      <c r="K1525" s="345"/>
      <c r="L1525" s="346"/>
      <c r="M1525" s="347"/>
      <c r="N1525" s="347"/>
      <c r="O1525" s="132"/>
    </row>
    <row r="1526" spans="2:15" ht="26.25" customHeight="1" x14ac:dyDescent="0.25">
      <c r="B1526" s="130"/>
      <c r="C1526" s="135"/>
      <c r="D1526" s="177"/>
      <c r="E1526" s="178"/>
      <c r="F1526" s="178"/>
      <c r="G1526" s="340"/>
      <c r="H1526" s="340"/>
      <c r="I1526" s="179"/>
      <c r="J1526" s="344"/>
      <c r="K1526" s="345"/>
      <c r="L1526" s="346"/>
      <c r="M1526" s="347"/>
      <c r="N1526" s="347"/>
      <c r="O1526" s="132"/>
    </row>
    <row r="1527" spans="2:15" ht="26.25" customHeight="1" x14ac:dyDescent="0.25">
      <c r="B1527" s="130"/>
      <c r="C1527" s="135"/>
      <c r="D1527" s="177"/>
      <c r="E1527" s="178"/>
      <c r="F1527" s="178"/>
      <c r="G1527" s="340"/>
      <c r="H1527" s="340"/>
      <c r="I1527" s="179"/>
      <c r="J1527" s="344"/>
      <c r="K1527" s="345"/>
      <c r="L1527" s="346"/>
      <c r="M1527" s="347"/>
      <c r="N1527" s="347"/>
      <c r="O1527" s="132"/>
    </row>
    <row r="1528" spans="2:15" ht="26.25" customHeight="1" x14ac:dyDescent="0.25">
      <c r="B1528" s="130"/>
      <c r="C1528" s="135"/>
      <c r="D1528" s="177"/>
      <c r="E1528" s="178"/>
      <c r="F1528" s="178"/>
      <c r="G1528" s="340"/>
      <c r="H1528" s="340"/>
      <c r="I1528" s="179"/>
      <c r="J1528" s="344"/>
      <c r="K1528" s="345"/>
      <c r="L1528" s="346"/>
      <c r="M1528" s="347"/>
      <c r="N1528" s="347"/>
      <c r="O1528" s="132"/>
    </row>
    <row r="1529" spans="2:15" ht="26.25" customHeight="1" x14ac:dyDescent="0.25">
      <c r="B1529" s="130"/>
      <c r="C1529" s="135"/>
      <c r="D1529" s="177"/>
      <c r="E1529" s="178"/>
      <c r="F1529" s="178"/>
      <c r="G1529" s="340"/>
      <c r="H1529" s="340"/>
      <c r="I1529" s="179"/>
      <c r="J1529" s="344"/>
      <c r="K1529" s="345"/>
      <c r="L1529" s="346"/>
      <c r="M1529" s="347"/>
      <c r="N1529" s="347"/>
      <c r="O1529" s="132"/>
    </row>
    <row r="1530" spans="2:15" ht="26.25" customHeight="1" x14ac:dyDescent="0.25">
      <c r="B1530" s="130"/>
      <c r="C1530" s="135"/>
      <c r="D1530" s="177"/>
      <c r="E1530" s="178"/>
      <c r="F1530" s="178"/>
      <c r="G1530" s="340"/>
      <c r="H1530" s="340"/>
      <c r="I1530" s="179"/>
      <c r="J1530" s="344"/>
      <c r="K1530" s="345"/>
      <c r="L1530" s="346"/>
      <c r="M1530" s="347"/>
      <c r="N1530" s="347"/>
      <c r="O1530" s="132"/>
    </row>
    <row r="1531" spans="2:15" ht="26.25" customHeight="1" x14ac:dyDescent="0.25">
      <c r="B1531" s="130"/>
      <c r="C1531" s="135"/>
      <c r="D1531" s="177"/>
      <c r="E1531" s="178"/>
      <c r="F1531" s="178"/>
      <c r="G1531" s="340"/>
      <c r="H1531" s="340"/>
      <c r="I1531" s="179"/>
      <c r="J1531" s="344"/>
      <c r="K1531" s="345"/>
      <c r="L1531" s="346"/>
      <c r="M1531" s="347"/>
      <c r="N1531" s="347"/>
      <c r="O1531" s="132"/>
    </row>
    <row r="1532" spans="2:15" ht="26.25" customHeight="1" x14ac:dyDescent="0.25">
      <c r="B1532" s="130"/>
      <c r="C1532" s="135"/>
      <c r="D1532" s="177"/>
      <c r="E1532" s="178"/>
      <c r="F1532" s="178"/>
      <c r="G1532" s="340"/>
      <c r="H1532" s="340"/>
      <c r="I1532" s="179"/>
      <c r="J1532" s="344"/>
      <c r="K1532" s="345"/>
      <c r="L1532" s="346"/>
      <c r="M1532" s="347"/>
      <c r="N1532" s="347"/>
      <c r="O1532" s="132"/>
    </row>
    <row r="1533" spans="2:15" ht="26.25" customHeight="1" x14ac:dyDescent="0.25">
      <c r="B1533" s="130"/>
      <c r="C1533" s="135"/>
      <c r="D1533" s="177"/>
      <c r="E1533" s="178"/>
      <c r="F1533" s="178"/>
      <c r="G1533" s="340"/>
      <c r="H1533" s="340"/>
      <c r="I1533" s="179"/>
      <c r="J1533" s="344"/>
      <c r="K1533" s="345"/>
      <c r="L1533" s="346"/>
      <c r="M1533" s="347"/>
      <c r="N1533" s="347"/>
      <c r="O1533" s="132"/>
    </row>
    <row r="1534" spans="2:15" ht="26.25" customHeight="1" x14ac:dyDescent="0.25">
      <c r="B1534" s="130"/>
      <c r="C1534" s="135"/>
      <c r="D1534" s="177"/>
      <c r="E1534" s="178"/>
      <c r="F1534" s="178"/>
      <c r="G1534" s="340"/>
      <c r="H1534" s="340"/>
      <c r="I1534" s="179"/>
      <c r="J1534" s="344"/>
      <c r="K1534" s="345"/>
      <c r="L1534" s="346"/>
      <c r="M1534" s="347"/>
      <c r="N1534" s="347"/>
      <c r="O1534" s="132"/>
    </row>
    <row r="1535" spans="2:15" ht="26.25" customHeight="1" x14ac:dyDescent="0.25">
      <c r="B1535" s="130"/>
      <c r="C1535" s="135"/>
      <c r="D1535" s="177"/>
      <c r="E1535" s="178"/>
      <c r="F1535" s="178"/>
      <c r="G1535" s="340"/>
      <c r="H1535" s="340"/>
      <c r="I1535" s="179"/>
      <c r="J1535" s="344"/>
      <c r="K1535" s="345"/>
      <c r="L1535" s="346"/>
      <c r="M1535" s="347"/>
      <c r="N1535" s="347"/>
      <c r="O1535" s="132"/>
    </row>
    <row r="1536" spans="2:15" ht="26.25" customHeight="1" x14ac:dyDescent="0.25">
      <c r="B1536" s="130"/>
      <c r="C1536" s="135"/>
      <c r="D1536" s="177"/>
      <c r="E1536" s="178"/>
      <c r="F1536" s="178"/>
      <c r="G1536" s="340"/>
      <c r="H1536" s="340"/>
      <c r="I1536" s="179"/>
      <c r="J1536" s="344"/>
      <c r="K1536" s="345"/>
      <c r="L1536" s="346"/>
      <c r="M1536" s="347"/>
      <c r="N1536" s="347"/>
      <c r="O1536" s="132"/>
    </row>
    <row r="1537" spans="2:15" ht="26.25" customHeight="1" x14ac:dyDescent="0.25">
      <c r="B1537" s="130"/>
      <c r="C1537" s="135"/>
      <c r="D1537" s="177"/>
      <c r="E1537" s="178"/>
      <c r="F1537" s="178"/>
      <c r="G1537" s="340"/>
      <c r="H1537" s="340"/>
      <c r="I1537" s="179"/>
      <c r="J1537" s="344"/>
      <c r="K1537" s="345"/>
      <c r="L1537" s="346"/>
      <c r="M1537" s="347"/>
      <c r="N1537" s="347"/>
      <c r="O1537" s="132"/>
    </row>
    <row r="1538" spans="2:15" ht="26.25" customHeight="1" x14ac:dyDescent="0.25">
      <c r="B1538" s="130"/>
      <c r="C1538" s="135"/>
      <c r="D1538" s="177"/>
      <c r="E1538" s="178"/>
      <c r="F1538" s="178"/>
      <c r="G1538" s="340"/>
      <c r="H1538" s="340"/>
      <c r="I1538" s="179"/>
      <c r="J1538" s="344"/>
      <c r="K1538" s="345"/>
      <c r="L1538" s="346"/>
      <c r="M1538" s="347"/>
      <c r="N1538" s="347"/>
      <c r="O1538" s="132"/>
    </row>
    <row r="1539" spans="2:15" ht="26.25" customHeight="1" x14ac:dyDescent="0.25">
      <c r="B1539" s="130"/>
      <c r="C1539" s="135"/>
      <c r="D1539" s="177"/>
      <c r="E1539" s="178"/>
      <c r="F1539" s="178"/>
      <c r="G1539" s="340"/>
      <c r="H1539" s="340"/>
      <c r="I1539" s="179"/>
      <c r="J1539" s="344"/>
      <c r="K1539" s="345"/>
      <c r="L1539" s="346"/>
      <c r="M1539" s="347"/>
      <c r="N1539" s="347"/>
      <c r="O1539" s="132"/>
    </row>
    <row r="1540" spans="2:15" ht="26.25" customHeight="1" x14ac:dyDescent="0.25">
      <c r="B1540" s="130"/>
      <c r="C1540" s="135"/>
      <c r="D1540" s="177"/>
      <c r="E1540" s="178"/>
      <c r="F1540" s="178"/>
      <c r="G1540" s="340"/>
      <c r="H1540" s="340"/>
      <c r="I1540" s="179"/>
      <c r="J1540" s="344"/>
      <c r="K1540" s="345"/>
      <c r="L1540" s="346"/>
      <c r="M1540" s="347"/>
      <c r="N1540" s="347"/>
      <c r="O1540" s="132"/>
    </row>
    <row r="1541" spans="2:15" ht="26.25" customHeight="1" x14ac:dyDescent="0.25">
      <c r="B1541" s="130"/>
      <c r="C1541" s="135"/>
      <c r="D1541" s="177"/>
      <c r="E1541" s="178"/>
      <c r="F1541" s="178"/>
      <c r="G1541" s="340"/>
      <c r="H1541" s="340"/>
      <c r="I1541" s="179"/>
      <c r="J1541" s="344"/>
      <c r="K1541" s="345"/>
      <c r="L1541" s="346"/>
      <c r="M1541" s="347"/>
      <c r="N1541" s="347"/>
      <c r="O1541" s="132"/>
    </row>
    <row r="1542" spans="2:15" ht="26.25" customHeight="1" x14ac:dyDescent="0.25">
      <c r="B1542" s="130"/>
      <c r="C1542" s="135"/>
      <c r="D1542" s="177"/>
      <c r="E1542" s="178"/>
      <c r="F1542" s="178"/>
      <c r="G1542" s="340"/>
      <c r="H1542" s="340"/>
      <c r="I1542" s="179"/>
      <c r="J1542" s="344"/>
      <c r="K1542" s="345"/>
      <c r="L1542" s="346"/>
      <c r="M1542" s="347"/>
      <c r="N1542" s="347"/>
      <c r="O1542" s="132"/>
    </row>
    <row r="1543" spans="2:15" ht="26.25" customHeight="1" x14ac:dyDescent="0.25">
      <c r="B1543" s="130"/>
      <c r="C1543" s="135"/>
      <c r="D1543" s="177"/>
      <c r="E1543" s="178"/>
      <c r="F1543" s="178"/>
      <c r="G1543" s="340"/>
      <c r="H1543" s="340"/>
      <c r="I1543" s="179"/>
      <c r="J1543" s="344"/>
      <c r="K1543" s="345"/>
      <c r="L1543" s="346"/>
      <c r="M1543" s="347"/>
      <c r="N1543" s="347"/>
      <c r="O1543" s="132"/>
    </row>
    <row r="1544" spans="2:15" ht="26.25" customHeight="1" x14ac:dyDescent="0.25">
      <c r="B1544" s="130"/>
      <c r="C1544" s="135"/>
      <c r="D1544" s="177"/>
      <c r="E1544" s="178"/>
      <c r="F1544" s="178"/>
      <c r="G1544" s="340"/>
      <c r="H1544" s="340"/>
      <c r="I1544" s="179"/>
      <c r="J1544" s="344"/>
      <c r="K1544" s="345"/>
      <c r="L1544" s="346"/>
      <c r="M1544" s="347"/>
      <c r="N1544" s="347"/>
      <c r="O1544" s="132"/>
    </row>
    <row r="1545" spans="2:15" ht="26.25" customHeight="1" x14ac:dyDescent="0.25">
      <c r="B1545" s="130"/>
      <c r="C1545" s="135"/>
      <c r="D1545" s="177"/>
      <c r="E1545" s="178"/>
      <c r="F1545" s="178"/>
      <c r="G1545" s="340"/>
      <c r="H1545" s="340"/>
      <c r="I1545" s="179"/>
      <c r="J1545" s="344"/>
      <c r="K1545" s="345"/>
      <c r="L1545" s="346"/>
      <c r="M1545" s="347"/>
      <c r="N1545" s="347"/>
      <c r="O1545" s="132"/>
    </row>
    <row r="1546" spans="2:15" ht="26.25" customHeight="1" x14ac:dyDescent="0.25">
      <c r="B1546" s="130"/>
      <c r="C1546" s="135"/>
      <c r="D1546" s="177"/>
      <c r="E1546" s="178"/>
      <c r="F1546" s="178"/>
      <c r="G1546" s="340"/>
      <c r="H1546" s="340"/>
      <c r="I1546" s="179"/>
      <c r="J1546" s="344"/>
      <c r="K1546" s="345"/>
      <c r="L1546" s="346"/>
      <c r="M1546" s="347"/>
      <c r="N1546" s="347"/>
      <c r="O1546" s="132"/>
    </row>
    <row r="1547" spans="2:15" ht="26.25" customHeight="1" x14ac:dyDescent="0.25">
      <c r="B1547" s="130"/>
      <c r="C1547" s="135"/>
      <c r="D1547" s="177"/>
      <c r="E1547" s="178"/>
      <c r="F1547" s="178"/>
      <c r="G1547" s="340"/>
      <c r="H1547" s="340"/>
      <c r="I1547" s="179"/>
      <c r="J1547" s="344"/>
      <c r="K1547" s="345"/>
      <c r="L1547" s="346"/>
      <c r="M1547" s="347"/>
      <c r="N1547" s="347"/>
      <c r="O1547" s="132"/>
    </row>
    <row r="1548" spans="2:15" ht="26.25" customHeight="1" x14ac:dyDescent="0.25">
      <c r="B1548" s="130"/>
      <c r="C1548" s="135"/>
      <c r="D1548" s="177"/>
      <c r="E1548" s="178"/>
      <c r="F1548" s="178"/>
      <c r="G1548" s="340"/>
      <c r="H1548" s="340"/>
      <c r="I1548" s="179"/>
      <c r="J1548" s="344"/>
      <c r="K1548" s="345"/>
      <c r="L1548" s="346"/>
      <c r="M1548" s="347"/>
      <c r="N1548" s="347"/>
      <c r="O1548" s="132"/>
    </row>
    <row r="1549" spans="2:15" ht="26.25" customHeight="1" x14ac:dyDescent="0.25">
      <c r="B1549" s="130"/>
      <c r="C1549" s="135"/>
      <c r="D1549" s="177"/>
      <c r="E1549" s="178"/>
      <c r="F1549" s="178"/>
      <c r="G1549" s="340"/>
      <c r="H1549" s="340"/>
      <c r="I1549" s="179"/>
      <c r="J1549" s="344"/>
      <c r="K1549" s="345"/>
      <c r="L1549" s="346"/>
      <c r="M1549" s="347"/>
      <c r="N1549" s="347"/>
      <c r="O1549" s="132"/>
    </row>
    <row r="1550" spans="2:15" ht="26.25" customHeight="1" x14ac:dyDescent="0.25">
      <c r="B1550" s="130"/>
      <c r="C1550" s="135"/>
      <c r="D1550" s="177"/>
      <c r="E1550" s="178"/>
      <c r="F1550" s="178"/>
      <c r="G1550" s="340"/>
      <c r="H1550" s="340"/>
      <c r="I1550" s="179"/>
      <c r="J1550" s="344"/>
      <c r="K1550" s="345"/>
      <c r="L1550" s="346"/>
      <c r="M1550" s="347"/>
      <c r="N1550" s="347"/>
      <c r="O1550" s="132"/>
    </row>
    <row r="1551" spans="2:15" ht="26.25" customHeight="1" x14ac:dyDescent="0.25">
      <c r="B1551" s="130"/>
      <c r="C1551" s="135"/>
      <c r="D1551" s="177"/>
      <c r="E1551" s="178"/>
      <c r="F1551" s="178"/>
      <c r="G1551" s="340"/>
      <c r="H1551" s="340"/>
      <c r="I1551" s="179"/>
      <c r="J1551" s="344"/>
      <c r="K1551" s="345"/>
      <c r="L1551" s="346"/>
      <c r="M1551" s="347"/>
      <c r="N1551" s="347"/>
      <c r="O1551" s="132"/>
    </row>
    <row r="1552" spans="2:15" ht="26.25" customHeight="1" x14ac:dyDescent="0.25">
      <c r="B1552" s="130"/>
      <c r="C1552" s="135"/>
      <c r="D1552" s="177"/>
      <c r="E1552" s="178"/>
      <c r="F1552" s="178"/>
      <c r="G1552" s="340"/>
      <c r="H1552" s="340"/>
      <c r="I1552" s="179"/>
      <c r="J1552" s="344"/>
      <c r="K1552" s="345"/>
      <c r="L1552" s="346"/>
      <c r="M1552" s="347"/>
      <c r="N1552" s="347"/>
      <c r="O1552" s="132"/>
    </row>
    <row r="1553" spans="2:15" ht="26.25" customHeight="1" x14ac:dyDescent="0.25">
      <c r="B1553" s="130"/>
      <c r="C1553" s="135"/>
      <c r="D1553" s="177"/>
      <c r="E1553" s="178"/>
      <c r="F1553" s="178"/>
      <c r="G1553" s="340"/>
      <c r="H1553" s="340"/>
      <c r="I1553" s="179"/>
      <c r="J1553" s="344"/>
      <c r="K1553" s="345"/>
      <c r="L1553" s="346"/>
      <c r="M1553" s="347"/>
      <c r="N1553" s="347"/>
      <c r="O1553" s="132"/>
    </row>
    <row r="1554" spans="2:15" ht="26.25" customHeight="1" x14ac:dyDescent="0.25">
      <c r="B1554" s="130"/>
      <c r="C1554" s="135"/>
      <c r="D1554" s="177"/>
      <c r="E1554" s="178"/>
      <c r="F1554" s="178"/>
      <c r="G1554" s="340"/>
      <c r="H1554" s="340"/>
      <c r="I1554" s="179"/>
      <c r="J1554" s="344"/>
      <c r="K1554" s="345"/>
      <c r="L1554" s="346"/>
      <c r="M1554" s="347"/>
      <c r="N1554" s="347"/>
      <c r="O1554" s="132"/>
    </row>
    <row r="1555" spans="2:15" ht="26.25" customHeight="1" x14ac:dyDescent="0.25">
      <c r="B1555" s="130"/>
      <c r="C1555" s="135"/>
      <c r="D1555" s="177"/>
      <c r="E1555" s="178"/>
      <c r="F1555" s="178"/>
      <c r="G1555" s="340"/>
      <c r="H1555" s="340"/>
      <c r="I1555" s="179"/>
      <c r="J1555" s="344"/>
      <c r="K1555" s="345"/>
      <c r="L1555" s="346"/>
      <c r="M1555" s="347"/>
      <c r="N1555" s="347"/>
      <c r="O1555" s="132"/>
    </row>
    <row r="1556" spans="2:15" ht="26.25" customHeight="1" x14ac:dyDescent="0.25">
      <c r="B1556" s="130"/>
      <c r="C1556" s="135"/>
      <c r="D1556" s="177"/>
      <c r="E1556" s="178"/>
      <c r="F1556" s="178"/>
      <c r="G1556" s="340"/>
      <c r="H1556" s="340"/>
      <c r="I1556" s="179"/>
      <c r="J1556" s="344"/>
      <c r="K1556" s="345"/>
      <c r="L1556" s="346"/>
      <c r="M1556" s="347"/>
      <c r="N1556" s="347"/>
      <c r="O1556" s="132"/>
    </row>
    <row r="1557" spans="2:15" ht="26.25" customHeight="1" x14ac:dyDescent="0.25">
      <c r="B1557" s="130"/>
      <c r="C1557" s="135"/>
      <c r="D1557" s="177"/>
      <c r="E1557" s="178"/>
      <c r="F1557" s="178"/>
      <c r="G1557" s="340"/>
      <c r="H1557" s="340"/>
      <c r="I1557" s="179"/>
      <c r="J1557" s="344"/>
      <c r="K1557" s="345"/>
      <c r="L1557" s="346"/>
      <c r="M1557" s="347"/>
      <c r="N1557" s="347"/>
      <c r="O1557" s="132"/>
    </row>
    <row r="1558" spans="2:15" ht="26.25" customHeight="1" x14ac:dyDescent="0.25">
      <c r="B1558" s="130"/>
      <c r="C1558" s="135"/>
      <c r="D1558" s="177"/>
      <c r="E1558" s="178"/>
      <c r="F1558" s="178"/>
      <c r="G1558" s="340"/>
      <c r="H1558" s="340"/>
      <c r="I1558" s="179"/>
      <c r="J1558" s="344"/>
      <c r="K1558" s="345"/>
      <c r="L1558" s="346"/>
      <c r="M1558" s="347"/>
      <c r="N1558" s="347"/>
      <c r="O1558" s="132"/>
    </row>
    <row r="1559" spans="2:15" ht="26.25" customHeight="1" x14ac:dyDescent="0.25">
      <c r="B1559" s="130"/>
      <c r="C1559" s="135"/>
      <c r="D1559" s="177"/>
      <c r="E1559" s="178"/>
      <c r="F1559" s="178"/>
      <c r="G1559" s="340"/>
      <c r="H1559" s="340"/>
      <c r="I1559" s="179"/>
      <c r="J1559" s="344"/>
      <c r="K1559" s="345"/>
      <c r="L1559" s="346"/>
      <c r="M1559" s="347"/>
      <c r="N1559" s="347"/>
      <c r="O1559" s="132"/>
    </row>
    <row r="1560" spans="2:15" ht="26.25" customHeight="1" x14ac:dyDescent="0.25">
      <c r="B1560" s="130"/>
      <c r="C1560" s="135"/>
      <c r="D1560" s="177"/>
      <c r="E1560" s="178"/>
      <c r="F1560" s="178"/>
      <c r="G1560" s="340"/>
      <c r="H1560" s="340"/>
      <c r="I1560" s="179"/>
      <c r="J1560" s="344"/>
      <c r="K1560" s="345"/>
      <c r="L1560" s="346"/>
      <c r="M1560" s="347"/>
      <c r="N1560" s="347"/>
      <c r="O1560" s="132"/>
    </row>
    <row r="1561" spans="2:15" ht="26.25" customHeight="1" x14ac:dyDescent="0.25">
      <c r="B1561" s="130"/>
      <c r="C1561" s="135"/>
      <c r="D1561" s="177"/>
      <c r="E1561" s="178"/>
      <c r="F1561" s="178"/>
      <c r="G1561" s="340"/>
      <c r="H1561" s="340"/>
      <c r="I1561" s="179"/>
      <c r="J1561" s="344"/>
      <c r="K1561" s="345"/>
      <c r="L1561" s="346"/>
      <c r="M1561" s="347"/>
      <c r="N1561" s="347"/>
      <c r="O1561" s="132"/>
    </row>
    <row r="1562" spans="2:15" ht="26.25" customHeight="1" x14ac:dyDescent="0.25">
      <c r="B1562" s="130"/>
      <c r="C1562" s="135"/>
      <c r="D1562" s="177"/>
      <c r="E1562" s="178"/>
      <c r="F1562" s="178"/>
      <c r="G1562" s="340"/>
      <c r="H1562" s="340"/>
      <c r="I1562" s="179"/>
      <c r="J1562" s="344"/>
      <c r="K1562" s="345"/>
      <c r="L1562" s="346"/>
      <c r="M1562" s="347"/>
      <c r="N1562" s="347"/>
      <c r="O1562" s="132"/>
    </row>
    <row r="1563" spans="2:15" ht="26.25" customHeight="1" x14ac:dyDescent="0.25">
      <c r="B1563" s="130"/>
      <c r="C1563" s="135"/>
      <c r="D1563" s="177"/>
      <c r="E1563" s="178"/>
      <c r="F1563" s="178"/>
      <c r="G1563" s="340"/>
      <c r="H1563" s="340"/>
      <c r="I1563" s="179"/>
      <c r="J1563" s="344"/>
      <c r="K1563" s="345"/>
      <c r="L1563" s="346"/>
      <c r="M1563" s="347"/>
      <c r="N1563" s="347"/>
      <c r="O1563" s="132"/>
    </row>
    <row r="1564" spans="2:15" ht="26.25" customHeight="1" x14ac:dyDescent="0.25">
      <c r="B1564" s="130"/>
      <c r="C1564" s="135"/>
      <c r="D1564" s="177"/>
      <c r="E1564" s="178"/>
      <c r="F1564" s="178"/>
      <c r="G1564" s="340"/>
      <c r="H1564" s="340"/>
      <c r="I1564" s="179"/>
      <c r="J1564" s="344"/>
      <c r="K1564" s="345"/>
      <c r="L1564" s="346"/>
      <c r="M1564" s="347"/>
      <c r="N1564" s="347"/>
      <c r="O1564" s="132"/>
    </row>
    <row r="1565" spans="2:15" ht="26.25" customHeight="1" x14ac:dyDescent="0.25">
      <c r="B1565" s="130"/>
      <c r="C1565" s="135"/>
      <c r="D1565" s="177"/>
      <c r="E1565" s="178"/>
      <c r="F1565" s="178"/>
      <c r="G1565" s="340"/>
      <c r="H1565" s="340"/>
      <c r="I1565" s="179"/>
      <c r="J1565" s="344"/>
      <c r="K1565" s="345"/>
      <c r="L1565" s="346"/>
      <c r="M1565" s="347"/>
      <c r="N1565" s="347"/>
      <c r="O1565" s="132"/>
    </row>
    <row r="1566" spans="2:15" ht="26.25" customHeight="1" x14ac:dyDescent="0.25">
      <c r="B1566" s="130"/>
      <c r="C1566" s="135"/>
      <c r="D1566" s="177"/>
      <c r="E1566" s="178"/>
      <c r="F1566" s="178"/>
      <c r="G1566" s="340"/>
      <c r="H1566" s="340"/>
      <c r="I1566" s="179"/>
      <c r="J1566" s="344"/>
      <c r="K1566" s="345"/>
      <c r="L1566" s="346"/>
      <c r="M1566" s="347"/>
      <c r="N1566" s="347"/>
      <c r="O1566" s="132"/>
    </row>
    <row r="1567" spans="2:15" ht="26.25" customHeight="1" x14ac:dyDescent="0.25">
      <c r="B1567" s="130"/>
      <c r="C1567" s="135"/>
      <c r="D1567" s="177"/>
      <c r="E1567" s="178"/>
      <c r="F1567" s="178"/>
      <c r="G1567" s="340"/>
      <c r="H1567" s="340"/>
      <c r="I1567" s="179"/>
      <c r="J1567" s="344"/>
      <c r="K1567" s="345"/>
      <c r="L1567" s="346"/>
      <c r="M1567" s="347"/>
      <c r="N1567" s="347"/>
      <c r="O1567" s="132"/>
    </row>
    <row r="1568" spans="2:15" ht="26.25" customHeight="1" x14ac:dyDescent="0.25">
      <c r="B1568" s="130"/>
      <c r="C1568" s="135"/>
      <c r="D1568" s="177"/>
      <c r="E1568" s="178"/>
      <c r="F1568" s="178"/>
      <c r="G1568" s="340"/>
      <c r="H1568" s="340"/>
      <c r="I1568" s="179"/>
      <c r="J1568" s="344"/>
      <c r="K1568" s="345"/>
      <c r="L1568" s="346"/>
      <c r="M1568" s="347"/>
      <c r="N1568" s="347"/>
      <c r="O1568" s="132"/>
    </row>
    <row r="1569" spans="2:15" ht="26.25" customHeight="1" x14ac:dyDescent="0.25">
      <c r="B1569" s="130"/>
      <c r="C1569" s="135"/>
      <c r="D1569" s="177"/>
      <c r="E1569" s="178"/>
      <c r="F1569" s="178"/>
      <c r="G1569" s="340"/>
      <c r="H1569" s="340"/>
      <c r="I1569" s="179"/>
      <c r="J1569" s="344"/>
      <c r="K1569" s="345"/>
      <c r="L1569" s="346"/>
      <c r="M1569" s="347"/>
      <c r="N1569" s="347"/>
      <c r="O1569" s="132"/>
    </row>
    <row r="1570" spans="2:15" ht="26.25" customHeight="1" x14ac:dyDescent="0.25">
      <c r="B1570" s="130"/>
      <c r="C1570" s="135"/>
      <c r="D1570" s="177"/>
      <c r="E1570" s="178"/>
      <c r="F1570" s="178"/>
      <c r="G1570" s="340"/>
      <c r="H1570" s="340"/>
      <c r="I1570" s="179"/>
      <c r="J1570" s="344"/>
      <c r="K1570" s="345"/>
      <c r="L1570" s="346"/>
      <c r="M1570" s="347"/>
      <c r="N1570" s="347"/>
      <c r="O1570" s="132"/>
    </row>
    <row r="1571" spans="2:15" ht="26.25" customHeight="1" x14ac:dyDescent="0.25">
      <c r="B1571" s="130"/>
      <c r="C1571" s="135"/>
      <c r="D1571" s="177"/>
      <c r="E1571" s="178"/>
      <c r="F1571" s="178"/>
      <c r="G1571" s="340"/>
      <c r="H1571" s="340"/>
      <c r="I1571" s="179"/>
      <c r="J1571" s="344"/>
      <c r="K1571" s="345"/>
      <c r="L1571" s="346"/>
      <c r="M1571" s="347"/>
      <c r="N1571" s="347"/>
      <c r="O1571" s="132"/>
    </row>
    <row r="1572" spans="2:15" ht="26.25" customHeight="1" x14ac:dyDescent="0.25">
      <c r="B1572" s="130"/>
      <c r="C1572" s="135"/>
      <c r="D1572" s="177"/>
      <c r="E1572" s="178"/>
      <c r="F1572" s="178"/>
      <c r="G1572" s="340"/>
      <c r="H1572" s="340"/>
      <c r="I1572" s="179"/>
      <c r="J1572" s="344"/>
      <c r="K1572" s="345"/>
      <c r="L1572" s="346"/>
      <c r="M1572" s="347"/>
      <c r="N1572" s="347"/>
      <c r="O1572" s="132"/>
    </row>
    <row r="1573" spans="2:15" ht="26.25" customHeight="1" x14ac:dyDescent="0.25">
      <c r="B1573" s="130"/>
      <c r="C1573" s="135"/>
      <c r="D1573" s="177"/>
      <c r="E1573" s="178"/>
      <c r="F1573" s="178"/>
      <c r="G1573" s="340"/>
      <c r="H1573" s="340"/>
      <c r="I1573" s="179"/>
      <c r="J1573" s="344"/>
      <c r="K1573" s="345"/>
      <c r="L1573" s="346"/>
      <c r="M1573" s="347"/>
      <c r="N1573" s="347"/>
      <c r="O1573" s="132"/>
    </row>
    <row r="1574" spans="2:15" ht="26.25" customHeight="1" x14ac:dyDescent="0.25">
      <c r="B1574" s="130"/>
      <c r="C1574" s="135"/>
      <c r="D1574" s="177"/>
      <c r="E1574" s="178"/>
      <c r="F1574" s="178"/>
      <c r="G1574" s="340"/>
      <c r="H1574" s="340"/>
      <c r="I1574" s="179"/>
      <c r="J1574" s="344"/>
      <c r="K1574" s="345"/>
      <c r="L1574" s="346"/>
      <c r="M1574" s="347"/>
      <c r="N1574" s="347"/>
      <c r="O1574" s="132"/>
    </row>
    <row r="1575" spans="2:15" ht="26.25" customHeight="1" x14ac:dyDescent="0.25">
      <c r="B1575" s="130"/>
      <c r="C1575" s="135"/>
      <c r="D1575" s="177"/>
      <c r="E1575" s="178"/>
      <c r="F1575" s="178"/>
      <c r="G1575" s="340"/>
      <c r="H1575" s="340"/>
      <c r="I1575" s="179"/>
      <c r="J1575" s="344"/>
      <c r="K1575" s="345"/>
      <c r="L1575" s="346"/>
      <c r="M1575" s="347"/>
      <c r="N1575" s="347"/>
      <c r="O1575" s="132"/>
    </row>
    <row r="1576" spans="2:15" ht="26.25" customHeight="1" x14ac:dyDescent="0.25">
      <c r="B1576" s="130"/>
      <c r="C1576" s="135"/>
      <c r="D1576" s="177"/>
      <c r="E1576" s="178"/>
      <c r="F1576" s="178"/>
      <c r="G1576" s="340"/>
      <c r="H1576" s="340"/>
      <c r="I1576" s="179"/>
      <c r="J1576" s="344"/>
      <c r="K1576" s="345"/>
      <c r="L1576" s="346"/>
      <c r="M1576" s="347"/>
      <c r="N1576" s="347"/>
      <c r="O1576" s="132"/>
    </row>
    <row r="1577" spans="2:15" ht="26.25" customHeight="1" x14ac:dyDescent="0.25">
      <c r="B1577" s="130"/>
      <c r="C1577" s="135"/>
      <c r="D1577" s="177"/>
      <c r="E1577" s="178"/>
      <c r="F1577" s="178"/>
      <c r="G1577" s="340"/>
      <c r="H1577" s="340"/>
      <c r="I1577" s="179"/>
      <c r="J1577" s="344"/>
      <c r="K1577" s="345"/>
      <c r="L1577" s="346"/>
      <c r="M1577" s="347"/>
      <c r="N1577" s="347"/>
      <c r="O1577" s="132"/>
    </row>
    <row r="1578" spans="2:15" ht="26.25" customHeight="1" x14ac:dyDescent="0.25">
      <c r="B1578" s="130"/>
      <c r="C1578" s="135"/>
      <c r="D1578" s="177"/>
      <c r="E1578" s="178"/>
      <c r="F1578" s="178"/>
      <c r="G1578" s="340"/>
      <c r="H1578" s="340"/>
      <c r="I1578" s="179"/>
      <c r="J1578" s="344"/>
      <c r="K1578" s="345"/>
      <c r="L1578" s="346"/>
      <c r="M1578" s="347"/>
      <c r="N1578" s="347"/>
      <c r="O1578" s="132"/>
    </row>
    <row r="1579" spans="2:15" ht="26.25" customHeight="1" x14ac:dyDescent="0.25">
      <c r="B1579" s="130"/>
      <c r="C1579" s="135"/>
      <c r="D1579" s="177"/>
      <c r="E1579" s="178"/>
      <c r="F1579" s="178"/>
      <c r="G1579" s="340"/>
      <c r="H1579" s="340"/>
      <c r="I1579" s="179"/>
      <c r="J1579" s="344"/>
      <c r="K1579" s="345"/>
      <c r="L1579" s="346"/>
      <c r="M1579" s="347"/>
      <c r="N1579" s="347"/>
      <c r="O1579" s="132"/>
    </row>
    <row r="1580" spans="2:15" ht="26.25" customHeight="1" x14ac:dyDescent="0.25">
      <c r="B1580" s="130"/>
      <c r="C1580" s="135"/>
      <c r="D1580" s="177"/>
      <c r="E1580" s="178"/>
      <c r="F1580" s="178"/>
      <c r="G1580" s="340"/>
      <c r="H1580" s="340"/>
      <c r="I1580" s="179"/>
      <c r="J1580" s="344"/>
      <c r="K1580" s="345"/>
      <c r="L1580" s="346"/>
      <c r="M1580" s="347"/>
      <c r="N1580" s="347"/>
      <c r="O1580" s="132"/>
    </row>
    <row r="1581" spans="2:15" ht="26.25" customHeight="1" x14ac:dyDescent="0.25">
      <c r="B1581" s="130"/>
      <c r="C1581" s="135"/>
      <c r="D1581" s="177"/>
      <c r="E1581" s="178"/>
      <c r="F1581" s="178"/>
      <c r="G1581" s="340"/>
      <c r="H1581" s="340"/>
      <c r="I1581" s="179"/>
      <c r="J1581" s="344"/>
      <c r="K1581" s="345"/>
      <c r="L1581" s="346"/>
      <c r="M1581" s="347"/>
      <c r="N1581" s="347"/>
      <c r="O1581" s="132"/>
    </row>
    <row r="1582" spans="2:15" ht="26.25" customHeight="1" x14ac:dyDescent="0.25">
      <c r="B1582" s="130"/>
      <c r="C1582" s="135"/>
      <c r="D1582" s="177"/>
      <c r="E1582" s="178"/>
      <c r="F1582" s="178"/>
      <c r="G1582" s="340"/>
      <c r="H1582" s="340"/>
      <c r="I1582" s="179"/>
      <c r="J1582" s="344"/>
      <c r="K1582" s="345"/>
      <c r="L1582" s="346"/>
      <c r="M1582" s="347"/>
      <c r="N1582" s="347"/>
      <c r="O1582" s="132"/>
    </row>
    <row r="1583" spans="2:15" ht="26.25" customHeight="1" x14ac:dyDescent="0.25">
      <c r="B1583" s="130"/>
      <c r="C1583" s="135"/>
      <c r="D1583" s="177"/>
      <c r="E1583" s="178"/>
      <c r="F1583" s="178"/>
      <c r="G1583" s="340"/>
      <c r="H1583" s="340"/>
      <c r="I1583" s="179"/>
      <c r="J1583" s="344"/>
      <c r="K1583" s="345"/>
      <c r="L1583" s="346"/>
      <c r="M1583" s="347"/>
      <c r="N1583" s="347"/>
      <c r="O1583" s="132"/>
    </row>
    <row r="1584" spans="2:15" ht="26.25" customHeight="1" x14ac:dyDescent="0.25">
      <c r="B1584" s="130"/>
      <c r="C1584" s="135"/>
      <c r="D1584" s="177"/>
      <c r="E1584" s="178"/>
      <c r="F1584" s="178"/>
      <c r="G1584" s="340"/>
      <c r="H1584" s="340"/>
      <c r="I1584" s="179"/>
      <c r="J1584" s="344"/>
      <c r="K1584" s="345"/>
      <c r="L1584" s="346"/>
      <c r="M1584" s="347"/>
      <c r="N1584" s="347"/>
      <c r="O1584" s="132"/>
    </row>
    <row r="1585" spans="2:15" ht="26.25" customHeight="1" x14ac:dyDescent="0.25">
      <c r="B1585" s="130"/>
      <c r="C1585" s="135"/>
      <c r="D1585" s="177"/>
      <c r="E1585" s="178"/>
      <c r="F1585" s="178"/>
      <c r="G1585" s="340"/>
      <c r="H1585" s="340"/>
      <c r="I1585" s="179"/>
      <c r="J1585" s="344"/>
      <c r="K1585" s="345"/>
      <c r="L1585" s="346"/>
      <c r="M1585" s="347"/>
      <c r="N1585" s="347"/>
      <c r="O1585" s="132"/>
    </row>
    <row r="1586" spans="2:15" ht="26.25" customHeight="1" x14ac:dyDescent="0.25">
      <c r="B1586" s="130"/>
      <c r="C1586" s="135"/>
      <c r="D1586" s="177"/>
      <c r="E1586" s="178"/>
      <c r="F1586" s="178"/>
      <c r="G1586" s="340"/>
      <c r="H1586" s="340"/>
      <c r="I1586" s="179"/>
      <c r="J1586" s="344"/>
      <c r="K1586" s="345"/>
      <c r="L1586" s="346"/>
      <c r="M1586" s="347"/>
      <c r="N1586" s="347"/>
      <c r="O1586" s="132"/>
    </row>
    <row r="1587" spans="2:15" ht="26.25" customHeight="1" x14ac:dyDescent="0.25">
      <c r="B1587" s="130"/>
      <c r="C1587" s="135"/>
      <c r="D1587" s="177"/>
      <c r="E1587" s="178"/>
      <c r="F1587" s="178"/>
      <c r="G1587" s="340"/>
      <c r="H1587" s="340"/>
      <c r="I1587" s="179"/>
      <c r="J1587" s="344"/>
      <c r="K1587" s="345"/>
      <c r="L1587" s="346"/>
      <c r="M1587" s="347"/>
      <c r="N1587" s="347"/>
      <c r="O1587" s="132"/>
    </row>
    <row r="1588" spans="2:15" ht="26.25" customHeight="1" x14ac:dyDescent="0.25">
      <c r="B1588" s="130"/>
      <c r="C1588" s="135"/>
      <c r="D1588" s="177"/>
      <c r="E1588" s="178"/>
      <c r="F1588" s="178"/>
      <c r="G1588" s="340"/>
      <c r="H1588" s="340"/>
      <c r="I1588" s="179"/>
      <c r="J1588" s="344"/>
      <c r="K1588" s="345"/>
      <c r="L1588" s="346"/>
      <c r="M1588" s="347"/>
      <c r="N1588" s="347"/>
      <c r="O1588" s="132"/>
    </row>
    <row r="1589" spans="2:15" ht="26.25" customHeight="1" x14ac:dyDescent="0.25">
      <c r="B1589" s="130"/>
      <c r="C1589" s="135"/>
      <c r="D1589" s="177"/>
      <c r="E1589" s="178"/>
      <c r="F1589" s="178"/>
      <c r="G1589" s="340"/>
      <c r="H1589" s="340"/>
      <c r="I1589" s="179"/>
      <c r="J1589" s="344"/>
      <c r="K1589" s="345"/>
      <c r="L1589" s="346"/>
      <c r="M1589" s="347"/>
      <c r="N1589" s="347"/>
      <c r="O1589" s="132"/>
    </row>
    <row r="1590" spans="2:15" ht="26.25" customHeight="1" x14ac:dyDescent="0.25">
      <c r="B1590" s="130"/>
      <c r="C1590" s="135"/>
      <c r="D1590" s="177"/>
      <c r="E1590" s="178"/>
      <c r="F1590" s="178"/>
      <c r="G1590" s="340"/>
      <c r="H1590" s="340"/>
      <c r="I1590" s="179"/>
      <c r="J1590" s="344"/>
      <c r="K1590" s="345"/>
      <c r="L1590" s="346"/>
      <c r="M1590" s="347"/>
      <c r="N1590" s="347"/>
      <c r="O1590" s="132"/>
    </row>
    <row r="1591" spans="2:15" ht="26.25" customHeight="1" x14ac:dyDescent="0.25">
      <c r="B1591" s="130"/>
      <c r="C1591" s="135"/>
      <c r="D1591" s="177"/>
      <c r="E1591" s="178"/>
      <c r="F1591" s="178"/>
      <c r="G1591" s="340"/>
      <c r="H1591" s="340"/>
      <c r="I1591" s="179"/>
      <c r="J1591" s="344"/>
      <c r="K1591" s="345"/>
      <c r="L1591" s="346"/>
      <c r="M1591" s="347"/>
      <c r="N1591" s="347"/>
      <c r="O1591" s="132"/>
    </row>
    <row r="1592" spans="2:15" ht="26.25" customHeight="1" x14ac:dyDescent="0.25">
      <c r="B1592" s="130"/>
      <c r="C1592" s="135"/>
      <c r="D1592" s="177"/>
      <c r="E1592" s="178"/>
      <c r="F1592" s="178"/>
      <c r="G1592" s="340"/>
      <c r="H1592" s="340"/>
      <c r="I1592" s="179"/>
      <c r="J1592" s="344"/>
      <c r="K1592" s="345"/>
      <c r="L1592" s="346"/>
      <c r="M1592" s="347"/>
      <c r="N1592" s="347"/>
      <c r="O1592" s="132"/>
    </row>
    <row r="1593" spans="2:15" ht="26.25" customHeight="1" x14ac:dyDescent="0.25">
      <c r="B1593" s="130"/>
      <c r="C1593" s="135"/>
      <c r="D1593" s="177"/>
      <c r="E1593" s="178"/>
      <c r="F1593" s="178"/>
      <c r="G1593" s="340"/>
      <c r="H1593" s="340"/>
      <c r="I1593" s="179"/>
      <c r="J1593" s="344"/>
      <c r="K1593" s="345"/>
      <c r="L1593" s="346"/>
      <c r="M1593" s="347"/>
      <c r="N1593" s="347"/>
      <c r="O1593" s="132"/>
    </row>
    <row r="1594" spans="2:15" ht="26.25" customHeight="1" x14ac:dyDescent="0.25">
      <c r="B1594" s="130"/>
      <c r="C1594" s="135"/>
      <c r="D1594" s="177"/>
      <c r="E1594" s="178"/>
      <c r="F1594" s="178"/>
      <c r="G1594" s="340"/>
      <c r="H1594" s="340"/>
      <c r="I1594" s="179"/>
      <c r="J1594" s="344"/>
      <c r="K1594" s="345"/>
      <c r="L1594" s="346"/>
      <c r="M1594" s="347"/>
      <c r="N1594" s="347"/>
      <c r="O1594" s="132"/>
    </row>
    <row r="1595" spans="2:15" ht="26.25" customHeight="1" x14ac:dyDescent="0.25">
      <c r="B1595" s="130"/>
      <c r="C1595" s="135"/>
      <c r="D1595" s="177"/>
      <c r="E1595" s="178"/>
      <c r="F1595" s="178"/>
      <c r="G1595" s="340"/>
      <c r="H1595" s="340"/>
      <c r="I1595" s="179"/>
      <c r="J1595" s="344"/>
      <c r="K1595" s="345"/>
      <c r="L1595" s="346"/>
      <c r="M1595" s="347"/>
      <c r="N1595" s="347"/>
      <c r="O1595" s="132"/>
    </row>
    <row r="1596" spans="2:15" ht="26.25" customHeight="1" x14ac:dyDescent="0.25">
      <c r="B1596" s="130"/>
      <c r="C1596" s="135"/>
      <c r="D1596" s="177"/>
      <c r="E1596" s="178"/>
      <c r="F1596" s="178"/>
      <c r="G1596" s="340"/>
      <c r="H1596" s="340"/>
      <c r="I1596" s="179"/>
      <c r="J1596" s="344"/>
      <c r="K1596" s="345"/>
      <c r="L1596" s="346"/>
      <c r="M1596" s="347"/>
      <c r="N1596" s="347"/>
      <c r="O1596" s="132"/>
    </row>
    <row r="1597" spans="2:15" ht="26.25" customHeight="1" x14ac:dyDescent="0.25">
      <c r="B1597" s="130"/>
      <c r="C1597" s="135"/>
      <c r="D1597" s="177"/>
      <c r="E1597" s="178"/>
      <c r="F1597" s="178"/>
      <c r="G1597" s="340"/>
      <c r="H1597" s="340"/>
      <c r="I1597" s="179"/>
      <c r="J1597" s="344"/>
      <c r="K1597" s="345"/>
      <c r="L1597" s="346"/>
      <c r="M1597" s="347"/>
      <c r="N1597" s="347"/>
      <c r="O1597" s="132"/>
    </row>
    <row r="1598" spans="2:15" ht="26.25" customHeight="1" x14ac:dyDescent="0.25">
      <c r="B1598" s="130"/>
      <c r="C1598" s="135"/>
      <c r="D1598" s="177"/>
      <c r="E1598" s="178"/>
      <c r="F1598" s="178"/>
      <c r="G1598" s="340"/>
      <c r="H1598" s="340"/>
      <c r="I1598" s="179"/>
      <c r="J1598" s="344"/>
      <c r="K1598" s="345"/>
      <c r="L1598" s="346"/>
      <c r="M1598" s="347"/>
      <c r="N1598" s="347"/>
      <c r="O1598" s="132"/>
    </row>
    <row r="1599" spans="2:15" ht="26.25" customHeight="1" x14ac:dyDescent="0.25">
      <c r="B1599" s="130"/>
      <c r="C1599" s="135"/>
      <c r="D1599" s="177"/>
      <c r="E1599" s="178"/>
      <c r="F1599" s="178"/>
      <c r="G1599" s="340"/>
      <c r="H1599" s="340"/>
      <c r="I1599" s="179"/>
      <c r="J1599" s="344"/>
      <c r="K1599" s="345"/>
      <c r="L1599" s="346"/>
      <c r="M1599" s="347"/>
      <c r="N1599" s="347"/>
      <c r="O1599" s="132"/>
    </row>
    <row r="1600" spans="2:15" ht="26.25" customHeight="1" x14ac:dyDescent="0.25">
      <c r="B1600" s="130"/>
      <c r="C1600" s="135"/>
      <c r="D1600" s="177"/>
      <c r="E1600" s="178"/>
      <c r="F1600" s="178"/>
      <c r="G1600" s="340"/>
      <c r="H1600" s="340"/>
      <c r="I1600" s="179"/>
      <c r="J1600" s="344"/>
      <c r="K1600" s="345"/>
      <c r="L1600" s="346"/>
      <c r="M1600" s="347"/>
      <c r="N1600" s="347"/>
      <c r="O1600" s="132"/>
    </row>
    <row r="1601" spans="2:15" ht="26.25" customHeight="1" x14ac:dyDescent="0.25">
      <c r="B1601" s="130"/>
      <c r="C1601" s="135"/>
      <c r="D1601" s="177"/>
      <c r="E1601" s="178"/>
      <c r="F1601" s="178"/>
      <c r="G1601" s="340"/>
      <c r="H1601" s="340"/>
      <c r="I1601" s="179"/>
      <c r="J1601" s="344"/>
      <c r="K1601" s="345"/>
      <c r="L1601" s="346"/>
      <c r="M1601" s="347"/>
      <c r="N1601" s="347"/>
      <c r="O1601" s="132"/>
    </row>
    <row r="1602" spans="2:15" ht="26.25" customHeight="1" x14ac:dyDescent="0.25">
      <c r="B1602" s="130"/>
      <c r="C1602" s="135"/>
      <c r="D1602" s="177"/>
      <c r="E1602" s="178"/>
      <c r="F1602" s="178"/>
      <c r="G1602" s="340"/>
      <c r="H1602" s="340"/>
      <c r="I1602" s="179"/>
      <c r="J1602" s="344"/>
      <c r="K1602" s="345"/>
      <c r="L1602" s="346"/>
      <c r="M1602" s="347"/>
      <c r="N1602" s="347"/>
      <c r="O1602" s="132"/>
    </row>
    <row r="1603" spans="2:15" ht="26.25" customHeight="1" x14ac:dyDescent="0.25">
      <c r="B1603" s="130"/>
      <c r="C1603" s="135"/>
      <c r="D1603" s="177"/>
      <c r="E1603" s="178"/>
      <c r="F1603" s="178"/>
      <c r="G1603" s="340"/>
      <c r="H1603" s="340"/>
      <c r="I1603" s="179"/>
      <c r="J1603" s="344"/>
      <c r="K1603" s="345"/>
      <c r="L1603" s="346"/>
      <c r="M1603" s="347"/>
      <c r="N1603" s="347"/>
      <c r="O1603" s="132"/>
    </row>
    <row r="1604" spans="2:15" ht="26.25" customHeight="1" x14ac:dyDescent="0.25">
      <c r="B1604" s="130"/>
      <c r="C1604" s="135"/>
      <c r="D1604" s="177"/>
      <c r="E1604" s="178"/>
      <c r="F1604" s="178"/>
      <c r="G1604" s="340"/>
      <c r="H1604" s="340"/>
      <c r="I1604" s="179"/>
      <c r="J1604" s="344"/>
      <c r="K1604" s="345"/>
      <c r="L1604" s="346"/>
      <c r="M1604" s="347"/>
      <c r="N1604" s="347"/>
      <c r="O1604" s="132"/>
    </row>
    <row r="1605" spans="2:15" ht="26.25" customHeight="1" x14ac:dyDescent="0.25">
      <c r="B1605" s="130"/>
      <c r="C1605" s="135"/>
      <c r="D1605" s="177"/>
      <c r="E1605" s="178"/>
      <c r="F1605" s="178"/>
      <c r="G1605" s="340"/>
      <c r="H1605" s="340"/>
      <c r="I1605" s="179"/>
      <c r="J1605" s="344"/>
      <c r="K1605" s="345"/>
      <c r="L1605" s="346"/>
      <c r="M1605" s="347"/>
      <c r="N1605" s="347"/>
      <c r="O1605" s="132"/>
    </row>
    <row r="1606" spans="2:15" ht="26.25" customHeight="1" x14ac:dyDescent="0.25">
      <c r="B1606" s="130"/>
      <c r="C1606" s="135"/>
      <c r="D1606" s="177"/>
      <c r="E1606" s="178"/>
      <c r="F1606" s="178"/>
      <c r="G1606" s="340"/>
      <c r="H1606" s="340"/>
      <c r="I1606" s="179"/>
      <c r="J1606" s="344"/>
      <c r="K1606" s="345"/>
      <c r="L1606" s="346"/>
      <c r="M1606" s="347"/>
      <c r="N1606" s="347"/>
      <c r="O1606" s="132"/>
    </row>
    <row r="1607" spans="2:15" ht="26.25" customHeight="1" x14ac:dyDescent="0.25">
      <c r="B1607" s="130"/>
      <c r="C1607" s="135"/>
      <c r="D1607" s="177"/>
      <c r="E1607" s="178"/>
      <c r="F1607" s="178"/>
      <c r="G1607" s="340"/>
      <c r="H1607" s="340"/>
      <c r="I1607" s="179"/>
      <c r="J1607" s="344"/>
      <c r="K1607" s="345"/>
      <c r="L1607" s="346"/>
      <c r="M1607" s="347"/>
      <c r="N1607" s="347"/>
      <c r="O1607" s="132"/>
    </row>
    <row r="1608" spans="2:15" ht="26.25" customHeight="1" x14ac:dyDescent="0.25">
      <c r="B1608" s="130"/>
      <c r="C1608" s="135"/>
      <c r="D1608" s="177"/>
      <c r="E1608" s="178"/>
      <c r="F1608" s="178"/>
      <c r="G1608" s="340"/>
      <c r="H1608" s="340"/>
      <c r="I1608" s="179"/>
      <c r="J1608" s="344"/>
      <c r="K1608" s="345"/>
      <c r="L1608" s="346"/>
      <c r="M1608" s="347"/>
      <c r="N1608" s="347"/>
      <c r="O1608" s="132"/>
    </row>
    <row r="1609" spans="2:15" ht="26.25" customHeight="1" x14ac:dyDescent="0.25">
      <c r="B1609" s="130"/>
      <c r="C1609" s="135"/>
      <c r="D1609" s="177"/>
      <c r="E1609" s="178"/>
      <c r="F1609" s="178"/>
      <c r="G1609" s="340"/>
      <c r="H1609" s="340"/>
      <c r="I1609" s="179"/>
      <c r="J1609" s="344"/>
      <c r="K1609" s="345"/>
      <c r="L1609" s="346"/>
      <c r="M1609" s="347"/>
      <c r="N1609" s="347"/>
      <c r="O1609" s="132"/>
    </row>
    <row r="1610" spans="2:15" ht="26.25" customHeight="1" x14ac:dyDescent="0.25">
      <c r="B1610" s="130"/>
      <c r="C1610" s="135"/>
      <c r="D1610" s="177"/>
      <c r="E1610" s="178"/>
      <c r="F1610" s="178"/>
      <c r="G1610" s="340"/>
      <c r="H1610" s="340"/>
      <c r="I1610" s="179"/>
      <c r="J1610" s="344"/>
      <c r="K1610" s="345"/>
      <c r="L1610" s="346"/>
      <c r="M1610" s="347"/>
      <c r="N1610" s="347"/>
      <c r="O1610" s="132"/>
    </row>
    <row r="1611" spans="2:15" ht="26.25" customHeight="1" x14ac:dyDescent="0.25">
      <c r="B1611" s="130"/>
      <c r="C1611" s="135"/>
      <c r="D1611" s="177"/>
      <c r="E1611" s="178"/>
      <c r="F1611" s="178"/>
      <c r="G1611" s="340"/>
      <c r="H1611" s="340"/>
      <c r="I1611" s="179"/>
      <c r="J1611" s="344"/>
      <c r="K1611" s="345"/>
      <c r="L1611" s="346"/>
      <c r="M1611" s="347"/>
      <c r="N1611" s="347"/>
      <c r="O1611" s="132"/>
    </row>
    <row r="1612" spans="2:15" ht="26.25" customHeight="1" x14ac:dyDescent="0.25">
      <c r="B1612" s="130"/>
      <c r="C1612" s="135"/>
      <c r="D1612" s="177"/>
      <c r="E1612" s="178"/>
      <c r="F1612" s="178"/>
      <c r="G1612" s="340"/>
      <c r="H1612" s="340"/>
      <c r="I1612" s="179"/>
      <c r="J1612" s="344"/>
      <c r="K1612" s="345"/>
      <c r="L1612" s="346"/>
      <c r="M1612" s="347"/>
      <c r="N1612" s="347"/>
      <c r="O1612" s="132"/>
    </row>
    <row r="1613" spans="2:15" ht="26.25" customHeight="1" x14ac:dyDescent="0.25">
      <c r="B1613" s="130"/>
      <c r="C1613" s="135"/>
      <c r="D1613" s="177"/>
      <c r="E1613" s="178"/>
      <c r="F1613" s="178"/>
      <c r="G1613" s="340"/>
      <c r="H1613" s="340"/>
      <c r="I1613" s="179"/>
      <c r="J1613" s="344"/>
      <c r="K1613" s="345"/>
      <c r="L1613" s="346"/>
      <c r="M1613" s="347"/>
      <c r="N1613" s="347"/>
      <c r="O1613" s="132"/>
    </row>
    <row r="1614" spans="2:15" ht="26.25" customHeight="1" x14ac:dyDescent="0.25">
      <c r="B1614" s="130"/>
      <c r="C1614" s="135"/>
      <c r="D1614" s="177"/>
      <c r="E1614" s="178"/>
      <c r="F1614" s="178"/>
      <c r="G1614" s="340"/>
      <c r="H1614" s="340"/>
      <c r="I1614" s="179"/>
      <c r="J1614" s="344"/>
      <c r="K1614" s="345"/>
      <c r="L1614" s="346"/>
      <c r="M1614" s="347"/>
      <c r="N1614" s="347"/>
      <c r="O1614" s="132"/>
    </row>
    <row r="1615" spans="2:15" ht="26.25" customHeight="1" x14ac:dyDescent="0.25">
      <c r="B1615" s="130"/>
      <c r="C1615" s="135"/>
      <c r="D1615" s="177"/>
      <c r="E1615" s="178"/>
      <c r="F1615" s="178"/>
      <c r="G1615" s="340"/>
      <c r="H1615" s="340"/>
      <c r="I1615" s="179"/>
      <c r="J1615" s="344"/>
      <c r="K1615" s="345"/>
      <c r="L1615" s="346"/>
      <c r="M1615" s="347"/>
      <c r="N1615" s="347"/>
      <c r="O1615" s="132"/>
    </row>
    <row r="1616" spans="2:15" ht="26.25" customHeight="1" x14ac:dyDescent="0.25">
      <c r="B1616" s="130"/>
      <c r="C1616" s="135"/>
      <c r="D1616" s="177"/>
      <c r="E1616" s="178"/>
      <c r="F1616" s="178"/>
      <c r="G1616" s="340"/>
      <c r="H1616" s="340"/>
      <c r="I1616" s="179"/>
      <c r="J1616" s="344"/>
      <c r="K1616" s="345"/>
      <c r="L1616" s="346"/>
      <c r="M1616" s="347"/>
      <c r="N1616" s="347"/>
      <c r="O1616" s="132"/>
    </row>
    <row r="1617" spans="2:15" ht="26.25" customHeight="1" x14ac:dyDescent="0.25">
      <c r="B1617" s="130"/>
      <c r="C1617" s="135"/>
      <c r="D1617" s="177"/>
      <c r="E1617" s="178"/>
      <c r="F1617" s="178"/>
      <c r="G1617" s="340"/>
      <c r="H1617" s="340"/>
      <c r="I1617" s="179"/>
      <c r="J1617" s="344"/>
      <c r="K1617" s="345"/>
      <c r="L1617" s="346"/>
      <c r="M1617" s="347"/>
      <c r="N1617" s="347"/>
      <c r="O1617" s="132"/>
    </row>
    <row r="1618" spans="2:15" ht="26.25" customHeight="1" x14ac:dyDescent="0.25">
      <c r="B1618" s="130"/>
      <c r="C1618" s="135"/>
      <c r="D1618" s="177"/>
      <c r="E1618" s="178"/>
      <c r="F1618" s="178"/>
      <c r="G1618" s="340"/>
      <c r="H1618" s="340"/>
      <c r="I1618" s="179"/>
      <c r="J1618" s="344"/>
      <c r="K1618" s="345"/>
      <c r="L1618" s="346"/>
      <c r="M1618" s="347"/>
      <c r="N1618" s="347"/>
      <c r="O1618" s="132"/>
    </row>
    <row r="1619" spans="2:15" ht="26.25" customHeight="1" x14ac:dyDescent="0.25">
      <c r="B1619" s="130"/>
      <c r="C1619" s="135"/>
      <c r="D1619" s="177"/>
      <c r="E1619" s="178"/>
      <c r="F1619" s="178"/>
      <c r="G1619" s="340"/>
      <c r="H1619" s="340"/>
      <c r="I1619" s="179"/>
      <c r="J1619" s="344"/>
      <c r="K1619" s="345"/>
      <c r="L1619" s="346"/>
      <c r="M1619" s="347"/>
      <c r="N1619" s="347"/>
      <c r="O1619" s="132"/>
    </row>
    <row r="1620" spans="2:15" ht="26.25" customHeight="1" x14ac:dyDescent="0.25">
      <c r="B1620" s="130"/>
      <c r="C1620" s="135"/>
      <c r="D1620" s="177"/>
      <c r="E1620" s="178"/>
      <c r="F1620" s="178"/>
      <c r="G1620" s="340"/>
      <c r="H1620" s="340"/>
      <c r="I1620" s="179"/>
      <c r="J1620" s="344"/>
      <c r="K1620" s="345"/>
      <c r="L1620" s="346"/>
      <c r="M1620" s="347"/>
      <c r="N1620" s="347"/>
      <c r="O1620" s="132"/>
    </row>
    <row r="1621" spans="2:15" ht="26.25" customHeight="1" x14ac:dyDescent="0.25">
      <c r="B1621" s="130"/>
      <c r="C1621" s="135"/>
      <c r="D1621" s="177"/>
      <c r="E1621" s="178"/>
      <c r="F1621" s="178"/>
      <c r="G1621" s="340"/>
      <c r="H1621" s="340"/>
      <c r="I1621" s="179"/>
      <c r="J1621" s="344"/>
      <c r="K1621" s="345"/>
      <c r="L1621" s="346"/>
      <c r="M1621" s="347"/>
      <c r="N1621" s="347"/>
      <c r="O1621" s="132"/>
    </row>
    <row r="1622" spans="2:15" ht="26.25" customHeight="1" x14ac:dyDescent="0.25">
      <c r="B1622" s="130"/>
      <c r="C1622" s="135"/>
      <c r="D1622" s="177"/>
      <c r="E1622" s="178"/>
      <c r="F1622" s="178"/>
      <c r="G1622" s="340"/>
      <c r="H1622" s="340"/>
      <c r="I1622" s="179"/>
      <c r="J1622" s="344"/>
      <c r="K1622" s="345"/>
      <c r="L1622" s="346"/>
      <c r="M1622" s="347"/>
      <c r="N1622" s="347"/>
      <c r="O1622" s="132"/>
    </row>
    <row r="1623" spans="2:15" ht="26.25" customHeight="1" x14ac:dyDescent="0.25">
      <c r="B1623" s="130"/>
      <c r="C1623" s="135"/>
      <c r="D1623" s="177"/>
      <c r="E1623" s="178"/>
      <c r="F1623" s="178"/>
      <c r="G1623" s="340"/>
      <c r="H1623" s="340"/>
      <c r="I1623" s="179"/>
      <c r="J1623" s="344"/>
      <c r="K1623" s="345"/>
      <c r="L1623" s="346"/>
      <c r="M1623" s="347"/>
      <c r="N1623" s="347"/>
      <c r="O1623" s="132"/>
    </row>
    <row r="1624" spans="2:15" ht="26.25" customHeight="1" x14ac:dyDescent="0.25">
      <c r="B1624" s="130"/>
      <c r="C1624" s="135"/>
      <c r="D1624" s="177"/>
      <c r="E1624" s="178"/>
      <c r="F1624" s="178"/>
      <c r="G1624" s="340"/>
      <c r="H1624" s="340"/>
      <c r="I1624" s="179"/>
      <c r="J1624" s="344"/>
      <c r="K1624" s="345"/>
      <c r="L1624" s="346"/>
      <c r="M1624" s="347"/>
      <c r="N1624" s="347"/>
      <c r="O1624" s="132"/>
    </row>
    <row r="1625" spans="2:15" ht="26.25" customHeight="1" x14ac:dyDescent="0.25">
      <c r="B1625" s="130"/>
      <c r="C1625" s="135"/>
      <c r="D1625" s="177"/>
      <c r="E1625" s="178"/>
      <c r="F1625" s="178"/>
      <c r="G1625" s="340"/>
      <c r="H1625" s="340"/>
      <c r="I1625" s="179"/>
      <c r="J1625" s="344"/>
      <c r="K1625" s="345"/>
      <c r="L1625" s="346"/>
      <c r="M1625" s="347"/>
      <c r="N1625" s="347"/>
      <c r="O1625" s="132"/>
    </row>
    <row r="1626" spans="2:15" ht="26.25" customHeight="1" x14ac:dyDescent="0.25">
      <c r="B1626" s="130"/>
      <c r="C1626" s="135"/>
      <c r="D1626" s="177"/>
      <c r="E1626" s="178"/>
      <c r="F1626" s="178"/>
      <c r="G1626" s="340"/>
      <c r="H1626" s="340"/>
      <c r="I1626" s="179"/>
      <c r="J1626" s="344"/>
      <c r="K1626" s="345"/>
      <c r="L1626" s="346"/>
      <c r="M1626" s="347"/>
      <c r="N1626" s="347"/>
      <c r="O1626" s="132"/>
    </row>
    <row r="1627" spans="2:15" ht="26.25" customHeight="1" x14ac:dyDescent="0.25">
      <c r="B1627" s="130"/>
      <c r="C1627" s="135"/>
      <c r="D1627" s="177"/>
      <c r="E1627" s="178"/>
      <c r="F1627" s="178"/>
      <c r="G1627" s="340"/>
      <c r="H1627" s="340"/>
      <c r="I1627" s="179"/>
      <c r="J1627" s="344"/>
      <c r="K1627" s="345"/>
      <c r="L1627" s="346"/>
      <c r="M1627" s="347"/>
      <c r="N1627" s="347"/>
      <c r="O1627" s="132"/>
    </row>
    <row r="1628" spans="2:15" ht="26.25" customHeight="1" x14ac:dyDescent="0.25">
      <c r="B1628" s="130"/>
      <c r="C1628" s="135"/>
      <c r="D1628" s="177"/>
      <c r="E1628" s="178"/>
      <c r="F1628" s="178"/>
      <c r="G1628" s="340"/>
      <c r="H1628" s="340"/>
      <c r="I1628" s="179"/>
      <c r="J1628" s="344"/>
      <c r="K1628" s="345"/>
      <c r="L1628" s="346"/>
      <c r="M1628" s="347"/>
      <c r="N1628" s="347"/>
      <c r="O1628" s="132"/>
    </row>
    <row r="1629" spans="2:15" ht="26.25" customHeight="1" x14ac:dyDescent="0.25">
      <c r="B1629" s="130"/>
      <c r="C1629" s="135"/>
      <c r="D1629" s="177"/>
      <c r="E1629" s="178"/>
      <c r="F1629" s="178"/>
      <c r="G1629" s="340"/>
      <c r="H1629" s="340"/>
      <c r="I1629" s="179"/>
      <c r="J1629" s="344"/>
      <c r="K1629" s="345"/>
      <c r="L1629" s="346"/>
      <c r="M1629" s="347"/>
      <c r="N1629" s="347"/>
      <c r="O1629" s="132"/>
    </row>
    <row r="1630" spans="2:15" ht="26.25" customHeight="1" x14ac:dyDescent="0.25">
      <c r="B1630" s="130"/>
      <c r="C1630" s="135"/>
      <c r="D1630" s="177"/>
      <c r="E1630" s="178"/>
      <c r="F1630" s="178"/>
      <c r="G1630" s="340"/>
      <c r="H1630" s="340"/>
      <c r="I1630" s="179"/>
      <c r="J1630" s="344"/>
      <c r="K1630" s="345"/>
      <c r="L1630" s="346"/>
      <c r="M1630" s="347"/>
      <c r="N1630" s="347"/>
      <c r="O1630" s="132"/>
    </row>
    <row r="1631" spans="2:15" ht="26.25" customHeight="1" x14ac:dyDescent="0.25">
      <c r="B1631" s="130"/>
      <c r="C1631" s="135"/>
      <c r="D1631" s="177"/>
      <c r="E1631" s="178"/>
      <c r="F1631" s="178"/>
      <c r="G1631" s="340"/>
      <c r="H1631" s="340"/>
      <c r="I1631" s="179"/>
      <c r="J1631" s="344"/>
      <c r="K1631" s="345"/>
      <c r="L1631" s="346"/>
      <c r="M1631" s="347"/>
      <c r="N1631" s="347"/>
      <c r="O1631" s="132"/>
    </row>
    <row r="1632" spans="2:15" ht="26.25" customHeight="1" x14ac:dyDescent="0.25">
      <c r="B1632" s="130"/>
      <c r="C1632" s="135"/>
      <c r="D1632" s="177"/>
      <c r="E1632" s="178"/>
      <c r="F1632" s="178"/>
      <c r="G1632" s="340"/>
      <c r="H1632" s="340"/>
      <c r="I1632" s="179"/>
      <c r="J1632" s="344"/>
      <c r="K1632" s="345"/>
      <c r="L1632" s="346"/>
      <c r="M1632" s="347"/>
      <c r="N1632" s="347"/>
      <c r="O1632" s="132"/>
    </row>
    <row r="1633" spans="2:15" ht="26.25" customHeight="1" x14ac:dyDescent="0.25">
      <c r="B1633" s="130"/>
      <c r="C1633" s="135"/>
      <c r="D1633" s="177"/>
      <c r="E1633" s="178"/>
      <c r="F1633" s="178"/>
      <c r="G1633" s="340"/>
      <c r="H1633" s="340"/>
      <c r="I1633" s="179"/>
      <c r="J1633" s="344"/>
      <c r="K1633" s="345"/>
      <c r="L1633" s="346"/>
      <c r="M1633" s="347"/>
      <c r="N1633" s="347"/>
      <c r="O1633" s="132"/>
    </row>
    <row r="1634" spans="2:15" ht="26.25" customHeight="1" x14ac:dyDescent="0.25">
      <c r="B1634" s="130"/>
      <c r="C1634" s="135"/>
      <c r="D1634" s="177"/>
      <c r="E1634" s="178"/>
      <c r="F1634" s="178"/>
      <c r="G1634" s="340"/>
      <c r="H1634" s="340"/>
      <c r="I1634" s="179"/>
      <c r="J1634" s="344"/>
      <c r="K1634" s="345"/>
      <c r="L1634" s="346"/>
      <c r="M1634" s="347"/>
      <c r="N1634" s="347"/>
      <c r="O1634" s="132"/>
    </row>
    <row r="1635" spans="2:15" ht="26.25" customHeight="1" x14ac:dyDescent="0.25">
      <c r="B1635" s="130"/>
      <c r="C1635" s="135"/>
      <c r="D1635" s="177"/>
      <c r="E1635" s="178"/>
      <c r="F1635" s="178"/>
      <c r="G1635" s="340"/>
      <c r="H1635" s="340"/>
      <c r="I1635" s="179"/>
      <c r="J1635" s="344"/>
      <c r="K1635" s="345"/>
      <c r="L1635" s="346"/>
      <c r="M1635" s="347"/>
      <c r="N1635" s="347"/>
      <c r="O1635" s="132"/>
    </row>
    <row r="1636" spans="2:15" ht="26.25" customHeight="1" x14ac:dyDescent="0.25">
      <c r="B1636" s="130"/>
      <c r="C1636" s="135"/>
      <c r="D1636" s="177"/>
      <c r="E1636" s="178"/>
      <c r="F1636" s="178"/>
      <c r="G1636" s="340"/>
      <c r="H1636" s="340"/>
      <c r="I1636" s="179"/>
      <c r="J1636" s="344"/>
      <c r="K1636" s="345"/>
      <c r="L1636" s="346"/>
      <c r="M1636" s="347"/>
      <c r="N1636" s="347"/>
      <c r="O1636" s="132"/>
    </row>
    <row r="1637" spans="2:15" ht="26.25" customHeight="1" x14ac:dyDescent="0.25">
      <c r="B1637" s="130"/>
      <c r="C1637" s="135"/>
      <c r="D1637" s="177"/>
      <c r="E1637" s="178"/>
      <c r="F1637" s="178"/>
      <c r="G1637" s="340"/>
      <c r="H1637" s="340"/>
      <c r="I1637" s="179"/>
      <c r="J1637" s="344"/>
      <c r="K1637" s="345"/>
      <c r="L1637" s="346"/>
      <c r="M1637" s="347"/>
      <c r="N1637" s="347"/>
      <c r="O1637" s="132"/>
    </row>
    <row r="1638" spans="2:15" ht="26.25" customHeight="1" x14ac:dyDescent="0.25">
      <c r="B1638" s="130"/>
      <c r="C1638" s="135"/>
      <c r="D1638" s="177"/>
      <c r="E1638" s="178"/>
      <c r="F1638" s="178"/>
      <c r="G1638" s="340"/>
      <c r="H1638" s="340"/>
      <c r="I1638" s="179"/>
      <c r="J1638" s="344"/>
      <c r="K1638" s="345"/>
      <c r="L1638" s="346"/>
      <c r="M1638" s="347"/>
      <c r="N1638" s="347"/>
      <c r="O1638" s="132"/>
    </row>
    <row r="1639" spans="2:15" ht="26.25" customHeight="1" x14ac:dyDescent="0.25">
      <c r="B1639" s="130"/>
      <c r="C1639" s="135"/>
      <c r="D1639" s="177"/>
      <c r="E1639" s="178"/>
      <c r="F1639" s="178"/>
      <c r="G1639" s="340"/>
      <c r="H1639" s="340"/>
      <c r="I1639" s="179"/>
      <c r="J1639" s="344"/>
      <c r="K1639" s="345"/>
      <c r="L1639" s="346"/>
      <c r="M1639" s="347"/>
      <c r="N1639" s="347"/>
      <c r="O1639" s="132"/>
    </row>
    <row r="1640" spans="2:15" ht="26.25" customHeight="1" x14ac:dyDescent="0.25">
      <c r="B1640" s="130"/>
      <c r="C1640" s="135"/>
      <c r="D1640" s="177"/>
      <c r="E1640" s="178"/>
      <c r="F1640" s="178"/>
      <c r="G1640" s="340"/>
      <c r="H1640" s="340"/>
      <c r="I1640" s="179"/>
      <c r="J1640" s="344"/>
      <c r="K1640" s="345"/>
      <c r="L1640" s="346"/>
      <c r="M1640" s="347"/>
      <c r="N1640" s="347"/>
      <c r="O1640" s="132"/>
    </row>
    <row r="1641" spans="2:15" ht="26.25" customHeight="1" x14ac:dyDescent="0.25">
      <c r="B1641" s="130"/>
      <c r="C1641" s="135"/>
      <c r="D1641" s="177"/>
      <c r="E1641" s="178"/>
      <c r="F1641" s="178"/>
      <c r="G1641" s="340"/>
      <c r="H1641" s="340"/>
      <c r="I1641" s="179"/>
      <c r="J1641" s="344"/>
      <c r="K1641" s="345"/>
      <c r="L1641" s="346"/>
      <c r="M1641" s="347"/>
      <c r="N1641" s="347"/>
      <c r="O1641" s="132"/>
    </row>
    <row r="1642" spans="2:15" ht="26.25" customHeight="1" x14ac:dyDescent="0.25">
      <c r="B1642" s="130"/>
      <c r="C1642" s="135"/>
      <c r="D1642" s="177"/>
      <c r="E1642" s="178"/>
      <c r="F1642" s="178"/>
      <c r="G1642" s="340"/>
      <c r="H1642" s="340"/>
      <c r="I1642" s="179"/>
      <c r="J1642" s="344"/>
      <c r="K1642" s="345"/>
      <c r="L1642" s="346"/>
      <c r="M1642" s="347"/>
      <c r="N1642" s="347"/>
      <c r="O1642" s="132"/>
    </row>
    <row r="1643" spans="2:15" ht="26.25" customHeight="1" x14ac:dyDescent="0.25">
      <c r="B1643" s="130"/>
      <c r="C1643" s="135"/>
      <c r="D1643" s="177"/>
      <c r="E1643" s="178"/>
      <c r="F1643" s="178"/>
      <c r="G1643" s="340"/>
      <c r="H1643" s="340"/>
      <c r="I1643" s="179"/>
      <c r="J1643" s="344"/>
      <c r="K1643" s="345"/>
      <c r="L1643" s="346"/>
      <c r="M1643" s="347"/>
      <c r="N1643" s="347"/>
      <c r="O1643" s="132"/>
    </row>
    <row r="1644" spans="2:15" ht="26.25" customHeight="1" x14ac:dyDescent="0.25">
      <c r="B1644" s="130"/>
      <c r="C1644" s="135"/>
      <c r="D1644" s="177"/>
      <c r="E1644" s="178"/>
      <c r="F1644" s="178"/>
      <c r="G1644" s="340"/>
      <c r="H1644" s="340"/>
      <c r="I1644" s="179"/>
      <c r="J1644" s="344"/>
      <c r="K1644" s="345"/>
      <c r="L1644" s="346"/>
      <c r="M1644" s="347"/>
      <c r="N1644" s="347"/>
      <c r="O1644" s="132"/>
    </row>
    <row r="1645" spans="2:15" ht="26.25" customHeight="1" x14ac:dyDescent="0.25">
      <c r="B1645" s="130"/>
      <c r="C1645" s="135"/>
      <c r="D1645" s="177"/>
      <c r="E1645" s="178"/>
      <c r="F1645" s="178"/>
      <c r="G1645" s="340"/>
      <c r="H1645" s="340"/>
      <c r="I1645" s="179"/>
      <c r="J1645" s="344"/>
      <c r="K1645" s="345"/>
      <c r="L1645" s="346"/>
      <c r="M1645" s="347"/>
      <c r="N1645" s="347"/>
      <c r="O1645" s="132"/>
    </row>
    <row r="1646" spans="2:15" ht="26.25" customHeight="1" x14ac:dyDescent="0.25">
      <c r="B1646" s="130"/>
      <c r="C1646" s="135"/>
      <c r="D1646" s="177"/>
      <c r="E1646" s="178"/>
      <c r="F1646" s="178"/>
      <c r="G1646" s="340"/>
      <c r="H1646" s="340"/>
      <c r="I1646" s="179"/>
      <c r="J1646" s="344"/>
      <c r="K1646" s="345"/>
      <c r="L1646" s="346"/>
      <c r="M1646" s="347"/>
      <c r="N1646" s="347"/>
      <c r="O1646" s="132"/>
    </row>
    <row r="1647" spans="2:15" ht="26.25" customHeight="1" x14ac:dyDescent="0.25">
      <c r="B1647" s="130"/>
      <c r="C1647" s="135"/>
      <c r="D1647" s="177"/>
      <c r="E1647" s="178"/>
      <c r="F1647" s="178"/>
      <c r="G1647" s="340"/>
      <c r="H1647" s="340"/>
      <c r="I1647" s="179"/>
      <c r="J1647" s="344"/>
      <c r="K1647" s="345"/>
      <c r="L1647" s="346"/>
      <c r="M1647" s="347"/>
      <c r="N1647" s="347"/>
      <c r="O1647" s="132"/>
    </row>
    <row r="1648" spans="2:15" ht="26.25" customHeight="1" x14ac:dyDescent="0.25">
      <c r="B1648" s="130"/>
      <c r="C1648" s="135"/>
      <c r="D1648" s="177"/>
      <c r="E1648" s="178"/>
      <c r="F1648" s="178"/>
      <c r="G1648" s="340"/>
      <c r="H1648" s="340"/>
      <c r="I1648" s="179"/>
      <c r="J1648" s="344"/>
      <c r="K1648" s="345"/>
      <c r="L1648" s="346"/>
      <c r="M1648" s="347"/>
      <c r="N1648" s="347"/>
      <c r="O1648" s="132"/>
    </row>
    <row r="1649" spans="2:15" ht="26.25" customHeight="1" x14ac:dyDescent="0.25">
      <c r="B1649" s="130"/>
      <c r="C1649" s="135"/>
      <c r="D1649" s="177"/>
      <c r="E1649" s="178"/>
      <c r="F1649" s="178"/>
      <c r="G1649" s="340"/>
      <c r="H1649" s="340"/>
      <c r="I1649" s="179"/>
      <c r="J1649" s="344"/>
      <c r="K1649" s="345"/>
      <c r="L1649" s="346"/>
      <c r="M1649" s="347"/>
      <c r="N1649" s="347"/>
      <c r="O1649" s="132"/>
    </row>
    <row r="1650" spans="2:15" ht="26.25" customHeight="1" x14ac:dyDescent="0.25">
      <c r="B1650" s="130"/>
      <c r="C1650" s="135"/>
      <c r="D1650" s="177"/>
      <c r="E1650" s="178"/>
      <c r="F1650" s="178"/>
      <c r="G1650" s="340"/>
      <c r="H1650" s="340"/>
      <c r="I1650" s="179"/>
      <c r="J1650" s="344"/>
      <c r="K1650" s="345"/>
      <c r="L1650" s="346"/>
      <c r="M1650" s="347"/>
      <c r="N1650" s="347"/>
      <c r="O1650" s="132"/>
    </row>
    <row r="1651" spans="2:15" ht="26.25" customHeight="1" x14ac:dyDescent="0.25">
      <c r="B1651" s="130"/>
      <c r="C1651" s="135"/>
      <c r="D1651" s="177"/>
      <c r="E1651" s="178"/>
      <c r="F1651" s="178"/>
      <c r="G1651" s="340"/>
      <c r="H1651" s="340"/>
      <c r="I1651" s="179"/>
      <c r="J1651" s="344"/>
      <c r="K1651" s="345"/>
      <c r="L1651" s="346"/>
      <c r="M1651" s="347"/>
      <c r="N1651" s="347"/>
      <c r="O1651" s="132"/>
    </row>
    <row r="1652" spans="2:15" ht="26.25" customHeight="1" x14ac:dyDescent="0.25">
      <c r="B1652" s="130"/>
      <c r="C1652" s="135"/>
      <c r="D1652" s="177"/>
      <c r="E1652" s="178"/>
      <c r="F1652" s="178"/>
      <c r="G1652" s="340"/>
      <c r="H1652" s="340"/>
      <c r="I1652" s="179"/>
      <c r="J1652" s="344"/>
      <c r="K1652" s="345"/>
      <c r="L1652" s="346"/>
      <c r="M1652" s="347"/>
      <c r="N1652" s="347"/>
      <c r="O1652" s="132"/>
    </row>
    <row r="1653" spans="2:15" ht="26.25" customHeight="1" x14ac:dyDescent="0.25">
      <c r="B1653" s="130"/>
      <c r="C1653" s="135"/>
      <c r="D1653" s="177"/>
      <c r="E1653" s="178"/>
      <c r="F1653" s="178"/>
      <c r="G1653" s="340"/>
      <c r="H1653" s="340"/>
      <c r="I1653" s="179"/>
      <c r="J1653" s="344"/>
      <c r="K1653" s="345"/>
      <c r="L1653" s="346"/>
      <c r="M1653" s="347"/>
      <c r="N1653" s="347"/>
      <c r="O1653" s="132"/>
    </row>
    <row r="1654" spans="2:15" ht="26.25" customHeight="1" x14ac:dyDescent="0.25">
      <c r="B1654" s="130"/>
      <c r="C1654" s="135"/>
      <c r="D1654" s="177"/>
      <c r="E1654" s="178"/>
      <c r="F1654" s="178"/>
      <c r="G1654" s="340"/>
      <c r="H1654" s="340"/>
      <c r="I1654" s="179"/>
      <c r="J1654" s="344"/>
      <c r="K1654" s="345"/>
      <c r="L1654" s="346"/>
      <c r="M1654" s="347"/>
      <c r="N1654" s="347"/>
      <c r="O1654" s="132"/>
    </row>
    <row r="1655" spans="2:15" ht="26.25" customHeight="1" x14ac:dyDescent="0.25">
      <c r="B1655" s="130"/>
      <c r="C1655" s="135"/>
      <c r="D1655" s="177"/>
      <c r="E1655" s="178"/>
      <c r="F1655" s="178"/>
      <c r="G1655" s="340"/>
      <c r="H1655" s="340"/>
      <c r="I1655" s="179"/>
      <c r="J1655" s="344"/>
      <c r="K1655" s="345"/>
      <c r="L1655" s="346"/>
      <c r="M1655" s="347"/>
      <c r="N1655" s="347"/>
      <c r="O1655" s="132"/>
    </row>
    <row r="1656" spans="2:15" ht="26.25" customHeight="1" x14ac:dyDescent="0.25">
      <c r="B1656" s="130"/>
      <c r="C1656" s="135"/>
      <c r="D1656" s="177"/>
      <c r="E1656" s="178"/>
      <c r="F1656" s="178"/>
      <c r="G1656" s="340"/>
      <c r="H1656" s="340"/>
      <c r="I1656" s="179"/>
      <c r="J1656" s="344"/>
      <c r="K1656" s="345"/>
      <c r="L1656" s="346"/>
      <c r="M1656" s="347"/>
      <c r="N1656" s="347"/>
      <c r="O1656" s="132"/>
    </row>
    <row r="1657" spans="2:15" ht="26.25" customHeight="1" x14ac:dyDescent="0.25">
      <c r="B1657" s="130"/>
      <c r="C1657" s="135"/>
      <c r="D1657" s="177"/>
      <c r="E1657" s="178"/>
      <c r="F1657" s="178"/>
      <c r="G1657" s="340"/>
      <c r="H1657" s="340"/>
      <c r="I1657" s="179"/>
      <c r="J1657" s="344"/>
      <c r="K1657" s="345"/>
      <c r="L1657" s="346"/>
      <c r="M1657" s="347"/>
      <c r="N1657" s="347"/>
      <c r="O1657" s="132"/>
    </row>
    <row r="1658" spans="2:15" ht="26.25" customHeight="1" x14ac:dyDescent="0.25">
      <c r="B1658" s="130"/>
      <c r="C1658" s="135"/>
      <c r="D1658" s="177"/>
      <c r="E1658" s="178"/>
      <c r="F1658" s="178"/>
      <c r="G1658" s="340"/>
      <c r="H1658" s="340"/>
      <c r="I1658" s="179"/>
      <c r="J1658" s="344"/>
      <c r="K1658" s="345"/>
      <c r="L1658" s="346"/>
      <c r="M1658" s="347"/>
      <c r="N1658" s="347"/>
      <c r="O1658" s="132"/>
    </row>
    <row r="1659" spans="2:15" ht="26.25" customHeight="1" x14ac:dyDescent="0.25">
      <c r="B1659" s="130"/>
      <c r="C1659" s="135"/>
      <c r="D1659" s="177"/>
      <c r="E1659" s="178"/>
      <c r="F1659" s="178"/>
      <c r="G1659" s="340"/>
      <c r="H1659" s="340"/>
      <c r="I1659" s="179"/>
      <c r="J1659" s="344"/>
      <c r="K1659" s="345"/>
      <c r="L1659" s="346"/>
      <c r="M1659" s="347"/>
      <c r="N1659" s="347"/>
      <c r="O1659" s="132"/>
    </row>
    <row r="1660" spans="2:15" ht="26.25" customHeight="1" x14ac:dyDescent="0.25">
      <c r="B1660" s="130"/>
      <c r="C1660" s="135"/>
      <c r="D1660" s="177"/>
      <c r="E1660" s="178"/>
      <c r="F1660" s="178"/>
      <c r="G1660" s="340"/>
      <c r="H1660" s="340"/>
      <c r="I1660" s="179"/>
      <c r="J1660" s="344"/>
      <c r="K1660" s="345"/>
      <c r="L1660" s="346"/>
      <c r="M1660" s="347"/>
      <c r="N1660" s="347"/>
      <c r="O1660" s="132"/>
    </row>
    <row r="1661" spans="2:15" ht="26.25" customHeight="1" x14ac:dyDescent="0.25">
      <c r="B1661" s="130"/>
      <c r="C1661" s="135"/>
      <c r="D1661" s="177"/>
      <c r="E1661" s="178"/>
      <c r="F1661" s="178"/>
      <c r="G1661" s="340"/>
      <c r="H1661" s="340"/>
      <c r="I1661" s="179"/>
      <c r="J1661" s="344"/>
      <c r="K1661" s="345"/>
      <c r="L1661" s="346"/>
      <c r="M1661" s="347"/>
      <c r="N1661" s="347"/>
      <c r="O1661" s="132"/>
    </row>
    <row r="1662" spans="2:15" ht="26.25" customHeight="1" x14ac:dyDescent="0.25">
      <c r="B1662" s="130"/>
      <c r="C1662" s="135"/>
      <c r="D1662" s="177"/>
      <c r="E1662" s="178"/>
      <c r="F1662" s="178"/>
      <c r="G1662" s="340"/>
      <c r="H1662" s="340"/>
      <c r="I1662" s="179"/>
      <c r="J1662" s="344"/>
      <c r="K1662" s="345"/>
      <c r="L1662" s="346"/>
      <c r="M1662" s="347"/>
      <c r="N1662" s="347"/>
      <c r="O1662" s="132"/>
    </row>
    <row r="1663" spans="2:15" ht="26.25" customHeight="1" x14ac:dyDescent="0.25">
      <c r="B1663" s="130"/>
      <c r="C1663" s="135"/>
      <c r="D1663" s="177"/>
      <c r="E1663" s="178"/>
      <c r="F1663" s="178"/>
      <c r="G1663" s="340"/>
      <c r="H1663" s="340"/>
      <c r="I1663" s="179"/>
      <c r="J1663" s="344"/>
      <c r="K1663" s="345"/>
      <c r="L1663" s="346"/>
      <c r="M1663" s="347"/>
      <c r="N1663" s="347"/>
      <c r="O1663" s="132"/>
    </row>
    <row r="1664" spans="2:15" ht="26.25" customHeight="1" x14ac:dyDescent="0.25">
      <c r="B1664" s="130"/>
      <c r="C1664" s="135"/>
      <c r="D1664" s="177"/>
      <c r="E1664" s="178"/>
      <c r="F1664" s="178"/>
      <c r="G1664" s="340"/>
      <c r="H1664" s="340"/>
      <c r="I1664" s="179"/>
      <c r="J1664" s="344"/>
      <c r="K1664" s="345"/>
      <c r="L1664" s="346"/>
      <c r="M1664" s="347"/>
      <c r="N1664" s="347"/>
      <c r="O1664" s="132"/>
    </row>
    <row r="1665" spans="2:15" ht="26.25" customHeight="1" x14ac:dyDescent="0.25">
      <c r="B1665" s="130"/>
      <c r="C1665" s="135"/>
      <c r="D1665" s="177"/>
      <c r="E1665" s="178"/>
      <c r="F1665" s="178"/>
      <c r="G1665" s="340"/>
      <c r="H1665" s="340"/>
      <c r="I1665" s="179"/>
      <c r="J1665" s="344"/>
      <c r="K1665" s="345"/>
      <c r="L1665" s="346"/>
      <c r="M1665" s="347"/>
      <c r="N1665" s="347"/>
      <c r="O1665" s="132"/>
    </row>
    <row r="1666" spans="2:15" ht="26.25" customHeight="1" x14ac:dyDescent="0.25">
      <c r="B1666" s="130"/>
      <c r="C1666" s="135"/>
      <c r="D1666" s="177"/>
      <c r="E1666" s="178"/>
      <c r="F1666" s="178"/>
      <c r="G1666" s="340"/>
      <c r="H1666" s="340"/>
      <c r="I1666" s="179"/>
      <c r="J1666" s="344"/>
      <c r="K1666" s="345"/>
      <c r="L1666" s="346"/>
      <c r="M1666" s="347"/>
      <c r="N1666" s="347"/>
      <c r="O1666" s="132"/>
    </row>
    <row r="1667" spans="2:15" ht="26.25" customHeight="1" x14ac:dyDescent="0.25">
      <c r="B1667" s="130"/>
      <c r="C1667" s="135"/>
      <c r="D1667" s="177"/>
      <c r="E1667" s="178"/>
      <c r="F1667" s="178"/>
      <c r="G1667" s="340"/>
      <c r="H1667" s="340"/>
      <c r="I1667" s="179"/>
      <c r="J1667" s="344"/>
      <c r="K1667" s="345"/>
      <c r="L1667" s="346"/>
      <c r="M1667" s="347"/>
      <c r="N1667" s="347"/>
      <c r="O1667" s="132"/>
    </row>
    <row r="1668" spans="2:15" ht="26.25" customHeight="1" x14ac:dyDescent="0.25">
      <c r="B1668" s="130"/>
      <c r="C1668" s="135"/>
      <c r="D1668" s="177"/>
      <c r="E1668" s="178"/>
      <c r="F1668" s="178"/>
      <c r="G1668" s="340"/>
      <c r="H1668" s="340"/>
      <c r="I1668" s="179"/>
      <c r="J1668" s="344"/>
      <c r="K1668" s="345"/>
      <c r="L1668" s="346"/>
      <c r="M1668" s="347"/>
      <c r="N1668" s="347"/>
      <c r="O1668" s="132"/>
    </row>
    <row r="1669" spans="2:15" ht="26.25" customHeight="1" x14ac:dyDescent="0.25">
      <c r="B1669" s="130"/>
      <c r="C1669" s="135"/>
      <c r="D1669" s="177"/>
      <c r="E1669" s="178"/>
      <c r="F1669" s="178"/>
      <c r="G1669" s="340"/>
      <c r="H1669" s="340"/>
      <c r="I1669" s="179"/>
      <c r="J1669" s="344"/>
      <c r="K1669" s="345"/>
      <c r="L1669" s="346"/>
      <c r="M1669" s="347"/>
      <c r="N1669" s="347"/>
      <c r="O1669" s="132"/>
    </row>
    <row r="1670" spans="2:15" ht="26.25" customHeight="1" x14ac:dyDescent="0.25">
      <c r="B1670" s="130"/>
      <c r="C1670" s="135"/>
      <c r="D1670" s="177"/>
      <c r="E1670" s="178"/>
      <c r="F1670" s="178"/>
      <c r="G1670" s="340"/>
      <c r="H1670" s="340"/>
      <c r="I1670" s="179"/>
      <c r="J1670" s="344"/>
      <c r="K1670" s="345"/>
      <c r="L1670" s="346"/>
      <c r="M1670" s="347"/>
      <c r="N1670" s="347"/>
      <c r="O1670" s="132"/>
    </row>
    <row r="1671" spans="2:15" ht="26.25" customHeight="1" x14ac:dyDescent="0.25">
      <c r="B1671" s="130"/>
      <c r="C1671" s="135"/>
      <c r="D1671" s="177"/>
      <c r="E1671" s="178"/>
      <c r="F1671" s="178"/>
      <c r="G1671" s="340"/>
      <c r="H1671" s="340"/>
      <c r="I1671" s="179"/>
      <c r="J1671" s="344"/>
      <c r="K1671" s="345"/>
      <c r="L1671" s="346"/>
      <c r="M1671" s="347"/>
      <c r="N1671" s="347"/>
      <c r="O1671" s="132"/>
    </row>
    <row r="1672" spans="2:15" ht="26.25" customHeight="1" x14ac:dyDescent="0.25">
      <c r="B1672" s="130"/>
      <c r="C1672" s="135"/>
      <c r="D1672" s="177"/>
      <c r="E1672" s="178"/>
      <c r="F1672" s="178"/>
      <c r="G1672" s="340"/>
      <c r="H1672" s="340"/>
      <c r="I1672" s="179"/>
      <c r="J1672" s="344"/>
      <c r="K1672" s="345"/>
      <c r="L1672" s="346"/>
      <c r="M1672" s="347"/>
      <c r="N1672" s="347"/>
      <c r="O1672" s="132"/>
    </row>
    <row r="1673" spans="2:15" ht="26.25" customHeight="1" x14ac:dyDescent="0.25">
      <c r="B1673" s="130"/>
      <c r="C1673" s="135"/>
      <c r="D1673" s="177"/>
      <c r="E1673" s="178"/>
      <c r="F1673" s="178"/>
      <c r="G1673" s="340"/>
      <c r="H1673" s="340"/>
      <c r="I1673" s="179"/>
      <c r="J1673" s="344"/>
      <c r="K1673" s="345"/>
      <c r="L1673" s="346"/>
      <c r="M1673" s="347"/>
      <c r="N1673" s="347"/>
      <c r="O1673" s="132"/>
    </row>
    <row r="1674" spans="2:15" ht="26.25" customHeight="1" x14ac:dyDescent="0.25">
      <c r="B1674" s="130"/>
      <c r="C1674" s="135"/>
      <c r="D1674" s="177"/>
      <c r="E1674" s="178"/>
      <c r="F1674" s="178"/>
      <c r="G1674" s="340"/>
      <c r="H1674" s="340"/>
      <c r="I1674" s="179"/>
      <c r="J1674" s="344"/>
      <c r="K1674" s="345"/>
      <c r="L1674" s="346"/>
      <c r="M1674" s="347"/>
      <c r="N1674" s="347"/>
      <c r="O1674" s="132"/>
    </row>
    <row r="1675" spans="2:15" ht="26.25" customHeight="1" x14ac:dyDescent="0.25">
      <c r="B1675" s="130"/>
      <c r="C1675" s="135"/>
      <c r="D1675" s="177"/>
      <c r="E1675" s="178"/>
      <c r="F1675" s="178"/>
      <c r="G1675" s="340"/>
      <c r="H1675" s="340"/>
      <c r="I1675" s="179"/>
      <c r="J1675" s="344"/>
      <c r="K1675" s="345"/>
      <c r="L1675" s="346"/>
      <c r="M1675" s="347"/>
      <c r="N1675" s="347"/>
      <c r="O1675" s="132"/>
    </row>
    <row r="1676" spans="2:15" ht="26.25" customHeight="1" x14ac:dyDescent="0.25">
      <c r="B1676" s="130"/>
      <c r="C1676" s="135"/>
      <c r="D1676" s="177"/>
      <c r="E1676" s="178"/>
      <c r="F1676" s="178"/>
      <c r="G1676" s="340"/>
      <c r="H1676" s="340"/>
      <c r="I1676" s="179"/>
      <c r="J1676" s="344"/>
      <c r="K1676" s="345"/>
      <c r="L1676" s="346"/>
      <c r="M1676" s="347"/>
      <c r="N1676" s="347"/>
      <c r="O1676" s="132"/>
    </row>
    <row r="1677" spans="2:15" ht="26.25" customHeight="1" x14ac:dyDescent="0.25">
      <c r="B1677" s="130"/>
      <c r="C1677" s="135"/>
      <c r="D1677" s="177"/>
      <c r="E1677" s="178"/>
      <c r="F1677" s="178"/>
      <c r="G1677" s="340"/>
      <c r="H1677" s="340"/>
      <c r="I1677" s="179"/>
      <c r="J1677" s="344"/>
      <c r="K1677" s="345"/>
      <c r="L1677" s="346"/>
      <c r="M1677" s="347"/>
      <c r="N1677" s="347"/>
      <c r="O1677" s="132"/>
    </row>
    <row r="1678" spans="2:15" ht="26.25" customHeight="1" x14ac:dyDescent="0.25">
      <c r="B1678" s="130"/>
      <c r="C1678" s="135"/>
      <c r="D1678" s="177"/>
      <c r="E1678" s="178"/>
      <c r="F1678" s="178"/>
      <c r="G1678" s="340"/>
      <c r="H1678" s="340"/>
      <c r="I1678" s="179"/>
      <c r="J1678" s="344"/>
      <c r="K1678" s="345"/>
      <c r="L1678" s="346"/>
      <c r="M1678" s="347"/>
      <c r="N1678" s="347"/>
      <c r="O1678" s="132"/>
    </row>
    <row r="1679" spans="2:15" ht="26.25" customHeight="1" x14ac:dyDescent="0.25">
      <c r="B1679" s="130"/>
      <c r="C1679" s="135"/>
      <c r="D1679" s="177"/>
      <c r="E1679" s="178"/>
      <c r="F1679" s="178"/>
      <c r="G1679" s="340"/>
      <c r="H1679" s="340"/>
      <c r="I1679" s="179"/>
      <c r="J1679" s="344"/>
      <c r="K1679" s="345"/>
      <c r="L1679" s="346"/>
      <c r="M1679" s="347"/>
      <c r="N1679" s="347"/>
      <c r="O1679" s="132"/>
    </row>
    <row r="1680" spans="2:15" ht="26.25" customHeight="1" x14ac:dyDescent="0.25">
      <c r="B1680" s="130"/>
      <c r="C1680" s="135"/>
      <c r="D1680" s="177"/>
      <c r="E1680" s="178"/>
      <c r="F1680" s="178"/>
      <c r="G1680" s="340"/>
      <c r="H1680" s="340"/>
      <c r="I1680" s="179"/>
      <c r="J1680" s="344"/>
      <c r="K1680" s="345"/>
      <c r="L1680" s="346"/>
      <c r="M1680" s="347"/>
      <c r="N1680" s="347"/>
      <c r="O1680" s="132"/>
    </row>
    <row r="1681" spans="2:15" ht="26.25" customHeight="1" x14ac:dyDescent="0.25">
      <c r="B1681" s="130"/>
      <c r="C1681" s="135"/>
      <c r="D1681" s="177"/>
      <c r="E1681" s="178"/>
      <c r="F1681" s="178"/>
      <c r="G1681" s="340"/>
      <c r="H1681" s="340"/>
      <c r="I1681" s="179"/>
      <c r="J1681" s="344"/>
      <c r="K1681" s="345"/>
      <c r="L1681" s="346"/>
      <c r="M1681" s="347"/>
      <c r="N1681" s="347"/>
      <c r="O1681" s="132"/>
    </row>
    <row r="1682" spans="2:15" ht="26.25" customHeight="1" x14ac:dyDescent="0.25">
      <c r="B1682" s="130"/>
      <c r="C1682" s="135"/>
      <c r="D1682" s="177"/>
      <c r="E1682" s="178"/>
      <c r="F1682" s="178"/>
      <c r="G1682" s="340"/>
      <c r="H1682" s="340"/>
      <c r="I1682" s="179"/>
      <c r="J1682" s="344"/>
      <c r="K1682" s="345"/>
      <c r="L1682" s="346"/>
      <c r="M1682" s="347"/>
      <c r="N1682" s="347"/>
      <c r="O1682" s="132"/>
    </row>
    <row r="1683" spans="2:15" ht="26.25" customHeight="1" x14ac:dyDescent="0.25">
      <c r="B1683" s="130"/>
      <c r="C1683" s="135"/>
      <c r="D1683" s="177"/>
      <c r="E1683" s="178"/>
      <c r="F1683" s="178"/>
      <c r="G1683" s="340"/>
      <c r="H1683" s="340"/>
      <c r="I1683" s="179"/>
      <c r="J1683" s="344"/>
      <c r="K1683" s="345"/>
      <c r="L1683" s="346"/>
      <c r="M1683" s="347"/>
      <c r="N1683" s="347"/>
      <c r="O1683" s="132"/>
    </row>
    <row r="1684" spans="2:15" ht="26.25" customHeight="1" x14ac:dyDescent="0.25">
      <c r="B1684" s="130"/>
      <c r="C1684" s="135"/>
      <c r="D1684" s="177"/>
      <c r="E1684" s="178"/>
      <c r="F1684" s="178"/>
      <c r="G1684" s="340"/>
      <c r="H1684" s="340"/>
      <c r="I1684" s="179"/>
      <c r="J1684" s="344"/>
      <c r="K1684" s="345"/>
      <c r="L1684" s="346"/>
      <c r="M1684" s="347"/>
      <c r="N1684" s="347"/>
      <c r="O1684" s="132"/>
    </row>
    <row r="1685" spans="2:15" ht="26.25" customHeight="1" x14ac:dyDescent="0.25">
      <c r="B1685" s="130"/>
      <c r="C1685" s="135"/>
      <c r="D1685" s="177"/>
      <c r="E1685" s="178"/>
      <c r="F1685" s="178"/>
      <c r="G1685" s="340"/>
      <c r="H1685" s="340"/>
      <c r="I1685" s="179"/>
      <c r="J1685" s="344"/>
      <c r="K1685" s="345"/>
      <c r="L1685" s="346"/>
      <c r="M1685" s="347"/>
      <c r="N1685" s="347"/>
      <c r="O1685" s="132"/>
    </row>
    <row r="1686" spans="2:15" ht="26.25" customHeight="1" x14ac:dyDescent="0.25">
      <c r="B1686" s="130"/>
      <c r="C1686" s="135"/>
      <c r="D1686" s="177"/>
      <c r="E1686" s="178"/>
      <c r="F1686" s="178"/>
      <c r="G1686" s="340"/>
      <c r="H1686" s="340"/>
      <c r="I1686" s="179"/>
      <c r="J1686" s="344"/>
      <c r="K1686" s="345"/>
      <c r="L1686" s="346"/>
      <c r="M1686" s="347"/>
      <c r="N1686" s="347"/>
      <c r="O1686" s="132"/>
    </row>
    <row r="1687" spans="2:15" ht="26.25" customHeight="1" x14ac:dyDescent="0.25">
      <c r="B1687" s="130"/>
      <c r="C1687" s="135"/>
      <c r="D1687" s="177"/>
      <c r="E1687" s="178"/>
      <c r="F1687" s="178"/>
      <c r="G1687" s="340"/>
      <c r="H1687" s="340"/>
      <c r="I1687" s="179"/>
      <c r="J1687" s="344"/>
      <c r="K1687" s="345"/>
      <c r="L1687" s="346"/>
      <c r="M1687" s="347"/>
      <c r="N1687" s="347"/>
      <c r="O1687" s="132"/>
    </row>
    <row r="1688" spans="2:15" ht="26.25" customHeight="1" x14ac:dyDescent="0.25">
      <c r="B1688" s="130"/>
      <c r="C1688" s="135"/>
      <c r="D1688" s="177"/>
      <c r="E1688" s="178"/>
      <c r="F1688" s="178"/>
      <c r="G1688" s="340"/>
      <c r="H1688" s="340"/>
      <c r="I1688" s="179"/>
      <c r="J1688" s="344"/>
      <c r="K1688" s="345"/>
      <c r="L1688" s="346"/>
      <c r="M1688" s="347"/>
      <c r="N1688" s="347"/>
      <c r="O1688" s="132"/>
    </row>
    <row r="1689" spans="2:15" ht="26.25" customHeight="1" x14ac:dyDescent="0.25">
      <c r="B1689" s="130"/>
      <c r="C1689" s="135"/>
      <c r="D1689" s="177"/>
      <c r="E1689" s="178"/>
      <c r="F1689" s="178"/>
      <c r="G1689" s="340"/>
      <c r="H1689" s="340"/>
      <c r="I1689" s="179"/>
      <c r="J1689" s="344"/>
      <c r="K1689" s="345"/>
      <c r="L1689" s="346"/>
      <c r="M1689" s="347"/>
      <c r="N1689" s="347"/>
      <c r="O1689" s="132"/>
    </row>
    <row r="1690" spans="2:15" ht="26.25" customHeight="1" x14ac:dyDescent="0.25">
      <c r="B1690" s="130"/>
      <c r="C1690" s="135"/>
      <c r="D1690" s="177"/>
      <c r="E1690" s="178"/>
      <c r="F1690" s="178"/>
      <c r="G1690" s="340"/>
      <c r="H1690" s="340"/>
      <c r="I1690" s="179"/>
      <c r="J1690" s="344"/>
      <c r="K1690" s="345"/>
      <c r="L1690" s="346"/>
      <c r="M1690" s="347"/>
      <c r="N1690" s="347"/>
      <c r="O1690" s="132"/>
    </row>
    <row r="1691" spans="2:15" ht="26.25" customHeight="1" x14ac:dyDescent="0.25">
      <c r="B1691" s="130"/>
      <c r="C1691" s="135"/>
      <c r="D1691" s="177"/>
      <c r="E1691" s="178"/>
      <c r="F1691" s="178"/>
      <c r="G1691" s="340"/>
      <c r="H1691" s="340"/>
      <c r="I1691" s="179"/>
      <c r="J1691" s="344"/>
      <c r="K1691" s="345"/>
      <c r="L1691" s="346"/>
      <c r="M1691" s="347"/>
      <c r="N1691" s="347"/>
      <c r="O1691" s="132"/>
    </row>
    <row r="1692" spans="2:15" ht="26.25" customHeight="1" x14ac:dyDescent="0.25">
      <c r="B1692" s="130"/>
      <c r="C1692" s="135"/>
      <c r="D1692" s="177"/>
      <c r="E1692" s="178"/>
      <c r="F1692" s="178"/>
      <c r="G1692" s="340"/>
      <c r="H1692" s="340"/>
      <c r="I1692" s="179"/>
      <c r="J1692" s="344"/>
      <c r="K1692" s="345"/>
      <c r="L1692" s="346"/>
      <c r="M1692" s="347"/>
      <c r="N1692" s="347"/>
      <c r="O1692" s="132"/>
    </row>
    <row r="1693" spans="2:15" ht="26.25" customHeight="1" x14ac:dyDescent="0.25">
      <c r="B1693" s="130"/>
      <c r="C1693" s="135"/>
      <c r="D1693" s="177"/>
      <c r="E1693" s="178"/>
      <c r="F1693" s="178"/>
      <c r="G1693" s="340"/>
      <c r="H1693" s="340"/>
      <c r="I1693" s="179"/>
      <c r="J1693" s="344"/>
      <c r="K1693" s="345"/>
      <c r="L1693" s="346"/>
      <c r="M1693" s="347"/>
      <c r="N1693" s="347"/>
      <c r="O1693" s="132"/>
    </row>
    <row r="1694" spans="2:15" ht="26.25" customHeight="1" x14ac:dyDescent="0.25">
      <c r="B1694" s="130"/>
      <c r="C1694" s="135"/>
      <c r="D1694" s="177"/>
      <c r="E1694" s="178"/>
      <c r="F1694" s="178"/>
      <c r="G1694" s="340"/>
      <c r="H1694" s="340"/>
      <c r="I1694" s="179"/>
      <c r="J1694" s="344"/>
      <c r="K1694" s="345"/>
      <c r="L1694" s="346"/>
      <c r="M1694" s="347"/>
      <c r="N1694" s="347"/>
      <c r="O1694" s="132"/>
    </row>
    <row r="1695" spans="2:15" ht="26.25" customHeight="1" x14ac:dyDescent="0.25">
      <c r="B1695" s="130"/>
      <c r="C1695" s="135"/>
      <c r="D1695" s="177"/>
      <c r="E1695" s="178"/>
      <c r="F1695" s="178"/>
      <c r="G1695" s="340"/>
      <c r="H1695" s="340"/>
      <c r="I1695" s="179"/>
      <c r="J1695" s="344"/>
      <c r="K1695" s="345"/>
      <c r="L1695" s="346"/>
      <c r="M1695" s="347"/>
      <c r="N1695" s="347"/>
      <c r="O1695" s="132"/>
    </row>
    <row r="1696" spans="2:15" ht="26.25" customHeight="1" x14ac:dyDescent="0.25">
      <c r="B1696" s="130"/>
      <c r="C1696" s="135"/>
      <c r="D1696" s="177"/>
      <c r="E1696" s="178"/>
      <c r="F1696" s="178"/>
      <c r="G1696" s="340"/>
      <c r="H1696" s="340"/>
      <c r="I1696" s="179"/>
      <c r="J1696" s="344"/>
      <c r="K1696" s="345"/>
      <c r="L1696" s="346"/>
      <c r="M1696" s="347"/>
      <c r="N1696" s="347"/>
      <c r="O1696" s="132"/>
    </row>
    <row r="1697" spans="2:15" ht="26.25" customHeight="1" x14ac:dyDescent="0.25">
      <c r="B1697" s="130"/>
      <c r="C1697" s="135"/>
      <c r="D1697" s="177"/>
      <c r="E1697" s="178"/>
      <c r="F1697" s="178"/>
      <c r="G1697" s="340"/>
      <c r="H1697" s="340"/>
      <c r="I1697" s="179"/>
      <c r="J1697" s="344"/>
      <c r="K1697" s="345"/>
      <c r="L1697" s="346"/>
      <c r="M1697" s="347"/>
      <c r="N1697" s="347"/>
      <c r="O1697" s="132"/>
    </row>
    <row r="1698" spans="2:15" ht="26.25" customHeight="1" x14ac:dyDescent="0.25">
      <c r="B1698" s="130"/>
      <c r="C1698" s="135"/>
      <c r="D1698" s="177"/>
      <c r="E1698" s="178"/>
      <c r="F1698" s="178"/>
      <c r="G1698" s="340"/>
      <c r="H1698" s="340"/>
      <c r="I1698" s="179"/>
      <c r="J1698" s="344"/>
      <c r="K1698" s="345"/>
      <c r="L1698" s="346"/>
      <c r="M1698" s="347"/>
      <c r="N1698" s="347"/>
      <c r="O1698" s="132"/>
    </row>
    <row r="1699" spans="2:15" ht="26.25" customHeight="1" x14ac:dyDescent="0.25">
      <c r="B1699" s="130"/>
      <c r="C1699" s="135"/>
      <c r="D1699" s="177"/>
      <c r="E1699" s="178"/>
      <c r="F1699" s="178"/>
      <c r="G1699" s="340"/>
      <c r="H1699" s="340"/>
      <c r="I1699" s="179"/>
      <c r="J1699" s="344"/>
      <c r="K1699" s="345"/>
      <c r="L1699" s="346"/>
      <c r="M1699" s="347"/>
      <c r="N1699" s="347"/>
      <c r="O1699" s="132"/>
    </row>
    <row r="1700" spans="2:15" ht="26.25" customHeight="1" x14ac:dyDescent="0.25">
      <c r="B1700" s="130"/>
      <c r="C1700" s="135"/>
      <c r="D1700" s="177"/>
      <c r="E1700" s="178"/>
      <c r="F1700" s="178"/>
      <c r="G1700" s="340"/>
      <c r="H1700" s="340"/>
      <c r="I1700" s="179"/>
      <c r="J1700" s="344"/>
      <c r="K1700" s="345"/>
      <c r="L1700" s="346"/>
      <c r="M1700" s="347"/>
      <c r="N1700" s="347"/>
      <c r="O1700" s="132"/>
    </row>
    <row r="1701" spans="2:15" ht="26.25" customHeight="1" x14ac:dyDescent="0.25">
      <c r="B1701" s="130"/>
      <c r="C1701" s="135"/>
      <c r="D1701" s="177"/>
      <c r="E1701" s="178"/>
      <c r="F1701" s="178"/>
      <c r="G1701" s="340"/>
      <c r="H1701" s="340"/>
      <c r="I1701" s="179"/>
      <c r="J1701" s="344"/>
      <c r="K1701" s="345"/>
      <c r="L1701" s="346"/>
      <c r="M1701" s="347"/>
      <c r="N1701" s="347"/>
      <c r="O1701" s="132"/>
    </row>
    <row r="1702" spans="2:15" ht="26.25" customHeight="1" x14ac:dyDescent="0.25">
      <c r="B1702" s="130"/>
      <c r="C1702" s="135"/>
      <c r="D1702" s="177"/>
      <c r="E1702" s="178"/>
      <c r="F1702" s="178"/>
      <c r="G1702" s="340"/>
      <c r="H1702" s="340"/>
      <c r="I1702" s="179"/>
      <c r="J1702" s="344"/>
      <c r="K1702" s="345"/>
      <c r="L1702" s="346"/>
      <c r="M1702" s="347"/>
      <c r="N1702" s="347"/>
      <c r="O1702" s="132"/>
    </row>
    <row r="1703" spans="2:15" ht="26.25" customHeight="1" x14ac:dyDescent="0.25">
      <c r="B1703" s="130"/>
      <c r="C1703" s="135"/>
      <c r="D1703" s="177"/>
      <c r="E1703" s="178"/>
      <c r="F1703" s="178"/>
      <c r="G1703" s="340"/>
      <c r="H1703" s="340"/>
      <c r="I1703" s="179"/>
      <c r="J1703" s="344"/>
      <c r="K1703" s="345"/>
      <c r="L1703" s="346"/>
      <c r="M1703" s="347"/>
      <c r="N1703" s="347"/>
      <c r="O1703" s="132"/>
    </row>
    <row r="1704" spans="2:15" ht="26.25" customHeight="1" x14ac:dyDescent="0.25">
      <c r="B1704" s="130"/>
      <c r="C1704" s="135"/>
      <c r="D1704" s="177"/>
      <c r="E1704" s="178"/>
      <c r="F1704" s="178"/>
      <c r="G1704" s="340"/>
      <c r="H1704" s="340"/>
      <c r="I1704" s="179"/>
      <c r="J1704" s="344"/>
      <c r="K1704" s="345"/>
      <c r="L1704" s="346"/>
      <c r="M1704" s="347"/>
      <c r="N1704" s="347"/>
      <c r="O1704" s="132"/>
    </row>
    <row r="1705" spans="2:15" ht="26.25" customHeight="1" x14ac:dyDescent="0.25">
      <c r="B1705" s="130"/>
      <c r="C1705" s="135"/>
      <c r="D1705" s="177"/>
      <c r="E1705" s="178"/>
      <c r="F1705" s="178"/>
      <c r="G1705" s="340"/>
      <c r="H1705" s="340"/>
      <c r="I1705" s="179"/>
      <c r="J1705" s="344"/>
      <c r="K1705" s="345"/>
      <c r="L1705" s="346"/>
      <c r="M1705" s="347"/>
      <c r="N1705" s="347"/>
      <c r="O1705" s="132"/>
    </row>
    <row r="1706" spans="2:15" ht="26.25" customHeight="1" x14ac:dyDescent="0.25">
      <c r="B1706" s="130"/>
      <c r="C1706" s="135"/>
      <c r="D1706" s="177"/>
      <c r="E1706" s="178"/>
      <c r="F1706" s="178"/>
      <c r="G1706" s="340"/>
      <c r="H1706" s="340"/>
      <c r="I1706" s="179"/>
      <c r="J1706" s="344"/>
      <c r="K1706" s="345"/>
      <c r="L1706" s="346"/>
      <c r="M1706" s="347"/>
      <c r="N1706" s="347"/>
      <c r="O1706" s="132"/>
    </row>
    <row r="1707" spans="2:15" ht="26.25" customHeight="1" x14ac:dyDescent="0.25">
      <c r="B1707" s="130"/>
      <c r="C1707" s="135"/>
      <c r="D1707" s="177"/>
      <c r="E1707" s="178"/>
      <c r="F1707" s="178"/>
      <c r="G1707" s="340"/>
      <c r="H1707" s="340"/>
      <c r="I1707" s="179"/>
      <c r="J1707" s="344"/>
      <c r="K1707" s="345"/>
      <c r="L1707" s="346"/>
      <c r="M1707" s="347"/>
      <c r="N1707" s="347"/>
      <c r="O1707" s="132"/>
    </row>
    <row r="1708" spans="2:15" ht="26.25" customHeight="1" x14ac:dyDescent="0.25">
      <c r="B1708" s="130"/>
      <c r="C1708" s="135"/>
      <c r="D1708" s="177"/>
      <c r="E1708" s="178"/>
      <c r="F1708" s="178"/>
      <c r="G1708" s="340"/>
      <c r="H1708" s="340"/>
      <c r="I1708" s="179"/>
      <c r="J1708" s="344"/>
      <c r="K1708" s="345"/>
      <c r="L1708" s="346"/>
      <c r="M1708" s="347"/>
      <c r="N1708" s="347"/>
      <c r="O1708" s="132"/>
    </row>
    <row r="1709" spans="2:15" ht="26.25" customHeight="1" x14ac:dyDescent="0.25">
      <c r="B1709" s="130"/>
      <c r="C1709" s="135"/>
      <c r="D1709" s="177"/>
      <c r="E1709" s="178"/>
      <c r="F1709" s="178"/>
      <c r="G1709" s="340"/>
      <c r="H1709" s="340"/>
      <c r="I1709" s="179"/>
      <c r="J1709" s="344"/>
      <c r="K1709" s="345"/>
      <c r="L1709" s="346"/>
      <c r="M1709" s="347"/>
      <c r="N1709" s="347"/>
      <c r="O1709" s="132"/>
    </row>
    <row r="1710" spans="2:15" ht="26.25" customHeight="1" x14ac:dyDescent="0.25">
      <c r="B1710" s="130"/>
      <c r="C1710" s="135"/>
      <c r="D1710" s="177"/>
      <c r="E1710" s="178"/>
      <c r="F1710" s="178"/>
      <c r="G1710" s="340"/>
      <c r="H1710" s="340"/>
      <c r="I1710" s="179"/>
      <c r="J1710" s="344"/>
      <c r="K1710" s="345"/>
      <c r="L1710" s="346"/>
      <c r="M1710" s="347"/>
      <c r="N1710" s="347"/>
      <c r="O1710" s="132"/>
    </row>
    <row r="1711" spans="2:15" ht="26.25" customHeight="1" x14ac:dyDescent="0.25">
      <c r="B1711" s="130"/>
      <c r="C1711" s="135"/>
      <c r="D1711" s="177"/>
      <c r="E1711" s="178"/>
      <c r="F1711" s="178"/>
      <c r="G1711" s="340"/>
      <c r="H1711" s="340"/>
      <c r="I1711" s="179"/>
      <c r="J1711" s="344"/>
      <c r="K1711" s="345"/>
      <c r="L1711" s="346"/>
      <c r="M1711" s="347"/>
      <c r="N1711" s="347"/>
      <c r="O1711" s="132"/>
    </row>
    <row r="1712" spans="2:15" ht="26.25" customHeight="1" x14ac:dyDescent="0.25">
      <c r="B1712" s="130"/>
      <c r="C1712" s="135"/>
      <c r="D1712" s="177"/>
      <c r="E1712" s="178"/>
      <c r="F1712" s="178"/>
      <c r="G1712" s="340"/>
      <c r="H1712" s="340"/>
      <c r="I1712" s="179"/>
      <c r="J1712" s="344"/>
      <c r="K1712" s="345"/>
      <c r="L1712" s="346"/>
      <c r="M1712" s="347"/>
      <c r="N1712" s="347"/>
      <c r="O1712" s="132"/>
    </row>
    <row r="1713" spans="2:15" ht="26.25" customHeight="1" x14ac:dyDescent="0.25">
      <c r="B1713" s="130"/>
      <c r="C1713" s="135"/>
      <c r="D1713" s="177"/>
      <c r="E1713" s="178"/>
      <c r="F1713" s="178"/>
      <c r="G1713" s="340"/>
      <c r="H1713" s="340"/>
      <c r="I1713" s="179"/>
      <c r="J1713" s="344"/>
      <c r="K1713" s="345"/>
      <c r="L1713" s="346"/>
      <c r="M1713" s="347"/>
      <c r="N1713" s="347"/>
      <c r="O1713" s="132"/>
    </row>
    <row r="1714" spans="2:15" ht="26.25" customHeight="1" x14ac:dyDescent="0.25">
      <c r="B1714" s="130"/>
      <c r="C1714" s="135"/>
      <c r="D1714" s="177"/>
      <c r="E1714" s="178"/>
      <c r="F1714" s="178"/>
      <c r="G1714" s="340"/>
      <c r="H1714" s="340"/>
      <c r="I1714" s="179"/>
      <c r="J1714" s="344"/>
      <c r="K1714" s="345"/>
      <c r="L1714" s="346"/>
      <c r="M1714" s="347"/>
      <c r="N1714" s="347"/>
      <c r="O1714" s="132"/>
    </row>
    <row r="1715" spans="2:15" ht="26.25" customHeight="1" x14ac:dyDescent="0.25">
      <c r="B1715" s="130"/>
      <c r="C1715" s="135"/>
      <c r="D1715" s="177"/>
      <c r="E1715" s="178"/>
      <c r="F1715" s="178"/>
      <c r="G1715" s="340"/>
      <c r="H1715" s="340"/>
      <c r="I1715" s="179"/>
      <c r="J1715" s="344"/>
      <c r="K1715" s="345"/>
      <c r="L1715" s="346"/>
      <c r="M1715" s="347"/>
      <c r="N1715" s="347"/>
      <c r="O1715" s="132"/>
    </row>
    <row r="1716" spans="2:15" ht="26.25" customHeight="1" x14ac:dyDescent="0.25">
      <c r="B1716" s="130"/>
      <c r="C1716" s="135"/>
      <c r="D1716" s="177"/>
      <c r="E1716" s="178"/>
      <c r="F1716" s="178"/>
      <c r="G1716" s="340"/>
      <c r="H1716" s="340"/>
      <c r="I1716" s="179"/>
      <c r="J1716" s="344"/>
      <c r="K1716" s="345"/>
      <c r="L1716" s="346"/>
      <c r="M1716" s="347"/>
      <c r="N1716" s="347"/>
      <c r="O1716" s="132"/>
    </row>
    <row r="1717" spans="2:15" ht="26.25" customHeight="1" x14ac:dyDescent="0.25">
      <c r="B1717" s="130"/>
      <c r="C1717" s="135"/>
      <c r="D1717" s="177"/>
      <c r="E1717" s="178"/>
      <c r="F1717" s="178"/>
      <c r="G1717" s="340"/>
      <c r="H1717" s="340"/>
      <c r="I1717" s="179"/>
      <c r="J1717" s="344"/>
      <c r="K1717" s="345"/>
      <c r="L1717" s="346"/>
      <c r="M1717" s="347"/>
      <c r="N1717" s="347"/>
      <c r="O1717" s="132"/>
    </row>
    <row r="1718" spans="2:15" ht="26.25" customHeight="1" x14ac:dyDescent="0.25">
      <c r="B1718" s="130"/>
      <c r="C1718" s="135"/>
      <c r="D1718" s="177"/>
      <c r="E1718" s="178"/>
      <c r="F1718" s="178"/>
      <c r="G1718" s="340"/>
      <c r="H1718" s="340"/>
      <c r="I1718" s="179"/>
      <c r="J1718" s="344"/>
      <c r="K1718" s="345"/>
      <c r="L1718" s="346"/>
      <c r="M1718" s="347"/>
      <c r="N1718" s="347"/>
      <c r="O1718" s="132"/>
    </row>
    <row r="1719" spans="2:15" ht="26.25" customHeight="1" x14ac:dyDescent="0.25">
      <c r="B1719" s="130"/>
      <c r="C1719" s="135"/>
      <c r="D1719" s="177"/>
      <c r="E1719" s="178"/>
      <c r="F1719" s="178"/>
      <c r="G1719" s="340"/>
      <c r="H1719" s="340"/>
      <c r="I1719" s="179"/>
      <c r="J1719" s="344"/>
      <c r="K1719" s="345"/>
      <c r="L1719" s="346"/>
      <c r="M1719" s="347"/>
      <c r="N1719" s="347"/>
      <c r="O1719" s="132"/>
    </row>
    <row r="1720" spans="2:15" ht="26.25" customHeight="1" x14ac:dyDescent="0.25">
      <c r="B1720" s="130"/>
      <c r="C1720" s="135"/>
      <c r="D1720" s="177"/>
      <c r="E1720" s="178"/>
      <c r="F1720" s="178"/>
      <c r="G1720" s="340"/>
      <c r="H1720" s="340"/>
      <c r="I1720" s="179"/>
      <c r="J1720" s="344"/>
      <c r="K1720" s="345"/>
      <c r="L1720" s="346"/>
      <c r="M1720" s="347"/>
      <c r="N1720" s="347"/>
      <c r="O1720" s="132"/>
    </row>
    <row r="1721" spans="2:15" ht="26.25" customHeight="1" x14ac:dyDescent="0.25">
      <c r="B1721" s="130"/>
      <c r="C1721" s="135"/>
      <c r="D1721" s="177"/>
      <c r="E1721" s="178"/>
      <c r="F1721" s="178"/>
      <c r="G1721" s="340"/>
      <c r="H1721" s="340"/>
      <c r="I1721" s="179"/>
      <c r="J1721" s="344"/>
      <c r="K1721" s="345"/>
      <c r="L1721" s="346"/>
      <c r="M1721" s="347"/>
      <c r="N1721" s="347"/>
      <c r="O1721" s="132"/>
    </row>
    <row r="1722" spans="2:15" ht="26.25" customHeight="1" x14ac:dyDescent="0.25">
      <c r="B1722" s="130"/>
      <c r="C1722" s="135"/>
      <c r="D1722" s="177"/>
      <c r="E1722" s="178"/>
      <c r="F1722" s="178"/>
      <c r="G1722" s="340"/>
      <c r="H1722" s="340"/>
      <c r="I1722" s="179"/>
      <c r="J1722" s="344"/>
      <c r="K1722" s="345"/>
      <c r="L1722" s="346"/>
      <c r="M1722" s="347"/>
      <c r="N1722" s="347"/>
      <c r="O1722" s="132"/>
    </row>
    <row r="1723" spans="2:15" ht="26.25" customHeight="1" x14ac:dyDescent="0.25">
      <c r="B1723" s="130"/>
      <c r="C1723" s="135"/>
      <c r="D1723" s="177"/>
      <c r="E1723" s="178"/>
      <c r="F1723" s="178"/>
      <c r="G1723" s="340"/>
      <c r="H1723" s="340"/>
      <c r="I1723" s="179"/>
      <c r="J1723" s="344"/>
      <c r="K1723" s="345"/>
      <c r="L1723" s="346"/>
      <c r="M1723" s="347"/>
      <c r="N1723" s="347"/>
      <c r="O1723" s="132"/>
    </row>
    <row r="1724" spans="2:15" ht="26.25" customHeight="1" x14ac:dyDescent="0.25">
      <c r="B1724" s="130"/>
      <c r="C1724" s="135"/>
      <c r="D1724" s="177"/>
      <c r="E1724" s="178"/>
      <c r="F1724" s="178"/>
      <c r="G1724" s="340"/>
      <c r="H1724" s="340"/>
      <c r="I1724" s="179"/>
      <c r="J1724" s="344"/>
      <c r="K1724" s="345"/>
      <c r="L1724" s="346"/>
      <c r="M1724" s="347"/>
      <c r="N1724" s="347"/>
      <c r="O1724" s="132"/>
    </row>
    <row r="1725" spans="2:15" ht="26.25" customHeight="1" x14ac:dyDescent="0.25">
      <c r="B1725" s="130"/>
      <c r="C1725" s="135"/>
      <c r="D1725" s="177"/>
      <c r="E1725" s="178"/>
      <c r="F1725" s="178"/>
      <c r="G1725" s="340"/>
      <c r="H1725" s="340"/>
      <c r="I1725" s="179"/>
      <c r="J1725" s="344"/>
      <c r="K1725" s="345"/>
      <c r="L1725" s="346"/>
      <c r="M1725" s="347"/>
      <c r="N1725" s="347"/>
      <c r="O1725" s="132"/>
    </row>
    <row r="1726" spans="2:15" ht="26.25" customHeight="1" x14ac:dyDescent="0.25">
      <c r="B1726" s="130"/>
      <c r="C1726" s="135"/>
      <c r="D1726" s="177"/>
      <c r="E1726" s="178"/>
      <c r="F1726" s="178"/>
      <c r="G1726" s="340"/>
      <c r="H1726" s="340"/>
      <c r="I1726" s="179"/>
      <c r="J1726" s="344"/>
      <c r="K1726" s="345"/>
      <c r="L1726" s="346"/>
      <c r="M1726" s="347"/>
      <c r="N1726" s="347"/>
      <c r="O1726" s="132"/>
    </row>
    <row r="1727" spans="2:15" ht="26.25" customHeight="1" x14ac:dyDescent="0.25">
      <c r="B1727" s="130"/>
      <c r="C1727" s="135"/>
      <c r="D1727" s="177"/>
      <c r="E1727" s="178"/>
      <c r="F1727" s="178"/>
      <c r="G1727" s="340"/>
      <c r="H1727" s="340"/>
      <c r="I1727" s="179"/>
      <c r="J1727" s="344"/>
      <c r="K1727" s="345"/>
      <c r="L1727" s="346"/>
      <c r="M1727" s="347"/>
      <c r="N1727" s="347"/>
      <c r="O1727" s="132"/>
    </row>
    <row r="1728" spans="2:15" ht="26.25" customHeight="1" x14ac:dyDescent="0.25">
      <c r="B1728" s="130"/>
      <c r="C1728" s="135"/>
      <c r="D1728" s="177"/>
      <c r="E1728" s="178"/>
      <c r="F1728" s="178"/>
      <c r="G1728" s="340"/>
      <c r="H1728" s="340"/>
      <c r="I1728" s="179"/>
      <c r="J1728" s="344"/>
      <c r="K1728" s="345"/>
      <c r="L1728" s="346"/>
      <c r="M1728" s="347"/>
      <c r="N1728" s="347"/>
      <c r="O1728" s="132"/>
    </row>
    <row r="1729" spans="2:15" ht="26.25" customHeight="1" x14ac:dyDescent="0.25">
      <c r="B1729" s="130"/>
      <c r="C1729" s="135"/>
      <c r="D1729" s="177"/>
      <c r="E1729" s="178"/>
      <c r="F1729" s="178"/>
      <c r="G1729" s="340"/>
      <c r="H1729" s="340"/>
      <c r="I1729" s="179"/>
      <c r="J1729" s="344"/>
      <c r="K1729" s="345"/>
      <c r="L1729" s="346"/>
      <c r="M1729" s="347"/>
      <c r="N1729" s="347"/>
      <c r="O1729" s="132"/>
    </row>
    <row r="1730" spans="2:15" ht="26.25" customHeight="1" x14ac:dyDescent="0.25">
      <c r="B1730" s="130"/>
      <c r="C1730" s="135"/>
      <c r="D1730" s="177"/>
      <c r="E1730" s="178"/>
      <c r="F1730" s="178"/>
      <c r="G1730" s="340"/>
      <c r="H1730" s="340"/>
      <c r="I1730" s="179"/>
      <c r="J1730" s="344"/>
      <c r="K1730" s="345"/>
      <c r="L1730" s="346"/>
      <c r="M1730" s="347"/>
      <c r="N1730" s="347"/>
      <c r="O1730" s="132"/>
    </row>
    <row r="1731" spans="2:15" ht="26.25" customHeight="1" x14ac:dyDescent="0.25">
      <c r="B1731" s="130"/>
      <c r="C1731" s="135"/>
      <c r="D1731" s="177"/>
      <c r="E1731" s="178"/>
      <c r="F1731" s="178"/>
      <c r="G1731" s="340"/>
      <c r="H1731" s="340"/>
      <c r="I1731" s="179"/>
      <c r="J1731" s="344"/>
      <c r="K1731" s="345"/>
      <c r="L1731" s="346"/>
      <c r="M1731" s="347"/>
      <c r="N1731" s="347"/>
      <c r="O1731" s="132"/>
    </row>
    <row r="1732" spans="2:15" ht="26.25" customHeight="1" x14ac:dyDescent="0.25">
      <c r="B1732" s="130"/>
      <c r="C1732" s="135"/>
      <c r="D1732" s="177"/>
      <c r="E1732" s="178"/>
      <c r="F1732" s="178"/>
      <c r="G1732" s="340"/>
      <c r="H1732" s="340"/>
      <c r="I1732" s="179"/>
      <c r="J1732" s="344"/>
      <c r="K1732" s="345"/>
      <c r="L1732" s="346"/>
      <c r="M1732" s="347"/>
      <c r="N1732" s="347"/>
      <c r="O1732" s="132"/>
    </row>
    <row r="1733" spans="2:15" ht="26.25" customHeight="1" x14ac:dyDescent="0.25">
      <c r="B1733" s="130"/>
      <c r="C1733" s="135"/>
      <c r="D1733" s="177"/>
      <c r="E1733" s="178"/>
      <c r="F1733" s="178"/>
      <c r="G1733" s="340"/>
      <c r="H1733" s="340"/>
      <c r="I1733" s="179"/>
      <c r="J1733" s="344"/>
      <c r="K1733" s="345"/>
      <c r="L1733" s="346"/>
      <c r="M1733" s="347"/>
      <c r="N1733" s="347"/>
      <c r="O1733" s="132"/>
    </row>
    <row r="1734" spans="2:15" ht="26.25" customHeight="1" x14ac:dyDescent="0.25">
      <c r="B1734" s="130"/>
      <c r="C1734" s="135"/>
      <c r="D1734" s="177"/>
      <c r="E1734" s="178"/>
      <c r="F1734" s="178"/>
      <c r="G1734" s="340"/>
      <c r="H1734" s="340"/>
      <c r="I1734" s="179"/>
      <c r="J1734" s="344"/>
      <c r="K1734" s="345"/>
      <c r="L1734" s="346"/>
      <c r="M1734" s="347"/>
      <c r="N1734" s="347"/>
      <c r="O1734" s="132"/>
    </row>
    <row r="1735" spans="2:15" ht="26.25" customHeight="1" x14ac:dyDescent="0.25">
      <c r="B1735" s="130"/>
      <c r="C1735" s="135"/>
      <c r="D1735" s="177"/>
      <c r="E1735" s="178"/>
      <c r="F1735" s="178"/>
      <c r="G1735" s="340"/>
      <c r="H1735" s="340"/>
      <c r="I1735" s="179"/>
      <c r="J1735" s="344"/>
      <c r="K1735" s="345"/>
      <c r="L1735" s="346"/>
      <c r="M1735" s="347"/>
      <c r="N1735" s="347"/>
      <c r="O1735" s="132"/>
    </row>
    <row r="1736" spans="2:15" ht="26.25" customHeight="1" x14ac:dyDescent="0.25">
      <c r="B1736" s="130"/>
      <c r="C1736" s="135"/>
      <c r="D1736" s="177"/>
      <c r="E1736" s="178"/>
      <c r="F1736" s="178"/>
      <c r="G1736" s="340"/>
      <c r="H1736" s="340"/>
      <c r="I1736" s="179"/>
      <c r="J1736" s="344"/>
      <c r="K1736" s="345"/>
      <c r="L1736" s="346"/>
      <c r="M1736" s="347"/>
      <c r="N1736" s="347"/>
      <c r="O1736" s="132"/>
    </row>
    <row r="1737" spans="2:15" ht="26.25" customHeight="1" x14ac:dyDescent="0.25">
      <c r="B1737" s="130"/>
      <c r="C1737" s="135"/>
      <c r="D1737" s="177"/>
      <c r="E1737" s="178"/>
      <c r="F1737" s="178"/>
      <c r="G1737" s="340"/>
      <c r="H1737" s="340"/>
      <c r="I1737" s="179"/>
      <c r="J1737" s="344"/>
      <c r="K1737" s="345"/>
      <c r="L1737" s="346"/>
      <c r="M1737" s="347"/>
      <c r="N1737" s="347"/>
      <c r="O1737" s="132"/>
    </row>
    <row r="1738" spans="2:15" ht="26.25" customHeight="1" x14ac:dyDescent="0.25">
      <c r="B1738" s="130"/>
      <c r="C1738" s="135"/>
      <c r="D1738" s="177"/>
      <c r="E1738" s="178"/>
      <c r="F1738" s="178"/>
      <c r="G1738" s="340"/>
      <c r="H1738" s="340"/>
      <c r="I1738" s="179"/>
      <c r="J1738" s="344"/>
      <c r="K1738" s="345"/>
      <c r="L1738" s="346"/>
      <c r="M1738" s="347"/>
      <c r="N1738" s="347"/>
      <c r="O1738" s="132"/>
    </row>
    <row r="1739" spans="2:15" ht="26.25" customHeight="1" x14ac:dyDescent="0.25">
      <c r="B1739" s="130"/>
      <c r="C1739" s="135"/>
      <c r="D1739" s="177"/>
      <c r="E1739" s="178"/>
      <c r="F1739" s="178"/>
      <c r="G1739" s="340"/>
      <c r="H1739" s="340"/>
      <c r="I1739" s="179"/>
      <c r="J1739" s="344"/>
      <c r="K1739" s="345"/>
      <c r="L1739" s="346"/>
      <c r="M1739" s="347"/>
      <c r="N1739" s="347"/>
      <c r="O1739" s="132"/>
    </row>
    <row r="1740" spans="2:15" ht="26.25" customHeight="1" x14ac:dyDescent="0.25">
      <c r="B1740" s="130"/>
      <c r="C1740" s="135"/>
      <c r="D1740" s="177"/>
      <c r="E1740" s="178"/>
      <c r="F1740" s="178"/>
      <c r="G1740" s="340"/>
      <c r="H1740" s="340"/>
      <c r="I1740" s="179"/>
      <c r="J1740" s="344"/>
      <c r="K1740" s="345"/>
      <c r="L1740" s="346"/>
      <c r="M1740" s="347"/>
      <c r="N1740" s="347"/>
      <c r="O1740" s="132"/>
    </row>
    <row r="1741" spans="2:15" ht="26.25" customHeight="1" x14ac:dyDescent="0.25">
      <c r="B1741" s="130"/>
      <c r="C1741" s="135"/>
      <c r="D1741" s="177"/>
      <c r="E1741" s="178"/>
      <c r="F1741" s="178"/>
      <c r="G1741" s="340"/>
      <c r="H1741" s="340"/>
      <c r="I1741" s="179"/>
      <c r="J1741" s="344"/>
      <c r="K1741" s="345"/>
      <c r="L1741" s="346"/>
      <c r="M1741" s="347"/>
      <c r="N1741" s="347"/>
      <c r="O1741" s="132"/>
    </row>
    <row r="1742" spans="2:15" ht="26.25" customHeight="1" x14ac:dyDescent="0.25">
      <c r="B1742" s="130"/>
      <c r="C1742" s="135"/>
      <c r="D1742" s="177"/>
      <c r="E1742" s="178"/>
      <c r="F1742" s="178"/>
      <c r="G1742" s="340"/>
      <c r="H1742" s="340"/>
      <c r="I1742" s="179"/>
      <c r="J1742" s="344"/>
      <c r="K1742" s="345"/>
      <c r="L1742" s="346"/>
      <c r="M1742" s="347"/>
      <c r="N1742" s="347"/>
      <c r="O1742" s="132"/>
    </row>
    <row r="1743" spans="2:15" ht="26.25" customHeight="1" x14ac:dyDescent="0.25">
      <c r="B1743" s="130"/>
      <c r="C1743" s="135"/>
      <c r="D1743" s="177"/>
      <c r="E1743" s="178"/>
      <c r="F1743" s="178"/>
      <c r="G1743" s="340"/>
      <c r="H1743" s="340"/>
      <c r="I1743" s="179"/>
      <c r="J1743" s="344"/>
      <c r="K1743" s="345"/>
      <c r="L1743" s="346"/>
      <c r="M1743" s="347"/>
      <c r="N1743" s="347"/>
      <c r="O1743" s="132"/>
    </row>
    <row r="1744" spans="2:15" ht="26.25" customHeight="1" x14ac:dyDescent="0.25">
      <c r="B1744" s="130"/>
      <c r="C1744" s="135"/>
      <c r="D1744" s="177"/>
      <c r="E1744" s="178"/>
      <c r="F1744" s="178"/>
      <c r="G1744" s="340"/>
      <c r="H1744" s="340"/>
      <c r="I1744" s="179"/>
      <c r="J1744" s="344"/>
      <c r="K1744" s="345"/>
      <c r="L1744" s="346"/>
      <c r="M1744" s="347"/>
      <c r="N1744" s="347"/>
      <c r="O1744" s="132"/>
    </row>
    <row r="1745" spans="2:15" ht="26.25" customHeight="1" x14ac:dyDescent="0.25">
      <c r="B1745" s="130"/>
      <c r="C1745" s="135"/>
      <c r="D1745" s="177"/>
      <c r="E1745" s="178"/>
      <c r="F1745" s="178"/>
      <c r="G1745" s="340"/>
      <c r="H1745" s="340"/>
      <c r="I1745" s="179"/>
      <c r="J1745" s="344"/>
      <c r="K1745" s="345"/>
      <c r="L1745" s="346"/>
      <c r="M1745" s="347"/>
      <c r="N1745" s="347"/>
      <c r="O1745" s="132"/>
    </row>
    <row r="1746" spans="2:15" ht="26.25" customHeight="1" x14ac:dyDescent="0.25">
      <c r="B1746" s="130"/>
      <c r="C1746" s="135"/>
      <c r="D1746" s="177"/>
      <c r="E1746" s="178"/>
      <c r="F1746" s="178"/>
      <c r="G1746" s="340"/>
      <c r="H1746" s="340"/>
      <c r="I1746" s="179"/>
      <c r="J1746" s="344"/>
      <c r="K1746" s="345"/>
      <c r="L1746" s="346"/>
      <c r="M1746" s="347"/>
      <c r="N1746" s="347"/>
      <c r="O1746" s="132"/>
    </row>
    <row r="1747" spans="2:15" ht="26.25" customHeight="1" x14ac:dyDescent="0.25">
      <c r="B1747" s="130"/>
      <c r="C1747" s="135"/>
      <c r="D1747" s="177"/>
      <c r="E1747" s="178"/>
      <c r="F1747" s="178"/>
      <c r="G1747" s="340"/>
      <c r="H1747" s="340"/>
      <c r="I1747" s="179"/>
      <c r="J1747" s="344"/>
      <c r="K1747" s="345"/>
      <c r="L1747" s="346"/>
      <c r="M1747" s="347"/>
      <c r="N1747" s="347"/>
      <c r="O1747" s="132"/>
    </row>
    <row r="1748" spans="2:15" ht="26.25" customHeight="1" x14ac:dyDescent="0.25">
      <c r="B1748" s="130"/>
      <c r="C1748" s="135"/>
      <c r="D1748" s="177"/>
      <c r="E1748" s="178"/>
      <c r="F1748" s="178"/>
      <c r="G1748" s="340"/>
      <c r="H1748" s="340"/>
      <c r="I1748" s="179"/>
      <c r="J1748" s="344"/>
      <c r="K1748" s="345"/>
      <c r="L1748" s="346"/>
      <c r="M1748" s="347"/>
      <c r="N1748" s="347"/>
      <c r="O1748" s="132"/>
    </row>
    <row r="1749" spans="2:15" ht="26.25" customHeight="1" x14ac:dyDescent="0.25">
      <c r="B1749" s="130"/>
      <c r="C1749" s="135"/>
      <c r="D1749" s="177"/>
      <c r="E1749" s="178"/>
      <c r="F1749" s="178"/>
      <c r="G1749" s="340"/>
      <c r="H1749" s="340"/>
      <c r="I1749" s="179"/>
      <c r="J1749" s="344"/>
      <c r="K1749" s="345"/>
      <c r="L1749" s="346"/>
      <c r="M1749" s="347"/>
      <c r="N1749" s="347"/>
      <c r="O1749" s="132"/>
    </row>
    <row r="1750" spans="2:15" ht="26.25" customHeight="1" x14ac:dyDescent="0.25">
      <c r="B1750" s="130"/>
      <c r="C1750" s="135"/>
      <c r="D1750" s="177"/>
      <c r="E1750" s="178"/>
      <c r="F1750" s="178"/>
      <c r="G1750" s="340"/>
      <c r="H1750" s="340"/>
      <c r="I1750" s="179"/>
      <c r="J1750" s="344"/>
      <c r="K1750" s="345"/>
      <c r="L1750" s="346"/>
      <c r="M1750" s="347"/>
      <c r="N1750" s="347"/>
      <c r="O1750" s="132"/>
    </row>
    <row r="1751" spans="2:15" ht="26.25" customHeight="1" x14ac:dyDescent="0.25">
      <c r="B1751" s="130"/>
      <c r="C1751" s="135"/>
      <c r="D1751" s="177"/>
      <c r="E1751" s="178"/>
      <c r="F1751" s="178"/>
      <c r="G1751" s="340"/>
      <c r="H1751" s="340"/>
      <c r="I1751" s="179"/>
      <c r="J1751" s="344"/>
      <c r="K1751" s="345"/>
      <c r="L1751" s="346"/>
      <c r="M1751" s="347"/>
      <c r="N1751" s="347"/>
      <c r="O1751" s="132"/>
    </row>
    <row r="1752" spans="2:15" ht="26.25" customHeight="1" x14ac:dyDescent="0.25">
      <c r="B1752" s="130"/>
      <c r="C1752" s="135"/>
      <c r="D1752" s="177"/>
      <c r="E1752" s="178"/>
      <c r="F1752" s="178"/>
      <c r="G1752" s="340"/>
      <c r="H1752" s="340"/>
      <c r="I1752" s="179"/>
      <c r="J1752" s="344"/>
      <c r="K1752" s="345"/>
      <c r="L1752" s="346"/>
      <c r="M1752" s="347"/>
      <c r="N1752" s="347"/>
      <c r="O1752" s="132"/>
    </row>
    <row r="1753" spans="2:15" ht="26.25" customHeight="1" x14ac:dyDescent="0.25">
      <c r="B1753" s="130"/>
      <c r="C1753" s="135"/>
      <c r="D1753" s="177"/>
      <c r="E1753" s="178"/>
      <c r="F1753" s="178"/>
      <c r="G1753" s="340"/>
      <c r="H1753" s="340"/>
      <c r="I1753" s="179"/>
      <c r="J1753" s="344"/>
      <c r="K1753" s="345"/>
      <c r="L1753" s="346"/>
      <c r="M1753" s="347"/>
      <c r="N1753" s="347"/>
      <c r="O1753" s="132"/>
    </row>
    <row r="1754" spans="2:15" ht="26.25" customHeight="1" x14ac:dyDescent="0.25">
      <c r="B1754" s="130"/>
      <c r="C1754" s="135"/>
      <c r="D1754" s="177"/>
      <c r="E1754" s="178"/>
      <c r="F1754" s="178"/>
      <c r="G1754" s="340"/>
      <c r="H1754" s="340"/>
      <c r="I1754" s="179"/>
      <c r="J1754" s="344"/>
      <c r="K1754" s="345"/>
      <c r="L1754" s="346"/>
      <c r="M1754" s="347"/>
      <c r="N1754" s="347"/>
      <c r="O1754" s="132"/>
    </row>
    <row r="1755" spans="2:15" ht="26.25" customHeight="1" x14ac:dyDescent="0.25">
      <c r="B1755" s="130"/>
      <c r="C1755" s="135"/>
      <c r="D1755" s="177"/>
      <c r="E1755" s="178"/>
      <c r="F1755" s="178"/>
      <c r="G1755" s="340"/>
      <c r="H1755" s="340"/>
      <c r="I1755" s="179"/>
      <c r="J1755" s="344"/>
      <c r="K1755" s="345"/>
      <c r="L1755" s="346"/>
      <c r="M1755" s="347"/>
      <c r="N1755" s="347"/>
      <c r="O1755" s="132"/>
    </row>
    <row r="1756" spans="2:15" ht="26.25" customHeight="1" x14ac:dyDescent="0.25">
      <c r="B1756" s="130"/>
      <c r="C1756" s="135"/>
      <c r="D1756" s="177"/>
      <c r="E1756" s="178"/>
      <c r="F1756" s="178"/>
      <c r="G1756" s="340"/>
      <c r="H1756" s="340"/>
      <c r="I1756" s="179"/>
      <c r="J1756" s="344"/>
      <c r="K1756" s="345"/>
      <c r="L1756" s="346"/>
      <c r="M1756" s="347"/>
      <c r="N1756" s="347"/>
      <c r="O1756" s="132"/>
    </row>
    <row r="1757" spans="2:15" ht="26.25" customHeight="1" x14ac:dyDescent="0.25">
      <c r="B1757" s="130"/>
      <c r="C1757" s="135"/>
      <c r="D1757" s="177"/>
      <c r="E1757" s="178"/>
      <c r="F1757" s="178"/>
      <c r="G1757" s="340"/>
      <c r="H1757" s="340"/>
      <c r="I1757" s="179"/>
      <c r="J1757" s="344"/>
      <c r="K1757" s="345"/>
      <c r="L1757" s="346"/>
      <c r="M1757" s="347"/>
      <c r="N1757" s="347"/>
      <c r="O1757" s="132"/>
    </row>
    <row r="1758" spans="2:15" ht="26.25" customHeight="1" x14ac:dyDescent="0.25">
      <c r="B1758" s="130"/>
      <c r="C1758" s="135"/>
      <c r="D1758" s="177"/>
      <c r="E1758" s="178"/>
      <c r="F1758" s="178"/>
      <c r="G1758" s="340"/>
      <c r="H1758" s="340"/>
      <c r="I1758" s="179"/>
      <c r="J1758" s="344"/>
      <c r="K1758" s="345"/>
      <c r="L1758" s="346"/>
      <c r="M1758" s="347"/>
      <c r="N1758" s="347"/>
      <c r="O1758" s="132"/>
    </row>
    <row r="1759" spans="2:15" ht="26.25" customHeight="1" x14ac:dyDescent="0.25">
      <c r="B1759" s="130"/>
      <c r="C1759" s="135"/>
      <c r="D1759" s="177"/>
      <c r="E1759" s="178"/>
      <c r="F1759" s="178"/>
      <c r="G1759" s="340"/>
      <c r="H1759" s="340"/>
      <c r="I1759" s="179"/>
      <c r="J1759" s="344"/>
      <c r="K1759" s="345"/>
      <c r="L1759" s="346"/>
      <c r="M1759" s="347"/>
      <c r="N1759" s="347"/>
      <c r="O1759" s="132"/>
    </row>
    <row r="1760" spans="2:15" ht="26.25" customHeight="1" x14ac:dyDescent="0.25">
      <c r="B1760" s="130"/>
      <c r="C1760" s="135"/>
      <c r="D1760" s="177"/>
      <c r="E1760" s="178"/>
      <c r="F1760" s="178"/>
      <c r="G1760" s="340"/>
      <c r="H1760" s="340"/>
      <c r="I1760" s="179"/>
      <c r="J1760" s="344"/>
      <c r="K1760" s="345"/>
      <c r="L1760" s="346"/>
      <c r="M1760" s="347"/>
      <c r="N1760" s="347"/>
      <c r="O1760" s="132"/>
    </row>
    <row r="1761" spans="2:15" ht="26.25" customHeight="1" x14ac:dyDescent="0.25">
      <c r="B1761" s="130"/>
      <c r="C1761" s="135"/>
      <c r="D1761" s="177"/>
      <c r="E1761" s="178"/>
      <c r="F1761" s="178"/>
      <c r="G1761" s="340"/>
      <c r="H1761" s="340"/>
      <c r="I1761" s="179"/>
      <c r="J1761" s="344"/>
      <c r="K1761" s="345"/>
      <c r="L1761" s="346"/>
      <c r="M1761" s="347"/>
      <c r="N1761" s="347"/>
      <c r="O1761" s="132"/>
    </row>
    <row r="1762" spans="2:15" ht="26.25" customHeight="1" x14ac:dyDescent="0.25">
      <c r="B1762" s="130"/>
      <c r="C1762" s="135"/>
      <c r="D1762" s="177"/>
      <c r="E1762" s="178"/>
      <c r="F1762" s="178"/>
      <c r="G1762" s="340"/>
      <c r="H1762" s="340"/>
      <c r="I1762" s="179"/>
      <c r="J1762" s="344"/>
      <c r="K1762" s="345"/>
      <c r="L1762" s="346"/>
      <c r="M1762" s="347"/>
      <c r="N1762" s="347"/>
      <c r="O1762" s="132"/>
    </row>
    <row r="1763" spans="2:15" ht="26.25" customHeight="1" x14ac:dyDescent="0.25">
      <c r="B1763" s="130"/>
      <c r="C1763" s="135"/>
      <c r="D1763" s="177"/>
      <c r="E1763" s="178"/>
      <c r="F1763" s="178"/>
      <c r="G1763" s="340"/>
      <c r="H1763" s="340"/>
      <c r="I1763" s="179"/>
      <c r="J1763" s="344"/>
      <c r="K1763" s="345"/>
      <c r="L1763" s="346"/>
      <c r="M1763" s="347"/>
      <c r="N1763" s="347"/>
      <c r="O1763" s="132"/>
    </row>
    <row r="1764" spans="2:15" ht="26.25" customHeight="1" x14ac:dyDescent="0.25">
      <c r="B1764" s="130"/>
      <c r="C1764" s="135"/>
      <c r="D1764" s="177"/>
      <c r="E1764" s="178"/>
      <c r="F1764" s="178"/>
      <c r="G1764" s="340"/>
      <c r="H1764" s="340"/>
      <c r="I1764" s="179"/>
      <c r="J1764" s="344"/>
      <c r="K1764" s="345"/>
      <c r="L1764" s="346"/>
      <c r="M1764" s="347"/>
      <c r="N1764" s="347"/>
      <c r="O1764" s="132"/>
    </row>
    <row r="1765" spans="2:15" ht="26.25" customHeight="1" x14ac:dyDescent="0.25">
      <c r="B1765" s="130"/>
      <c r="C1765" s="135"/>
      <c r="D1765" s="177"/>
      <c r="E1765" s="178"/>
      <c r="F1765" s="178"/>
      <c r="G1765" s="340"/>
      <c r="H1765" s="340"/>
      <c r="I1765" s="179"/>
      <c r="J1765" s="344"/>
      <c r="K1765" s="345"/>
      <c r="L1765" s="346"/>
      <c r="M1765" s="347"/>
      <c r="N1765" s="347"/>
      <c r="O1765" s="132"/>
    </row>
    <row r="1766" spans="2:15" ht="26.25" customHeight="1" x14ac:dyDescent="0.25">
      <c r="B1766" s="130"/>
      <c r="C1766" s="135"/>
      <c r="D1766" s="177"/>
      <c r="E1766" s="178"/>
      <c r="F1766" s="178"/>
      <c r="G1766" s="340"/>
      <c r="H1766" s="340"/>
      <c r="I1766" s="179"/>
      <c r="J1766" s="344"/>
      <c r="K1766" s="345"/>
      <c r="L1766" s="346"/>
      <c r="M1766" s="347"/>
      <c r="N1766" s="347"/>
      <c r="O1766" s="132"/>
    </row>
    <row r="1767" spans="2:15" ht="26.25" customHeight="1" x14ac:dyDescent="0.25">
      <c r="B1767" s="130"/>
      <c r="C1767" s="135"/>
      <c r="D1767" s="177"/>
      <c r="E1767" s="178"/>
      <c r="F1767" s="178"/>
      <c r="G1767" s="340"/>
      <c r="H1767" s="340"/>
      <c r="I1767" s="179"/>
      <c r="J1767" s="344"/>
      <c r="K1767" s="345"/>
      <c r="L1767" s="346"/>
      <c r="M1767" s="347"/>
      <c r="N1767" s="347"/>
      <c r="O1767" s="132"/>
    </row>
    <row r="1768" spans="2:15" ht="26.25" customHeight="1" x14ac:dyDescent="0.25">
      <c r="B1768" s="130"/>
      <c r="C1768" s="135"/>
      <c r="D1768" s="177"/>
      <c r="E1768" s="178"/>
      <c r="F1768" s="178"/>
      <c r="G1768" s="340"/>
      <c r="H1768" s="340"/>
      <c r="I1768" s="179"/>
      <c r="J1768" s="344"/>
      <c r="K1768" s="345"/>
      <c r="L1768" s="346"/>
      <c r="M1768" s="347"/>
      <c r="N1768" s="347"/>
      <c r="O1768" s="132"/>
    </row>
    <row r="1769" spans="2:15" ht="26.25" customHeight="1" x14ac:dyDescent="0.25">
      <c r="B1769" s="130"/>
      <c r="C1769" s="135"/>
      <c r="D1769" s="177"/>
      <c r="E1769" s="178"/>
      <c r="F1769" s="178"/>
      <c r="G1769" s="340"/>
      <c r="H1769" s="340"/>
      <c r="I1769" s="179"/>
      <c r="J1769" s="344"/>
      <c r="K1769" s="345"/>
      <c r="L1769" s="346"/>
      <c r="M1769" s="347"/>
      <c r="N1769" s="347"/>
      <c r="O1769" s="132"/>
    </row>
    <row r="1770" spans="2:15" ht="26.25" customHeight="1" x14ac:dyDescent="0.25">
      <c r="B1770" s="130"/>
      <c r="C1770" s="135"/>
      <c r="D1770" s="177"/>
      <c r="E1770" s="178"/>
      <c r="F1770" s="178"/>
      <c r="G1770" s="340"/>
      <c r="H1770" s="340"/>
      <c r="I1770" s="179"/>
      <c r="J1770" s="344"/>
      <c r="K1770" s="345"/>
      <c r="L1770" s="346"/>
      <c r="M1770" s="347"/>
      <c r="N1770" s="347"/>
      <c r="O1770" s="132"/>
    </row>
    <row r="1771" spans="2:15" ht="26.25" customHeight="1" x14ac:dyDescent="0.25">
      <c r="B1771" s="130"/>
      <c r="C1771" s="135"/>
      <c r="D1771" s="177"/>
      <c r="E1771" s="178"/>
      <c r="F1771" s="178"/>
      <c r="G1771" s="340"/>
      <c r="H1771" s="340"/>
      <c r="I1771" s="179"/>
      <c r="J1771" s="344"/>
      <c r="K1771" s="345"/>
      <c r="L1771" s="346"/>
      <c r="M1771" s="347"/>
      <c r="N1771" s="347"/>
      <c r="O1771" s="132"/>
    </row>
    <row r="1772" spans="2:15" ht="26.25" customHeight="1" x14ac:dyDescent="0.25">
      <c r="B1772" s="130"/>
      <c r="C1772" s="135"/>
      <c r="D1772" s="177"/>
      <c r="E1772" s="178"/>
      <c r="F1772" s="178"/>
      <c r="G1772" s="340"/>
      <c r="H1772" s="340"/>
      <c r="I1772" s="179"/>
      <c r="J1772" s="344"/>
      <c r="K1772" s="345"/>
      <c r="L1772" s="346"/>
      <c r="M1772" s="347"/>
      <c r="N1772" s="347"/>
      <c r="O1772" s="132"/>
    </row>
    <row r="1773" spans="2:15" ht="26.25" customHeight="1" x14ac:dyDescent="0.25">
      <c r="B1773" s="130"/>
      <c r="C1773" s="135"/>
      <c r="D1773" s="177"/>
      <c r="E1773" s="178"/>
      <c r="F1773" s="178"/>
      <c r="G1773" s="340"/>
      <c r="H1773" s="340"/>
      <c r="I1773" s="179"/>
      <c r="J1773" s="344"/>
      <c r="K1773" s="345"/>
      <c r="L1773" s="346"/>
      <c r="M1773" s="347"/>
      <c r="N1773" s="347"/>
      <c r="O1773" s="132"/>
    </row>
    <row r="1774" spans="2:15" ht="26.25" customHeight="1" x14ac:dyDescent="0.25">
      <c r="B1774" s="130"/>
      <c r="C1774" s="135"/>
      <c r="D1774" s="177"/>
      <c r="E1774" s="178"/>
      <c r="F1774" s="178"/>
      <c r="G1774" s="340"/>
      <c r="H1774" s="340"/>
      <c r="I1774" s="179"/>
      <c r="J1774" s="344"/>
      <c r="K1774" s="345"/>
      <c r="L1774" s="346"/>
      <c r="M1774" s="347"/>
      <c r="N1774" s="347"/>
      <c r="O1774" s="132"/>
    </row>
    <row r="1775" spans="2:15" ht="26.25" customHeight="1" x14ac:dyDescent="0.25">
      <c r="B1775" s="130"/>
      <c r="C1775" s="135"/>
      <c r="D1775" s="177"/>
      <c r="E1775" s="178"/>
      <c r="F1775" s="178"/>
      <c r="G1775" s="340"/>
      <c r="H1775" s="340"/>
      <c r="I1775" s="179"/>
      <c r="J1775" s="344"/>
      <c r="K1775" s="345"/>
      <c r="L1775" s="346"/>
      <c r="M1775" s="347"/>
      <c r="N1775" s="347"/>
      <c r="O1775" s="132"/>
    </row>
    <row r="1776" spans="2:15" ht="26.25" customHeight="1" x14ac:dyDescent="0.25">
      <c r="B1776" s="130"/>
      <c r="C1776" s="135"/>
      <c r="D1776" s="177"/>
      <c r="E1776" s="178"/>
      <c r="F1776" s="178"/>
      <c r="G1776" s="340"/>
      <c r="H1776" s="340"/>
      <c r="I1776" s="179"/>
      <c r="J1776" s="344"/>
      <c r="K1776" s="345"/>
      <c r="L1776" s="346"/>
      <c r="M1776" s="347"/>
      <c r="N1776" s="347"/>
      <c r="O1776" s="132"/>
    </row>
    <row r="1777" spans="2:15" ht="26.25" customHeight="1" x14ac:dyDescent="0.25">
      <c r="B1777" s="130"/>
      <c r="C1777" s="135"/>
      <c r="D1777" s="177"/>
      <c r="E1777" s="178"/>
      <c r="F1777" s="178"/>
      <c r="G1777" s="340"/>
      <c r="H1777" s="340"/>
      <c r="I1777" s="179"/>
      <c r="J1777" s="344"/>
      <c r="K1777" s="345"/>
      <c r="L1777" s="346"/>
      <c r="M1777" s="347"/>
      <c r="N1777" s="347"/>
      <c r="O1777" s="132"/>
    </row>
    <row r="1778" spans="2:15" ht="26.25" customHeight="1" x14ac:dyDescent="0.25">
      <c r="B1778" s="130"/>
      <c r="C1778" s="135"/>
      <c r="D1778" s="177"/>
      <c r="E1778" s="178"/>
      <c r="F1778" s="178"/>
      <c r="G1778" s="340"/>
      <c r="H1778" s="340"/>
      <c r="I1778" s="179"/>
      <c r="J1778" s="344"/>
      <c r="K1778" s="345"/>
      <c r="L1778" s="346"/>
      <c r="M1778" s="347"/>
      <c r="N1778" s="347"/>
      <c r="O1778" s="132"/>
    </row>
    <row r="1779" spans="2:15" ht="26.25" customHeight="1" x14ac:dyDescent="0.25">
      <c r="B1779" s="130"/>
      <c r="C1779" s="135"/>
      <c r="D1779" s="177"/>
      <c r="E1779" s="178"/>
      <c r="F1779" s="178"/>
      <c r="G1779" s="340"/>
      <c r="H1779" s="340"/>
      <c r="I1779" s="179"/>
      <c r="J1779" s="344"/>
      <c r="K1779" s="345"/>
      <c r="L1779" s="346"/>
      <c r="M1779" s="347"/>
      <c r="N1779" s="347"/>
      <c r="O1779" s="132"/>
    </row>
    <row r="1780" spans="2:15" ht="26.25" customHeight="1" x14ac:dyDescent="0.25">
      <c r="B1780" s="130"/>
      <c r="C1780" s="135"/>
      <c r="D1780" s="177"/>
      <c r="E1780" s="178"/>
      <c r="F1780" s="178"/>
      <c r="G1780" s="340"/>
      <c r="H1780" s="340"/>
      <c r="I1780" s="179"/>
      <c r="J1780" s="344"/>
      <c r="K1780" s="345"/>
      <c r="L1780" s="346"/>
      <c r="M1780" s="347"/>
      <c r="N1780" s="347"/>
      <c r="O1780" s="132"/>
    </row>
    <row r="1781" spans="2:15" ht="26.25" customHeight="1" x14ac:dyDescent="0.25">
      <c r="B1781" s="130"/>
      <c r="C1781" s="135"/>
      <c r="D1781" s="177"/>
      <c r="E1781" s="178"/>
      <c r="F1781" s="178"/>
      <c r="G1781" s="340"/>
      <c r="H1781" s="340"/>
      <c r="I1781" s="179"/>
      <c r="J1781" s="344"/>
      <c r="K1781" s="345"/>
      <c r="L1781" s="346"/>
      <c r="M1781" s="347"/>
      <c r="N1781" s="347"/>
      <c r="O1781" s="132"/>
    </row>
    <row r="1782" spans="2:15" ht="26.25" customHeight="1" x14ac:dyDescent="0.25">
      <c r="B1782" s="130"/>
      <c r="C1782" s="135"/>
      <c r="D1782" s="177"/>
      <c r="E1782" s="178"/>
      <c r="F1782" s="178"/>
      <c r="G1782" s="340"/>
      <c r="H1782" s="340"/>
      <c r="I1782" s="179"/>
      <c r="J1782" s="344"/>
      <c r="K1782" s="345"/>
      <c r="L1782" s="346"/>
      <c r="M1782" s="347"/>
      <c r="N1782" s="347"/>
      <c r="O1782" s="132"/>
    </row>
    <row r="1783" spans="2:15" ht="26.25" customHeight="1" x14ac:dyDescent="0.25">
      <c r="B1783" s="130"/>
      <c r="C1783" s="135"/>
      <c r="D1783" s="177"/>
      <c r="E1783" s="178"/>
      <c r="F1783" s="178"/>
      <c r="G1783" s="340"/>
      <c r="H1783" s="340"/>
      <c r="I1783" s="179"/>
      <c r="J1783" s="344"/>
      <c r="K1783" s="345"/>
      <c r="L1783" s="346"/>
      <c r="M1783" s="347"/>
      <c r="N1783" s="347"/>
      <c r="O1783" s="132"/>
    </row>
    <row r="1784" spans="2:15" ht="26.25" customHeight="1" x14ac:dyDescent="0.25">
      <c r="B1784" s="130"/>
      <c r="C1784" s="135"/>
      <c r="D1784" s="177"/>
      <c r="E1784" s="178"/>
      <c r="F1784" s="178"/>
      <c r="G1784" s="340"/>
      <c r="H1784" s="340"/>
      <c r="I1784" s="179"/>
      <c r="J1784" s="344"/>
      <c r="K1784" s="345"/>
      <c r="L1784" s="346"/>
      <c r="M1784" s="347"/>
      <c r="N1784" s="347"/>
      <c r="O1784" s="132"/>
    </row>
    <row r="1785" spans="2:15" ht="26.25" customHeight="1" x14ac:dyDescent="0.25">
      <c r="B1785" s="130"/>
      <c r="C1785" s="135"/>
      <c r="D1785" s="177"/>
      <c r="E1785" s="178"/>
      <c r="F1785" s="178"/>
      <c r="G1785" s="340"/>
      <c r="H1785" s="340"/>
      <c r="I1785" s="179"/>
      <c r="J1785" s="344"/>
      <c r="K1785" s="345"/>
      <c r="L1785" s="346"/>
      <c r="M1785" s="347"/>
      <c r="N1785" s="347"/>
      <c r="O1785" s="132"/>
    </row>
    <row r="1786" spans="2:15" ht="26.25" customHeight="1" x14ac:dyDescent="0.25">
      <c r="B1786" s="130"/>
      <c r="C1786" s="135"/>
      <c r="D1786" s="177"/>
      <c r="E1786" s="178"/>
      <c r="F1786" s="178"/>
      <c r="G1786" s="340"/>
      <c r="H1786" s="340"/>
      <c r="I1786" s="179"/>
      <c r="J1786" s="344"/>
      <c r="K1786" s="345"/>
      <c r="L1786" s="346"/>
      <c r="M1786" s="347"/>
      <c r="N1786" s="347"/>
      <c r="O1786" s="132"/>
    </row>
    <row r="1787" spans="2:15" ht="26.25" customHeight="1" x14ac:dyDescent="0.25">
      <c r="B1787" s="130"/>
      <c r="C1787" s="135"/>
      <c r="D1787" s="177"/>
      <c r="E1787" s="178"/>
      <c r="F1787" s="178"/>
      <c r="G1787" s="340"/>
      <c r="H1787" s="340"/>
      <c r="I1787" s="179"/>
      <c r="J1787" s="344"/>
      <c r="K1787" s="345"/>
      <c r="L1787" s="346"/>
      <c r="M1787" s="347"/>
      <c r="N1787" s="347"/>
      <c r="O1787" s="132"/>
    </row>
    <row r="1788" spans="2:15" ht="26.25" customHeight="1" x14ac:dyDescent="0.25">
      <c r="B1788" s="130"/>
      <c r="C1788" s="135"/>
      <c r="D1788" s="177"/>
      <c r="E1788" s="178"/>
      <c r="F1788" s="178"/>
      <c r="G1788" s="340"/>
      <c r="H1788" s="340"/>
      <c r="I1788" s="179"/>
      <c r="J1788" s="344"/>
      <c r="K1788" s="345"/>
      <c r="L1788" s="346"/>
      <c r="M1788" s="347"/>
      <c r="N1788" s="347"/>
      <c r="O1788" s="132"/>
    </row>
    <row r="1789" spans="2:15" ht="26.25" customHeight="1" x14ac:dyDescent="0.25">
      <c r="B1789" s="130"/>
      <c r="C1789" s="135"/>
      <c r="D1789" s="177"/>
      <c r="E1789" s="178"/>
      <c r="F1789" s="178"/>
      <c r="G1789" s="340"/>
      <c r="H1789" s="340"/>
      <c r="I1789" s="179"/>
      <c r="J1789" s="344"/>
      <c r="K1789" s="345"/>
      <c r="L1789" s="346"/>
      <c r="M1789" s="347"/>
      <c r="N1789" s="347"/>
      <c r="O1789" s="132"/>
    </row>
    <row r="1790" spans="2:15" ht="26.25" customHeight="1" x14ac:dyDescent="0.25">
      <c r="B1790" s="130"/>
      <c r="C1790" s="135"/>
      <c r="D1790" s="177"/>
      <c r="E1790" s="178"/>
      <c r="F1790" s="178"/>
      <c r="G1790" s="340"/>
      <c r="H1790" s="340"/>
      <c r="I1790" s="179"/>
      <c r="J1790" s="344"/>
      <c r="K1790" s="345"/>
      <c r="L1790" s="346"/>
      <c r="M1790" s="347"/>
      <c r="N1790" s="347"/>
      <c r="O1790" s="132"/>
    </row>
    <row r="1791" spans="2:15" ht="26.25" customHeight="1" x14ac:dyDescent="0.25">
      <c r="B1791" s="130"/>
      <c r="C1791" s="135"/>
      <c r="D1791" s="177"/>
      <c r="E1791" s="178"/>
      <c r="F1791" s="178"/>
      <c r="G1791" s="340"/>
      <c r="H1791" s="340"/>
      <c r="I1791" s="179"/>
      <c r="J1791" s="344"/>
      <c r="K1791" s="345"/>
      <c r="L1791" s="346"/>
      <c r="M1791" s="347"/>
      <c r="N1791" s="347"/>
      <c r="O1791" s="132"/>
    </row>
    <row r="1792" spans="2:15" ht="26.25" customHeight="1" x14ac:dyDescent="0.25">
      <c r="B1792" s="130"/>
      <c r="C1792" s="135"/>
      <c r="D1792" s="177"/>
      <c r="E1792" s="178"/>
      <c r="F1792" s="178"/>
      <c r="G1792" s="340"/>
      <c r="H1792" s="340"/>
      <c r="I1792" s="179"/>
      <c r="J1792" s="344"/>
      <c r="K1792" s="345"/>
      <c r="L1792" s="346"/>
      <c r="M1792" s="347"/>
      <c r="N1792" s="347"/>
      <c r="O1792" s="132"/>
    </row>
    <row r="1793" spans="2:15" ht="26.25" customHeight="1" x14ac:dyDescent="0.25">
      <c r="B1793" s="130"/>
      <c r="C1793" s="135"/>
      <c r="D1793" s="177"/>
      <c r="E1793" s="178"/>
      <c r="F1793" s="178"/>
      <c r="G1793" s="340"/>
      <c r="H1793" s="340"/>
      <c r="I1793" s="179"/>
      <c r="J1793" s="344"/>
      <c r="K1793" s="345"/>
      <c r="L1793" s="346"/>
      <c r="M1793" s="347"/>
      <c r="N1793" s="347"/>
      <c r="O1793" s="132"/>
    </row>
    <row r="1794" spans="2:15" ht="26.25" customHeight="1" x14ac:dyDescent="0.25">
      <c r="B1794" s="130"/>
      <c r="C1794" s="135"/>
      <c r="D1794" s="177"/>
      <c r="E1794" s="178"/>
      <c r="F1794" s="178"/>
      <c r="G1794" s="340"/>
      <c r="H1794" s="340"/>
      <c r="I1794" s="179"/>
      <c r="J1794" s="344"/>
      <c r="K1794" s="345"/>
      <c r="L1794" s="346"/>
      <c r="M1794" s="347"/>
      <c r="N1794" s="347"/>
      <c r="O1794" s="132"/>
    </row>
    <row r="1795" spans="2:15" ht="26.25" customHeight="1" x14ac:dyDescent="0.25">
      <c r="B1795" s="130"/>
      <c r="C1795" s="135"/>
      <c r="D1795" s="177"/>
      <c r="E1795" s="178"/>
      <c r="F1795" s="178"/>
      <c r="G1795" s="340"/>
      <c r="H1795" s="340"/>
      <c r="I1795" s="179"/>
      <c r="J1795" s="344"/>
      <c r="K1795" s="345"/>
      <c r="L1795" s="346"/>
      <c r="M1795" s="347"/>
      <c r="N1795" s="347"/>
      <c r="O1795" s="132"/>
    </row>
    <row r="1796" spans="2:15" ht="26.25" customHeight="1" x14ac:dyDescent="0.25">
      <c r="B1796" s="130"/>
      <c r="C1796" s="135"/>
      <c r="D1796" s="177"/>
      <c r="E1796" s="178"/>
      <c r="F1796" s="178"/>
      <c r="G1796" s="340"/>
      <c r="H1796" s="340"/>
      <c r="I1796" s="179"/>
      <c r="J1796" s="344"/>
      <c r="K1796" s="345"/>
      <c r="L1796" s="346"/>
      <c r="M1796" s="347"/>
      <c r="N1796" s="347"/>
      <c r="O1796" s="132"/>
    </row>
    <row r="1797" spans="2:15" ht="26.25" customHeight="1" x14ac:dyDescent="0.25">
      <c r="B1797" s="130"/>
      <c r="C1797" s="135"/>
      <c r="D1797" s="177"/>
      <c r="E1797" s="178"/>
      <c r="F1797" s="178"/>
      <c r="G1797" s="340"/>
      <c r="H1797" s="340"/>
      <c r="I1797" s="179"/>
      <c r="J1797" s="344"/>
      <c r="K1797" s="345"/>
      <c r="L1797" s="346"/>
      <c r="M1797" s="347"/>
      <c r="N1797" s="347"/>
      <c r="O1797" s="132"/>
    </row>
    <row r="1798" spans="2:15" ht="26.25" customHeight="1" x14ac:dyDescent="0.25">
      <c r="B1798" s="130"/>
      <c r="C1798" s="135"/>
      <c r="D1798" s="177"/>
      <c r="E1798" s="178"/>
      <c r="F1798" s="178"/>
      <c r="G1798" s="340"/>
      <c r="H1798" s="340"/>
      <c r="I1798" s="179"/>
      <c r="J1798" s="344"/>
      <c r="K1798" s="345"/>
      <c r="L1798" s="346"/>
      <c r="M1798" s="347"/>
      <c r="N1798" s="347"/>
      <c r="O1798" s="132"/>
    </row>
    <row r="1799" spans="2:15" ht="26.25" customHeight="1" x14ac:dyDescent="0.25">
      <c r="B1799" s="130"/>
      <c r="C1799" s="135"/>
      <c r="D1799" s="177"/>
      <c r="E1799" s="178"/>
      <c r="F1799" s="178"/>
      <c r="G1799" s="340"/>
      <c r="H1799" s="340"/>
      <c r="I1799" s="179"/>
      <c r="J1799" s="344"/>
      <c r="K1799" s="345"/>
      <c r="L1799" s="346"/>
      <c r="M1799" s="347"/>
      <c r="N1799" s="347"/>
      <c r="O1799" s="132"/>
    </row>
    <row r="1800" spans="2:15" ht="26.25" customHeight="1" x14ac:dyDescent="0.25">
      <c r="B1800" s="130"/>
      <c r="C1800" s="135"/>
      <c r="D1800" s="177"/>
      <c r="E1800" s="178"/>
      <c r="F1800" s="178"/>
      <c r="G1800" s="340"/>
      <c r="H1800" s="340"/>
      <c r="I1800" s="179"/>
      <c r="J1800" s="344"/>
      <c r="K1800" s="345"/>
      <c r="L1800" s="346"/>
      <c r="M1800" s="347"/>
      <c r="N1800" s="347"/>
      <c r="O1800" s="132"/>
    </row>
    <row r="1801" spans="2:15" ht="26.25" customHeight="1" x14ac:dyDescent="0.25">
      <c r="B1801" s="130"/>
      <c r="C1801" s="135"/>
      <c r="D1801" s="177"/>
      <c r="E1801" s="178"/>
      <c r="F1801" s="178"/>
      <c r="G1801" s="340"/>
      <c r="H1801" s="340"/>
      <c r="I1801" s="179"/>
      <c r="J1801" s="344"/>
      <c r="K1801" s="345"/>
      <c r="L1801" s="346"/>
      <c r="M1801" s="347"/>
      <c r="N1801" s="347"/>
      <c r="O1801" s="132"/>
    </row>
    <row r="1802" spans="2:15" ht="26.25" customHeight="1" x14ac:dyDescent="0.25">
      <c r="B1802" s="130"/>
      <c r="C1802" s="135"/>
      <c r="D1802" s="177"/>
      <c r="E1802" s="178"/>
      <c r="F1802" s="178"/>
      <c r="G1802" s="340"/>
      <c r="H1802" s="340"/>
      <c r="I1802" s="179"/>
      <c r="J1802" s="344"/>
      <c r="K1802" s="345"/>
      <c r="L1802" s="346"/>
      <c r="M1802" s="347"/>
      <c r="N1802" s="347"/>
      <c r="O1802" s="132"/>
    </row>
    <row r="1803" spans="2:15" ht="26.25" customHeight="1" x14ac:dyDescent="0.25">
      <c r="B1803" s="130"/>
      <c r="C1803" s="135"/>
      <c r="D1803" s="177"/>
      <c r="E1803" s="178"/>
      <c r="F1803" s="178"/>
      <c r="G1803" s="340"/>
      <c r="H1803" s="340"/>
      <c r="I1803" s="179"/>
      <c r="J1803" s="344"/>
      <c r="K1803" s="345"/>
      <c r="L1803" s="346"/>
      <c r="M1803" s="347"/>
      <c r="N1803" s="347"/>
      <c r="O1803" s="132"/>
    </row>
    <row r="1804" spans="2:15" ht="26.25" customHeight="1" x14ac:dyDescent="0.25">
      <c r="B1804" s="130"/>
      <c r="C1804" s="135"/>
      <c r="D1804" s="177"/>
      <c r="E1804" s="178"/>
      <c r="F1804" s="178"/>
      <c r="G1804" s="340"/>
      <c r="H1804" s="340"/>
      <c r="I1804" s="179"/>
      <c r="J1804" s="344"/>
      <c r="K1804" s="345"/>
      <c r="L1804" s="346"/>
      <c r="M1804" s="347"/>
      <c r="N1804" s="347"/>
      <c r="O1804" s="132"/>
    </row>
    <row r="1805" spans="2:15" ht="26.25" customHeight="1" x14ac:dyDescent="0.25">
      <c r="B1805" s="130"/>
      <c r="C1805" s="135"/>
      <c r="D1805" s="177"/>
      <c r="E1805" s="178"/>
      <c r="F1805" s="178"/>
      <c r="G1805" s="340"/>
      <c r="H1805" s="340"/>
      <c r="I1805" s="179"/>
      <c r="J1805" s="344"/>
      <c r="K1805" s="345"/>
      <c r="L1805" s="346"/>
      <c r="M1805" s="347"/>
      <c r="N1805" s="347"/>
      <c r="O1805" s="132"/>
    </row>
    <row r="1806" spans="2:15" ht="26.25" customHeight="1" x14ac:dyDescent="0.25">
      <c r="B1806" s="130"/>
      <c r="C1806" s="135"/>
      <c r="D1806" s="177"/>
      <c r="E1806" s="178"/>
      <c r="F1806" s="178"/>
      <c r="G1806" s="340"/>
      <c r="H1806" s="340"/>
      <c r="I1806" s="179"/>
      <c r="J1806" s="344"/>
      <c r="K1806" s="345"/>
      <c r="L1806" s="346"/>
      <c r="M1806" s="347"/>
      <c r="N1806" s="347"/>
      <c r="O1806" s="132"/>
    </row>
    <row r="1807" spans="2:15" ht="26.25" customHeight="1" x14ac:dyDescent="0.25">
      <c r="B1807" s="130"/>
      <c r="C1807" s="135"/>
      <c r="D1807" s="177"/>
      <c r="E1807" s="178"/>
      <c r="F1807" s="178"/>
      <c r="G1807" s="340"/>
      <c r="H1807" s="340"/>
      <c r="I1807" s="179"/>
      <c r="J1807" s="344"/>
      <c r="K1807" s="345"/>
      <c r="L1807" s="346"/>
      <c r="M1807" s="347"/>
      <c r="N1807" s="347"/>
      <c r="O1807" s="132"/>
    </row>
    <row r="1808" spans="2:15" ht="26.25" customHeight="1" x14ac:dyDescent="0.25">
      <c r="B1808" s="130"/>
      <c r="C1808" s="135"/>
      <c r="D1808" s="177"/>
      <c r="E1808" s="178"/>
      <c r="F1808" s="178"/>
      <c r="G1808" s="340"/>
      <c r="H1808" s="340"/>
      <c r="I1808" s="179"/>
      <c r="J1808" s="344"/>
      <c r="K1808" s="345"/>
      <c r="L1808" s="346"/>
      <c r="M1808" s="347"/>
      <c r="N1808" s="347"/>
      <c r="O1808" s="132"/>
    </row>
    <row r="1809" spans="2:15" ht="26.25" customHeight="1" x14ac:dyDescent="0.25">
      <c r="B1809" s="130"/>
      <c r="C1809" s="135"/>
      <c r="D1809" s="177"/>
      <c r="E1809" s="178"/>
      <c r="F1809" s="178"/>
      <c r="G1809" s="340"/>
      <c r="H1809" s="340"/>
      <c r="I1809" s="179"/>
      <c r="J1809" s="344"/>
      <c r="K1809" s="345"/>
      <c r="L1809" s="346"/>
      <c r="M1809" s="347"/>
      <c r="N1809" s="347"/>
      <c r="O1809" s="132"/>
    </row>
    <row r="1810" spans="2:15" ht="26.25" customHeight="1" x14ac:dyDescent="0.25">
      <c r="B1810" s="130"/>
      <c r="C1810" s="135"/>
      <c r="D1810" s="177"/>
      <c r="E1810" s="178"/>
      <c r="F1810" s="178"/>
      <c r="G1810" s="340"/>
      <c r="H1810" s="340"/>
      <c r="I1810" s="179"/>
      <c r="J1810" s="344"/>
      <c r="K1810" s="345"/>
      <c r="L1810" s="346"/>
      <c r="M1810" s="347"/>
      <c r="N1810" s="347"/>
      <c r="O1810" s="132"/>
    </row>
    <row r="1811" spans="2:15" ht="26.25" customHeight="1" x14ac:dyDescent="0.25">
      <c r="B1811" s="130"/>
      <c r="C1811" s="135"/>
      <c r="D1811" s="177"/>
      <c r="E1811" s="178"/>
      <c r="F1811" s="178"/>
      <c r="G1811" s="340"/>
      <c r="H1811" s="340"/>
      <c r="I1811" s="179"/>
      <c r="J1811" s="344"/>
      <c r="K1811" s="345"/>
      <c r="L1811" s="346"/>
      <c r="M1811" s="347"/>
      <c r="N1811" s="347"/>
      <c r="O1811" s="132"/>
    </row>
    <row r="1812" spans="2:15" ht="26.25" customHeight="1" x14ac:dyDescent="0.25">
      <c r="B1812" s="130"/>
      <c r="C1812" s="135"/>
      <c r="D1812" s="177"/>
      <c r="E1812" s="178"/>
      <c r="F1812" s="178"/>
      <c r="G1812" s="340"/>
      <c r="H1812" s="340"/>
      <c r="I1812" s="179"/>
      <c r="J1812" s="344"/>
      <c r="K1812" s="345"/>
      <c r="L1812" s="346"/>
      <c r="M1812" s="347"/>
      <c r="N1812" s="347"/>
      <c r="O1812" s="132"/>
    </row>
    <row r="1813" spans="2:15" ht="26.25" customHeight="1" x14ac:dyDescent="0.25">
      <c r="B1813" s="130"/>
      <c r="C1813" s="135"/>
      <c r="D1813" s="177"/>
      <c r="E1813" s="178"/>
      <c r="F1813" s="178"/>
      <c r="G1813" s="340"/>
      <c r="H1813" s="340"/>
      <c r="I1813" s="179"/>
      <c r="J1813" s="344"/>
      <c r="K1813" s="345"/>
      <c r="L1813" s="346"/>
      <c r="M1813" s="347"/>
      <c r="N1813" s="347"/>
      <c r="O1813" s="132"/>
    </row>
    <row r="1814" spans="2:15" ht="26.25" customHeight="1" x14ac:dyDescent="0.25">
      <c r="B1814" s="130"/>
      <c r="C1814" s="135"/>
      <c r="D1814" s="177"/>
      <c r="E1814" s="178"/>
      <c r="F1814" s="178"/>
      <c r="G1814" s="340"/>
      <c r="H1814" s="340"/>
      <c r="I1814" s="179"/>
      <c r="J1814" s="344"/>
      <c r="K1814" s="345"/>
      <c r="L1814" s="346"/>
      <c r="M1814" s="347"/>
      <c r="N1814" s="347"/>
      <c r="O1814" s="132"/>
    </row>
    <row r="1815" spans="2:15" ht="26.25" customHeight="1" x14ac:dyDescent="0.25">
      <c r="B1815" s="130"/>
      <c r="C1815" s="135"/>
      <c r="D1815" s="177"/>
      <c r="E1815" s="178"/>
      <c r="F1815" s="178"/>
      <c r="G1815" s="340"/>
      <c r="H1815" s="340"/>
      <c r="I1815" s="179"/>
      <c r="J1815" s="344"/>
      <c r="K1815" s="345"/>
      <c r="L1815" s="346"/>
      <c r="M1815" s="347"/>
      <c r="N1815" s="347"/>
      <c r="O1815" s="132"/>
    </row>
    <row r="1816" spans="2:15" ht="26.25" customHeight="1" x14ac:dyDescent="0.25">
      <c r="B1816" s="130"/>
      <c r="C1816" s="135"/>
      <c r="D1816" s="177"/>
      <c r="E1816" s="178"/>
      <c r="F1816" s="178"/>
      <c r="G1816" s="340"/>
      <c r="H1816" s="340"/>
      <c r="I1816" s="179"/>
      <c r="J1816" s="344"/>
      <c r="K1816" s="345"/>
      <c r="L1816" s="346"/>
      <c r="M1816" s="347"/>
      <c r="N1816" s="347"/>
      <c r="O1816" s="132"/>
    </row>
    <row r="1817" spans="2:15" ht="26.25" customHeight="1" x14ac:dyDescent="0.25">
      <c r="B1817" s="130"/>
      <c r="C1817" s="135"/>
      <c r="D1817" s="177"/>
      <c r="E1817" s="178"/>
      <c r="F1817" s="178"/>
      <c r="G1817" s="340"/>
      <c r="H1817" s="340"/>
      <c r="I1817" s="179"/>
      <c r="J1817" s="344"/>
      <c r="K1817" s="345"/>
      <c r="L1817" s="346"/>
      <c r="M1817" s="347"/>
      <c r="N1817" s="347"/>
      <c r="O1817" s="132"/>
    </row>
    <row r="1818" spans="2:15" ht="26.25" customHeight="1" x14ac:dyDescent="0.25">
      <c r="B1818" s="130"/>
      <c r="C1818" s="135"/>
      <c r="D1818" s="177"/>
      <c r="E1818" s="178"/>
      <c r="F1818" s="178"/>
      <c r="G1818" s="340"/>
      <c r="H1818" s="340"/>
      <c r="I1818" s="179"/>
      <c r="J1818" s="344"/>
      <c r="K1818" s="345"/>
      <c r="L1818" s="346"/>
      <c r="M1818" s="347"/>
      <c r="N1818" s="347"/>
      <c r="O1818" s="132"/>
    </row>
    <row r="1819" spans="2:15" ht="26.25" customHeight="1" x14ac:dyDescent="0.25">
      <c r="B1819" s="130"/>
      <c r="C1819" s="135"/>
      <c r="D1819" s="177"/>
      <c r="E1819" s="178"/>
      <c r="F1819" s="178"/>
      <c r="G1819" s="340"/>
      <c r="H1819" s="340"/>
      <c r="I1819" s="179"/>
      <c r="J1819" s="344"/>
      <c r="K1819" s="345"/>
      <c r="L1819" s="346"/>
      <c r="M1819" s="347"/>
      <c r="N1819" s="347"/>
      <c r="O1819" s="132"/>
    </row>
    <row r="1820" spans="2:15" ht="26.25" customHeight="1" x14ac:dyDescent="0.25">
      <c r="B1820" s="130"/>
      <c r="C1820" s="135"/>
      <c r="D1820" s="177"/>
      <c r="E1820" s="178"/>
      <c r="F1820" s="178"/>
      <c r="G1820" s="340"/>
      <c r="H1820" s="340"/>
      <c r="I1820" s="179"/>
      <c r="J1820" s="344"/>
      <c r="K1820" s="345"/>
      <c r="L1820" s="346"/>
      <c r="M1820" s="347"/>
      <c r="N1820" s="347"/>
      <c r="O1820" s="132"/>
    </row>
    <row r="1821" spans="2:15" ht="26.25" customHeight="1" x14ac:dyDescent="0.25">
      <c r="B1821" s="130"/>
      <c r="C1821" s="135"/>
      <c r="D1821" s="177"/>
      <c r="E1821" s="178"/>
      <c r="F1821" s="178"/>
      <c r="G1821" s="340"/>
      <c r="H1821" s="340"/>
      <c r="I1821" s="179"/>
      <c r="J1821" s="344"/>
      <c r="K1821" s="345"/>
      <c r="L1821" s="346"/>
      <c r="M1821" s="347"/>
      <c r="N1821" s="347"/>
      <c r="O1821" s="132"/>
    </row>
    <row r="1822" spans="2:15" ht="26.25" customHeight="1" x14ac:dyDescent="0.25">
      <c r="B1822" s="130"/>
      <c r="C1822" s="135"/>
      <c r="D1822" s="177"/>
      <c r="E1822" s="178"/>
      <c r="F1822" s="178"/>
      <c r="G1822" s="340"/>
      <c r="H1822" s="340"/>
      <c r="I1822" s="179"/>
      <c r="J1822" s="344"/>
      <c r="K1822" s="345"/>
      <c r="L1822" s="346"/>
      <c r="M1822" s="347"/>
      <c r="N1822" s="347"/>
      <c r="O1822" s="132"/>
    </row>
    <row r="1823" spans="2:15" ht="26.25" customHeight="1" x14ac:dyDescent="0.25">
      <c r="B1823" s="130"/>
      <c r="C1823" s="135"/>
      <c r="D1823" s="177"/>
      <c r="E1823" s="178"/>
      <c r="F1823" s="178"/>
      <c r="G1823" s="340"/>
      <c r="H1823" s="340"/>
      <c r="I1823" s="179"/>
      <c r="J1823" s="344"/>
      <c r="K1823" s="345"/>
      <c r="L1823" s="346"/>
      <c r="M1823" s="347"/>
      <c r="N1823" s="347"/>
      <c r="O1823" s="132"/>
    </row>
    <row r="1824" spans="2:15" ht="26.25" customHeight="1" x14ac:dyDescent="0.25">
      <c r="B1824" s="130"/>
      <c r="C1824" s="135"/>
      <c r="D1824" s="177"/>
      <c r="E1824" s="178"/>
      <c r="F1824" s="178"/>
      <c r="G1824" s="340"/>
      <c r="H1824" s="340"/>
      <c r="I1824" s="179"/>
      <c r="J1824" s="344"/>
      <c r="K1824" s="345"/>
      <c r="L1824" s="346"/>
      <c r="M1824" s="347"/>
      <c r="N1824" s="347"/>
      <c r="O1824" s="132"/>
    </row>
    <row r="1825" spans="2:15" ht="26.25" customHeight="1" x14ac:dyDescent="0.25">
      <c r="B1825" s="130"/>
      <c r="C1825" s="135"/>
      <c r="D1825" s="177"/>
      <c r="E1825" s="178"/>
      <c r="F1825" s="178"/>
      <c r="G1825" s="340"/>
      <c r="H1825" s="340"/>
      <c r="I1825" s="179"/>
      <c r="J1825" s="344"/>
      <c r="K1825" s="345"/>
      <c r="L1825" s="346"/>
      <c r="M1825" s="347"/>
      <c r="N1825" s="347"/>
      <c r="O1825" s="132"/>
    </row>
    <row r="1826" spans="2:15" ht="26.25" customHeight="1" x14ac:dyDescent="0.25">
      <c r="B1826" s="130"/>
      <c r="C1826" s="135"/>
      <c r="D1826" s="177"/>
      <c r="E1826" s="178"/>
      <c r="F1826" s="178"/>
      <c r="G1826" s="340"/>
      <c r="H1826" s="340"/>
      <c r="I1826" s="179"/>
      <c r="J1826" s="344"/>
      <c r="K1826" s="345"/>
      <c r="L1826" s="346"/>
      <c r="M1826" s="347"/>
      <c r="N1826" s="347"/>
      <c r="O1826" s="132"/>
    </row>
    <row r="1827" spans="2:15" ht="26.25" customHeight="1" x14ac:dyDescent="0.25">
      <c r="B1827" s="130"/>
      <c r="C1827" s="135"/>
      <c r="D1827" s="177"/>
      <c r="E1827" s="178"/>
      <c r="F1827" s="178"/>
      <c r="G1827" s="340"/>
      <c r="H1827" s="340"/>
      <c r="I1827" s="179"/>
      <c r="J1827" s="344"/>
      <c r="K1827" s="345"/>
      <c r="L1827" s="346"/>
      <c r="M1827" s="347"/>
      <c r="N1827" s="347"/>
      <c r="O1827" s="132"/>
    </row>
    <row r="1828" spans="2:15" ht="26.25" customHeight="1" x14ac:dyDescent="0.25">
      <c r="B1828" s="130"/>
      <c r="C1828" s="135"/>
      <c r="D1828" s="177"/>
      <c r="E1828" s="178"/>
      <c r="F1828" s="178"/>
      <c r="G1828" s="340"/>
      <c r="H1828" s="340"/>
      <c r="I1828" s="179"/>
      <c r="J1828" s="344"/>
      <c r="K1828" s="345"/>
      <c r="L1828" s="346"/>
      <c r="M1828" s="347"/>
      <c r="N1828" s="347"/>
      <c r="O1828" s="132"/>
    </row>
    <row r="1829" spans="2:15" ht="26.25" customHeight="1" x14ac:dyDescent="0.25">
      <c r="B1829" s="130"/>
      <c r="C1829" s="135"/>
      <c r="D1829" s="177"/>
      <c r="E1829" s="178"/>
      <c r="F1829" s="178"/>
      <c r="G1829" s="340"/>
      <c r="H1829" s="340"/>
      <c r="I1829" s="179"/>
      <c r="J1829" s="344"/>
      <c r="K1829" s="345"/>
      <c r="L1829" s="346"/>
      <c r="M1829" s="347"/>
      <c r="N1829" s="347"/>
      <c r="O1829" s="132"/>
    </row>
    <row r="1830" spans="2:15" ht="26.25" customHeight="1" x14ac:dyDescent="0.25">
      <c r="B1830" s="130"/>
      <c r="C1830" s="135"/>
      <c r="D1830" s="177"/>
      <c r="E1830" s="178"/>
      <c r="F1830" s="178"/>
      <c r="G1830" s="340"/>
      <c r="H1830" s="340"/>
      <c r="I1830" s="179"/>
      <c r="J1830" s="344"/>
      <c r="K1830" s="345"/>
      <c r="L1830" s="346"/>
      <c r="M1830" s="347"/>
      <c r="N1830" s="347"/>
      <c r="O1830" s="132"/>
    </row>
    <row r="1831" spans="2:15" ht="26.25" customHeight="1" x14ac:dyDescent="0.25">
      <c r="B1831" s="130"/>
      <c r="C1831" s="135"/>
      <c r="D1831" s="177"/>
      <c r="E1831" s="178"/>
      <c r="F1831" s="178"/>
      <c r="G1831" s="340"/>
      <c r="H1831" s="340"/>
      <c r="I1831" s="179"/>
      <c r="J1831" s="344"/>
      <c r="K1831" s="345"/>
      <c r="L1831" s="346"/>
      <c r="M1831" s="347"/>
      <c r="N1831" s="347"/>
      <c r="O1831" s="132"/>
    </row>
    <row r="1832" spans="2:15" ht="26.25" customHeight="1" x14ac:dyDescent="0.25">
      <c r="B1832" s="130"/>
      <c r="C1832" s="135"/>
      <c r="D1832" s="177"/>
      <c r="E1832" s="178"/>
      <c r="F1832" s="178"/>
      <c r="G1832" s="340"/>
      <c r="H1832" s="340"/>
      <c r="I1832" s="179"/>
      <c r="J1832" s="344"/>
      <c r="K1832" s="345"/>
      <c r="L1832" s="346"/>
      <c r="M1832" s="347"/>
      <c r="N1832" s="347"/>
      <c r="O1832" s="132"/>
    </row>
    <row r="1833" spans="2:15" ht="26.25" customHeight="1" x14ac:dyDescent="0.25">
      <c r="B1833" s="130"/>
      <c r="C1833" s="135"/>
      <c r="D1833" s="177"/>
      <c r="E1833" s="178"/>
      <c r="F1833" s="178"/>
      <c r="G1833" s="340"/>
      <c r="H1833" s="340"/>
      <c r="I1833" s="179"/>
      <c r="J1833" s="344"/>
      <c r="K1833" s="345"/>
      <c r="L1833" s="346"/>
      <c r="M1833" s="347"/>
      <c r="N1833" s="347"/>
      <c r="O1833" s="132"/>
    </row>
    <row r="1834" spans="2:15" ht="26.25" customHeight="1" x14ac:dyDescent="0.25">
      <c r="B1834" s="130"/>
      <c r="C1834" s="135"/>
      <c r="D1834" s="177"/>
      <c r="E1834" s="178"/>
      <c r="F1834" s="178"/>
      <c r="G1834" s="340"/>
      <c r="H1834" s="340"/>
      <c r="I1834" s="179"/>
      <c r="J1834" s="344"/>
      <c r="K1834" s="345"/>
      <c r="L1834" s="346"/>
      <c r="M1834" s="347"/>
      <c r="N1834" s="347"/>
      <c r="O1834" s="132"/>
    </row>
    <row r="1835" spans="2:15" ht="26.25" customHeight="1" x14ac:dyDescent="0.25">
      <c r="B1835" s="130"/>
      <c r="C1835" s="135"/>
      <c r="D1835" s="177"/>
      <c r="E1835" s="178"/>
      <c r="F1835" s="178"/>
      <c r="G1835" s="340"/>
      <c r="H1835" s="340"/>
      <c r="I1835" s="179"/>
      <c r="J1835" s="344"/>
      <c r="K1835" s="345"/>
      <c r="L1835" s="346"/>
      <c r="M1835" s="347"/>
      <c r="N1835" s="347"/>
      <c r="O1835" s="132"/>
    </row>
    <row r="1836" spans="2:15" ht="26.25" customHeight="1" x14ac:dyDescent="0.25">
      <c r="B1836" s="130"/>
      <c r="C1836" s="135"/>
      <c r="D1836" s="177"/>
      <c r="E1836" s="178"/>
      <c r="F1836" s="178"/>
      <c r="G1836" s="340"/>
      <c r="H1836" s="340"/>
      <c r="I1836" s="179"/>
      <c r="J1836" s="344"/>
      <c r="K1836" s="345"/>
      <c r="L1836" s="346"/>
      <c r="M1836" s="347"/>
      <c r="N1836" s="347"/>
      <c r="O1836" s="132"/>
    </row>
    <row r="1837" spans="2:15" ht="26.25" customHeight="1" x14ac:dyDescent="0.25">
      <c r="B1837" s="130"/>
      <c r="C1837" s="135"/>
      <c r="D1837" s="177"/>
      <c r="E1837" s="178"/>
      <c r="F1837" s="178"/>
      <c r="G1837" s="340"/>
      <c r="H1837" s="340"/>
      <c r="I1837" s="179"/>
      <c r="J1837" s="344"/>
      <c r="K1837" s="345"/>
      <c r="L1837" s="346"/>
      <c r="M1837" s="347"/>
      <c r="N1837" s="347"/>
      <c r="O1837" s="132"/>
    </row>
    <row r="1838" spans="2:15" ht="26.25" customHeight="1" x14ac:dyDescent="0.25">
      <c r="B1838" s="130"/>
      <c r="C1838" s="135"/>
      <c r="D1838" s="177"/>
      <c r="E1838" s="178"/>
      <c r="F1838" s="178"/>
      <c r="G1838" s="340"/>
      <c r="H1838" s="340"/>
      <c r="I1838" s="179"/>
      <c r="J1838" s="344"/>
      <c r="K1838" s="345"/>
      <c r="L1838" s="346"/>
      <c r="M1838" s="347"/>
      <c r="N1838" s="347"/>
      <c r="O1838" s="132"/>
    </row>
    <row r="1839" spans="2:15" ht="26.25" customHeight="1" x14ac:dyDescent="0.25">
      <c r="B1839" s="130"/>
      <c r="C1839" s="135"/>
      <c r="D1839" s="177"/>
      <c r="E1839" s="178"/>
      <c r="F1839" s="178"/>
      <c r="G1839" s="340"/>
      <c r="H1839" s="340"/>
      <c r="I1839" s="179"/>
      <c r="J1839" s="344"/>
      <c r="K1839" s="345"/>
      <c r="L1839" s="346"/>
      <c r="M1839" s="347"/>
      <c r="N1839" s="347"/>
      <c r="O1839" s="132"/>
    </row>
    <row r="1840" spans="2:15" ht="26.25" customHeight="1" x14ac:dyDescent="0.25">
      <c r="B1840" s="130"/>
      <c r="C1840" s="135"/>
      <c r="D1840" s="177"/>
      <c r="E1840" s="178"/>
      <c r="F1840" s="178"/>
      <c r="G1840" s="340"/>
      <c r="H1840" s="340"/>
      <c r="I1840" s="179"/>
      <c r="J1840" s="344"/>
      <c r="K1840" s="345"/>
      <c r="L1840" s="346"/>
      <c r="M1840" s="347"/>
      <c r="N1840" s="347"/>
      <c r="O1840" s="132"/>
    </row>
    <row r="1841" spans="2:15" ht="26.25" customHeight="1" x14ac:dyDescent="0.25">
      <c r="B1841" s="130"/>
      <c r="C1841" s="135"/>
      <c r="D1841" s="177"/>
      <c r="E1841" s="178"/>
      <c r="F1841" s="178"/>
      <c r="G1841" s="340"/>
      <c r="H1841" s="340"/>
      <c r="I1841" s="179"/>
      <c r="J1841" s="344"/>
      <c r="K1841" s="345"/>
      <c r="L1841" s="346"/>
      <c r="M1841" s="347"/>
      <c r="N1841" s="347"/>
      <c r="O1841" s="132"/>
    </row>
    <row r="1842" spans="2:15" ht="26.25" customHeight="1" x14ac:dyDescent="0.25">
      <c r="B1842" s="130"/>
      <c r="C1842" s="135"/>
      <c r="D1842" s="177"/>
      <c r="E1842" s="178"/>
      <c r="F1842" s="178"/>
      <c r="G1842" s="340"/>
      <c r="H1842" s="340"/>
      <c r="I1842" s="179"/>
      <c r="J1842" s="344"/>
      <c r="K1842" s="345"/>
      <c r="L1842" s="346"/>
      <c r="M1842" s="347"/>
      <c r="N1842" s="347"/>
      <c r="O1842" s="132"/>
    </row>
    <row r="1843" spans="2:15" ht="26.25" customHeight="1" x14ac:dyDescent="0.25">
      <c r="B1843" s="130"/>
      <c r="C1843" s="135"/>
      <c r="D1843" s="177"/>
      <c r="E1843" s="178"/>
      <c r="F1843" s="178"/>
      <c r="G1843" s="340"/>
      <c r="H1843" s="340"/>
      <c r="I1843" s="179"/>
      <c r="J1843" s="344"/>
      <c r="K1843" s="345"/>
      <c r="L1843" s="346"/>
      <c r="M1843" s="347"/>
      <c r="N1843" s="347"/>
      <c r="O1843" s="132"/>
    </row>
    <row r="1844" spans="2:15" ht="26.25" customHeight="1" x14ac:dyDescent="0.25">
      <c r="B1844" s="130"/>
      <c r="C1844" s="135"/>
      <c r="D1844" s="177"/>
      <c r="E1844" s="178"/>
      <c r="F1844" s="178"/>
      <c r="G1844" s="340"/>
      <c r="H1844" s="340"/>
      <c r="I1844" s="179"/>
      <c r="J1844" s="344"/>
      <c r="K1844" s="345"/>
      <c r="L1844" s="346"/>
      <c r="M1844" s="347"/>
      <c r="N1844" s="347"/>
      <c r="O1844" s="132"/>
    </row>
    <row r="1845" spans="2:15" ht="26.25" customHeight="1" x14ac:dyDescent="0.25">
      <c r="B1845" s="130"/>
      <c r="C1845" s="135"/>
      <c r="D1845" s="177"/>
      <c r="E1845" s="178"/>
      <c r="F1845" s="178"/>
      <c r="G1845" s="340"/>
      <c r="H1845" s="340"/>
      <c r="I1845" s="179"/>
      <c r="J1845" s="344"/>
      <c r="K1845" s="345"/>
      <c r="L1845" s="346"/>
      <c r="M1845" s="347"/>
      <c r="N1845" s="347"/>
      <c r="O1845" s="132"/>
    </row>
    <row r="1846" spans="2:15" ht="26.25" customHeight="1" x14ac:dyDescent="0.25">
      <c r="B1846" s="130"/>
      <c r="C1846" s="135"/>
      <c r="D1846" s="177"/>
      <c r="E1846" s="178"/>
      <c r="F1846" s="178"/>
      <c r="G1846" s="340"/>
      <c r="H1846" s="340"/>
      <c r="I1846" s="179"/>
      <c r="J1846" s="344"/>
      <c r="K1846" s="345"/>
      <c r="L1846" s="346"/>
      <c r="M1846" s="347"/>
      <c r="N1846" s="347"/>
      <c r="O1846" s="132"/>
    </row>
    <row r="1847" spans="2:15" ht="26.25" customHeight="1" x14ac:dyDescent="0.25">
      <c r="B1847" s="130"/>
      <c r="C1847" s="135"/>
      <c r="D1847" s="177"/>
      <c r="E1847" s="178"/>
      <c r="F1847" s="178"/>
      <c r="G1847" s="340"/>
      <c r="H1847" s="340"/>
      <c r="I1847" s="179"/>
      <c r="J1847" s="344"/>
      <c r="K1847" s="345"/>
      <c r="L1847" s="346"/>
      <c r="M1847" s="347"/>
      <c r="N1847" s="347"/>
      <c r="O1847" s="132"/>
    </row>
    <row r="1848" spans="2:15" ht="26.25" customHeight="1" x14ac:dyDescent="0.25">
      <c r="B1848" s="130"/>
      <c r="C1848" s="135"/>
      <c r="D1848" s="177"/>
      <c r="E1848" s="178"/>
      <c r="F1848" s="178"/>
      <c r="G1848" s="340"/>
      <c r="H1848" s="340"/>
      <c r="I1848" s="179"/>
      <c r="J1848" s="344"/>
      <c r="K1848" s="345"/>
      <c r="L1848" s="346"/>
      <c r="M1848" s="347"/>
      <c r="N1848" s="347"/>
      <c r="O1848" s="132"/>
    </row>
    <row r="1849" spans="2:15" ht="26.25" customHeight="1" x14ac:dyDescent="0.25">
      <c r="B1849" s="130"/>
      <c r="C1849" s="135"/>
      <c r="D1849" s="177"/>
      <c r="E1849" s="178"/>
      <c r="F1849" s="178"/>
      <c r="G1849" s="340"/>
      <c r="H1849" s="340"/>
      <c r="I1849" s="179"/>
      <c r="J1849" s="344"/>
      <c r="K1849" s="345"/>
      <c r="L1849" s="346"/>
      <c r="M1849" s="347"/>
      <c r="N1849" s="347"/>
      <c r="O1849" s="132"/>
    </row>
    <row r="1850" spans="2:15" ht="26.25" customHeight="1" x14ac:dyDescent="0.25">
      <c r="B1850" s="130"/>
      <c r="C1850" s="135"/>
      <c r="D1850" s="177"/>
      <c r="E1850" s="178"/>
      <c r="F1850" s="178"/>
      <c r="G1850" s="340"/>
      <c r="H1850" s="340"/>
      <c r="I1850" s="179"/>
      <c r="J1850" s="344"/>
      <c r="K1850" s="345"/>
      <c r="L1850" s="346"/>
      <c r="M1850" s="347"/>
      <c r="N1850" s="347"/>
      <c r="O1850" s="132"/>
    </row>
    <row r="1851" spans="2:15" ht="26.25" customHeight="1" x14ac:dyDescent="0.25">
      <c r="B1851" s="130"/>
      <c r="C1851" s="135"/>
      <c r="D1851" s="177"/>
      <c r="E1851" s="178"/>
      <c r="F1851" s="178"/>
      <c r="G1851" s="340"/>
      <c r="H1851" s="340"/>
      <c r="I1851" s="179"/>
      <c r="J1851" s="344"/>
      <c r="K1851" s="345"/>
      <c r="L1851" s="346"/>
      <c r="M1851" s="347"/>
      <c r="N1851" s="347"/>
      <c r="O1851" s="132"/>
    </row>
    <row r="1852" spans="2:15" ht="26.25" customHeight="1" x14ac:dyDescent="0.25">
      <c r="B1852" s="130"/>
      <c r="C1852" s="135"/>
      <c r="D1852" s="177"/>
      <c r="E1852" s="178"/>
      <c r="F1852" s="178"/>
      <c r="G1852" s="340"/>
      <c r="H1852" s="340"/>
      <c r="I1852" s="179"/>
      <c r="J1852" s="344"/>
      <c r="K1852" s="345"/>
      <c r="L1852" s="346"/>
      <c r="M1852" s="347"/>
      <c r="N1852" s="347"/>
      <c r="O1852" s="132"/>
    </row>
    <row r="1853" spans="2:15" ht="26.25" customHeight="1" x14ac:dyDescent="0.25">
      <c r="B1853" s="130"/>
      <c r="C1853" s="135"/>
      <c r="D1853" s="177"/>
      <c r="E1853" s="178"/>
      <c r="F1853" s="178"/>
      <c r="G1853" s="340"/>
      <c r="H1853" s="340"/>
      <c r="I1853" s="179"/>
      <c r="J1853" s="344"/>
      <c r="K1853" s="345"/>
      <c r="L1853" s="346"/>
      <c r="M1853" s="347"/>
      <c r="N1853" s="347"/>
      <c r="O1853" s="132"/>
    </row>
    <row r="1854" spans="2:15" ht="26.25" customHeight="1" x14ac:dyDescent="0.25">
      <c r="B1854" s="130"/>
      <c r="C1854" s="135"/>
      <c r="D1854" s="177"/>
      <c r="E1854" s="178"/>
      <c r="F1854" s="178"/>
      <c r="G1854" s="340"/>
      <c r="H1854" s="340"/>
      <c r="I1854" s="179"/>
      <c r="J1854" s="344"/>
      <c r="K1854" s="345"/>
      <c r="L1854" s="346"/>
      <c r="M1854" s="347"/>
      <c r="N1854" s="347"/>
      <c r="O1854" s="132"/>
    </row>
    <row r="1855" spans="2:15" ht="26.25" customHeight="1" x14ac:dyDescent="0.25">
      <c r="B1855" s="130"/>
      <c r="C1855" s="135"/>
      <c r="D1855" s="177"/>
      <c r="E1855" s="178"/>
      <c r="F1855" s="178"/>
      <c r="G1855" s="340"/>
      <c r="H1855" s="340"/>
      <c r="I1855" s="179"/>
      <c r="J1855" s="344"/>
      <c r="K1855" s="345"/>
      <c r="L1855" s="346"/>
      <c r="M1855" s="347"/>
      <c r="N1855" s="347"/>
      <c r="O1855" s="132"/>
    </row>
    <row r="1856" spans="2:15" ht="26.25" customHeight="1" x14ac:dyDescent="0.25">
      <c r="B1856" s="130"/>
      <c r="C1856" s="135"/>
      <c r="D1856" s="177"/>
      <c r="E1856" s="178"/>
      <c r="F1856" s="178"/>
      <c r="G1856" s="340"/>
      <c r="H1856" s="340"/>
      <c r="I1856" s="179"/>
      <c r="J1856" s="344"/>
      <c r="K1856" s="345"/>
      <c r="L1856" s="346"/>
      <c r="M1856" s="347"/>
      <c r="N1856" s="347"/>
      <c r="O1856" s="132"/>
    </row>
    <row r="1857" spans="2:15" ht="26.25" customHeight="1" x14ac:dyDescent="0.25">
      <c r="B1857" s="130"/>
      <c r="C1857" s="135"/>
      <c r="D1857" s="177"/>
      <c r="E1857" s="178"/>
      <c r="F1857" s="178"/>
      <c r="G1857" s="340"/>
      <c r="H1857" s="340"/>
      <c r="I1857" s="179"/>
      <c r="J1857" s="344"/>
      <c r="K1857" s="345"/>
      <c r="L1857" s="346"/>
      <c r="M1857" s="347"/>
      <c r="N1857" s="347"/>
      <c r="O1857" s="132"/>
    </row>
    <row r="1858" spans="2:15" ht="26.25" customHeight="1" x14ac:dyDescent="0.25">
      <c r="B1858" s="130"/>
      <c r="C1858" s="135"/>
      <c r="D1858" s="177"/>
      <c r="E1858" s="178"/>
      <c r="F1858" s="178"/>
      <c r="G1858" s="340"/>
      <c r="H1858" s="340"/>
      <c r="I1858" s="179"/>
      <c r="J1858" s="344"/>
      <c r="K1858" s="345"/>
      <c r="L1858" s="346"/>
      <c r="M1858" s="347"/>
      <c r="N1858" s="347"/>
      <c r="O1858" s="132"/>
    </row>
    <row r="1859" spans="2:15" ht="26.25" customHeight="1" x14ac:dyDescent="0.25">
      <c r="B1859" s="130"/>
      <c r="C1859" s="135"/>
      <c r="D1859" s="177"/>
      <c r="E1859" s="178"/>
      <c r="F1859" s="178"/>
      <c r="G1859" s="340"/>
      <c r="H1859" s="340"/>
      <c r="I1859" s="179"/>
      <c r="J1859" s="344"/>
      <c r="K1859" s="345"/>
      <c r="L1859" s="346"/>
      <c r="M1859" s="347"/>
      <c r="N1859" s="347"/>
      <c r="O1859" s="132"/>
    </row>
    <row r="1860" spans="2:15" ht="26.25" customHeight="1" x14ac:dyDescent="0.25">
      <c r="B1860" s="130"/>
      <c r="C1860" s="135"/>
      <c r="D1860" s="177"/>
      <c r="E1860" s="178"/>
      <c r="F1860" s="178"/>
      <c r="G1860" s="340"/>
      <c r="H1860" s="340"/>
      <c r="I1860" s="179"/>
      <c r="J1860" s="344"/>
      <c r="K1860" s="345"/>
      <c r="L1860" s="346"/>
      <c r="M1860" s="347"/>
      <c r="N1860" s="347"/>
      <c r="O1860" s="132"/>
    </row>
    <row r="1861" spans="2:15" ht="26.25" customHeight="1" x14ac:dyDescent="0.25">
      <c r="B1861" s="130"/>
      <c r="C1861" s="135"/>
      <c r="D1861" s="177"/>
      <c r="E1861" s="178"/>
      <c r="F1861" s="178"/>
      <c r="G1861" s="340"/>
      <c r="H1861" s="340"/>
      <c r="I1861" s="179"/>
      <c r="J1861" s="344"/>
      <c r="K1861" s="345"/>
      <c r="L1861" s="346"/>
      <c r="M1861" s="347"/>
      <c r="N1861" s="347"/>
      <c r="O1861" s="132"/>
    </row>
    <row r="1862" spans="2:15" ht="26.25" customHeight="1" x14ac:dyDescent="0.25">
      <c r="B1862" s="130"/>
      <c r="C1862" s="135"/>
      <c r="D1862" s="177"/>
      <c r="E1862" s="178"/>
      <c r="F1862" s="178"/>
      <c r="G1862" s="340"/>
      <c r="H1862" s="340"/>
      <c r="I1862" s="179"/>
      <c r="J1862" s="344"/>
      <c r="K1862" s="345"/>
      <c r="L1862" s="346"/>
      <c r="M1862" s="347"/>
      <c r="N1862" s="347"/>
      <c r="O1862" s="132"/>
    </row>
    <row r="1863" spans="2:15" ht="26.25" customHeight="1" x14ac:dyDescent="0.25">
      <c r="B1863" s="130"/>
      <c r="C1863" s="135"/>
      <c r="D1863" s="177"/>
      <c r="E1863" s="178"/>
      <c r="F1863" s="178"/>
      <c r="G1863" s="340"/>
      <c r="H1863" s="340"/>
      <c r="I1863" s="179"/>
      <c r="J1863" s="344"/>
      <c r="K1863" s="345"/>
      <c r="L1863" s="346"/>
      <c r="M1863" s="347"/>
      <c r="N1863" s="347"/>
      <c r="O1863" s="132"/>
    </row>
    <row r="1864" spans="2:15" ht="26.25" customHeight="1" x14ac:dyDescent="0.25">
      <c r="B1864" s="130"/>
      <c r="C1864" s="135"/>
      <c r="D1864" s="177"/>
      <c r="E1864" s="178"/>
      <c r="F1864" s="178"/>
      <c r="G1864" s="340"/>
      <c r="H1864" s="340"/>
      <c r="I1864" s="179"/>
      <c r="J1864" s="344"/>
      <c r="K1864" s="345"/>
      <c r="L1864" s="346"/>
      <c r="M1864" s="347"/>
      <c r="N1864" s="347"/>
      <c r="O1864" s="132"/>
    </row>
    <row r="1865" spans="2:15" ht="26.25" customHeight="1" x14ac:dyDescent="0.25">
      <c r="B1865" s="130"/>
      <c r="C1865" s="135"/>
      <c r="D1865" s="177"/>
      <c r="E1865" s="178"/>
      <c r="F1865" s="178"/>
      <c r="G1865" s="340"/>
      <c r="H1865" s="340"/>
      <c r="I1865" s="179"/>
      <c r="J1865" s="344"/>
      <c r="K1865" s="345"/>
      <c r="L1865" s="346"/>
      <c r="M1865" s="347"/>
      <c r="N1865" s="347"/>
      <c r="O1865" s="132"/>
    </row>
    <row r="1866" spans="2:15" ht="26.25" customHeight="1" x14ac:dyDescent="0.25">
      <c r="B1866" s="130"/>
      <c r="C1866" s="135"/>
      <c r="D1866" s="177"/>
      <c r="E1866" s="178"/>
      <c r="F1866" s="178"/>
      <c r="G1866" s="340"/>
      <c r="H1866" s="340"/>
      <c r="I1866" s="179"/>
      <c r="J1866" s="344"/>
      <c r="K1866" s="345"/>
      <c r="L1866" s="346"/>
      <c r="M1866" s="347"/>
      <c r="N1866" s="347"/>
      <c r="O1866" s="132"/>
    </row>
    <row r="1867" spans="2:15" ht="26.25" customHeight="1" x14ac:dyDescent="0.25">
      <c r="B1867" s="130"/>
      <c r="C1867" s="135"/>
      <c r="D1867" s="177"/>
      <c r="E1867" s="178"/>
      <c r="F1867" s="178"/>
      <c r="G1867" s="340"/>
      <c r="H1867" s="340"/>
      <c r="I1867" s="179"/>
      <c r="J1867" s="344"/>
      <c r="K1867" s="345"/>
      <c r="L1867" s="346"/>
      <c r="M1867" s="347"/>
      <c r="N1867" s="347"/>
      <c r="O1867" s="132"/>
    </row>
    <row r="1868" spans="2:15" ht="26.25" customHeight="1" x14ac:dyDescent="0.25">
      <c r="B1868" s="130"/>
      <c r="C1868" s="135"/>
      <c r="D1868" s="177"/>
      <c r="E1868" s="178"/>
      <c r="F1868" s="178"/>
      <c r="G1868" s="340"/>
      <c r="H1868" s="340"/>
      <c r="I1868" s="179"/>
      <c r="J1868" s="344"/>
      <c r="K1868" s="345"/>
      <c r="L1868" s="346"/>
      <c r="M1868" s="347"/>
      <c r="N1868" s="347"/>
      <c r="O1868" s="132"/>
    </row>
    <row r="1869" spans="2:15" ht="26.25" customHeight="1" x14ac:dyDescent="0.25">
      <c r="B1869" s="130"/>
      <c r="C1869" s="135"/>
      <c r="D1869" s="177"/>
      <c r="E1869" s="178"/>
      <c r="F1869" s="178"/>
      <c r="G1869" s="340"/>
      <c r="H1869" s="340"/>
      <c r="I1869" s="179"/>
      <c r="J1869" s="344"/>
      <c r="K1869" s="345"/>
      <c r="L1869" s="346"/>
      <c r="M1869" s="347"/>
      <c r="N1869" s="347"/>
      <c r="O1869" s="132"/>
    </row>
    <row r="1870" spans="2:15" ht="26.25" customHeight="1" x14ac:dyDescent="0.25">
      <c r="B1870" s="130"/>
      <c r="C1870" s="135"/>
      <c r="D1870" s="177"/>
      <c r="E1870" s="178"/>
      <c r="F1870" s="178"/>
      <c r="G1870" s="340"/>
      <c r="H1870" s="340"/>
      <c r="I1870" s="179"/>
      <c r="J1870" s="344"/>
      <c r="K1870" s="345"/>
      <c r="L1870" s="346"/>
      <c r="M1870" s="347"/>
      <c r="N1870" s="347"/>
      <c r="O1870" s="132"/>
    </row>
    <row r="1871" spans="2:15" ht="26.25" customHeight="1" x14ac:dyDescent="0.25">
      <c r="B1871" s="130"/>
      <c r="C1871" s="135"/>
      <c r="D1871" s="177"/>
      <c r="E1871" s="178"/>
      <c r="F1871" s="178"/>
      <c r="G1871" s="340"/>
      <c r="H1871" s="340"/>
      <c r="I1871" s="179"/>
      <c r="J1871" s="344"/>
      <c r="K1871" s="345"/>
      <c r="L1871" s="346"/>
      <c r="M1871" s="347"/>
      <c r="N1871" s="347"/>
      <c r="O1871" s="132"/>
    </row>
    <row r="1872" spans="2:15" ht="26.25" customHeight="1" x14ac:dyDescent="0.25">
      <c r="B1872" s="130"/>
      <c r="C1872" s="135"/>
      <c r="D1872" s="177"/>
      <c r="E1872" s="178"/>
      <c r="F1872" s="178"/>
      <c r="G1872" s="340"/>
      <c r="H1872" s="340"/>
      <c r="I1872" s="179"/>
      <c r="J1872" s="344"/>
      <c r="K1872" s="345"/>
      <c r="L1872" s="346"/>
      <c r="M1872" s="347"/>
      <c r="N1872" s="347"/>
      <c r="O1872" s="132"/>
    </row>
    <row r="1873" spans="2:15" ht="26.25" customHeight="1" x14ac:dyDescent="0.25">
      <c r="B1873" s="130"/>
      <c r="C1873" s="135"/>
      <c r="D1873" s="177"/>
      <c r="E1873" s="178"/>
      <c r="F1873" s="178"/>
      <c r="G1873" s="340"/>
      <c r="H1873" s="340"/>
      <c r="I1873" s="179"/>
      <c r="J1873" s="344"/>
      <c r="K1873" s="345"/>
      <c r="L1873" s="346"/>
      <c r="M1873" s="347"/>
      <c r="N1873" s="347"/>
      <c r="O1873" s="132"/>
    </row>
    <row r="1874" spans="2:15" ht="26.25" customHeight="1" x14ac:dyDescent="0.25">
      <c r="B1874" s="130"/>
      <c r="C1874" s="135"/>
      <c r="D1874" s="177"/>
      <c r="E1874" s="178"/>
      <c r="F1874" s="178"/>
      <c r="G1874" s="340"/>
      <c r="H1874" s="340"/>
      <c r="I1874" s="179"/>
      <c r="J1874" s="344"/>
      <c r="K1874" s="345"/>
      <c r="L1874" s="346"/>
      <c r="M1874" s="347"/>
      <c r="N1874" s="347"/>
      <c r="O1874" s="132"/>
    </row>
    <row r="1875" spans="2:15" ht="26.25" customHeight="1" x14ac:dyDescent="0.25">
      <c r="B1875" s="130"/>
      <c r="C1875" s="135"/>
      <c r="D1875" s="177"/>
      <c r="E1875" s="178"/>
      <c r="F1875" s="178"/>
      <c r="G1875" s="340"/>
      <c r="H1875" s="340"/>
      <c r="I1875" s="179"/>
      <c r="J1875" s="344"/>
      <c r="K1875" s="345"/>
      <c r="L1875" s="346"/>
      <c r="M1875" s="347"/>
      <c r="N1875" s="347"/>
      <c r="O1875" s="132"/>
    </row>
    <row r="1876" spans="2:15" ht="26.25" customHeight="1" x14ac:dyDescent="0.25">
      <c r="B1876" s="130"/>
      <c r="C1876" s="135"/>
      <c r="D1876" s="177"/>
      <c r="E1876" s="178"/>
      <c r="F1876" s="178"/>
      <c r="G1876" s="340"/>
      <c r="H1876" s="340"/>
      <c r="I1876" s="179"/>
      <c r="J1876" s="344"/>
      <c r="K1876" s="345"/>
      <c r="L1876" s="346"/>
      <c r="M1876" s="347"/>
      <c r="N1876" s="347"/>
      <c r="O1876" s="132"/>
    </row>
    <row r="1877" spans="2:15" ht="26.25" customHeight="1" x14ac:dyDescent="0.25">
      <c r="B1877" s="130"/>
      <c r="C1877" s="135"/>
      <c r="D1877" s="177"/>
      <c r="E1877" s="178"/>
      <c r="F1877" s="178"/>
      <c r="G1877" s="340"/>
      <c r="H1877" s="340"/>
      <c r="I1877" s="179"/>
      <c r="J1877" s="344"/>
      <c r="K1877" s="345"/>
      <c r="L1877" s="346"/>
      <c r="M1877" s="347"/>
      <c r="N1877" s="347"/>
      <c r="O1877" s="132"/>
    </row>
    <row r="1878" spans="2:15" ht="26.25" customHeight="1" x14ac:dyDescent="0.25">
      <c r="B1878" s="130"/>
      <c r="C1878" s="135"/>
      <c r="D1878" s="177"/>
      <c r="E1878" s="178"/>
      <c r="F1878" s="178"/>
      <c r="G1878" s="340"/>
      <c r="H1878" s="340"/>
      <c r="I1878" s="179"/>
      <c r="J1878" s="344"/>
      <c r="K1878" s="345"/>
      <c r="L1878" s="346"/>
      <c r="M1878" s="347"/>
      <c r="N1878" s="347"/>
      <c r="O1878" s="132"/>
    </row>
    <row r="1879" spans="2:15" ht="26.25" customHeight="1" x14ac:dyDescent="0.25">
      <c r="B1879" s="130"/>
      <c r="C1879" s="135"/>
      <c r="D1879" s="177"/>
      <c r="E1879" s="178"/>
      <c r="F1879" s="178"/>
      <c r="G1879" s="340"/>
      <c r="H1879" s="340"/>
      <c r="I1879" s="179"/>
      <c r="J1879" s="344"/>
      <c r="K1879" s="345"/>
      <c r="L1879" s="346"/>
      <c r="M1879" s="347"/>
      <c r="N1879" s="347"/>
      <c r="O1879" s="132"/>
    </row>
    <row r="1880" spans="2:15" ht="26.25" customHeight="1" x14ac:dyDescent="0.25">
      <c r="B1880" s="130"/>
      <c r="C1880" s="135"/>
      <c r="D1880" s="177"/>
      <c r="E1880" s="178"/>
      <c r="F1880" s="178"/>
      <c r="G1880" s="340"/>
      <c r="H1880" s="340"/>
      <c r="I1880" s="179"/>
      <c r="J1880" s="344"/>
      <c r="K1880" s="345"/>
      <c r="L1880" s="346"/>
      <c r="M1880" s="347"/>
      <c r="N1880" s="347"/>
      <c r="O1880" s="132"/>
    </row>
    <row r="1881" spans="2:15" ht="26.25" customHeight="1" x14ac:dyDescent="0.25">
      <c r="B1881" s="130"/>
      <c r="C1881" s="135"/>
      <c r="D1881" s="177"/>
      <c r="E1881" s="178"/>
      <c r="F1881" s="178"/>
      <c r="G1881" s="340"/>
      <c r="H1881" s="340"/>
      <c r="I1881" s="179"/>
      <c r="J1881" s="344"/>
      <c r="K1881" s="345"/>
      <c r="L1881" s="346"/>
      <c r="M1881" s="347"/>
      <c r="N1881" s="347"/>
      <c r="O1881" s="132"/>
    </row>
    <row r="1882" spans="2:15" ht="26.25" customHeight="1" x14ac:dyDescent="0.25">
      <c r="B1882" s="130"/>
      <c r="C1882" s="135"/>
      <c r="D1882" s="177"/>
      <c r="E1882" s="178"/>
      <c r="F1882" s="178"/>
      <c r="G1882" s="340"/>
      <c r="H1882" s="340"/>
      <c r="I1882" s="179"/>
      <c r="J1882" s="344"/>
      <c r="K1882" s="345"/>
      <c r="L1882" s="346"/>
      <c r="M1882" s="347"/>
      <c r="N1882" s="347"/>
      <c r="O1882" s="132"/>
    </row>
    <row r="1883" spans="2:15" ht="26.25" customHeight="1" x14ac:dyDescent="0.25">
      <c r="B1883" s="130"/>
      <c r="C1883" s="135"/>
      <c r="D1883" s="177"/>
      <c r="E1883" s="178"/>
      <c r="F1883" s="178"/>
      <c r="G1883" s="340"/>
      <c r="H1883" s="340"/>
      <c r="I1883" s="179"/>
      <c r="J1883" s="344"/>
      <c r="K1883" s="345"/>
      <c r="L1883" s="346"/>
      <c r="M1883" s="347"/>
      <c r="N1883" s="347"/>
      <c r="O1883" s="132"/>
    </row>
    <row r="1884" spans="2:15" ht="26.25" customHeight="1" x14ac:dyDescent="0.25">
      <c r="B1884" s="130"/>
      <c r="C1884" s="135"/>
      <c r="D1884" s="177"/>
      <c r="E1884" s="178"/>
      <c r="F1884" s="178"/>
      <c r="G1884" s="340"/>
      <c r="H1884" s="340"/>
      <c r="I1884" s="179"/>
      <c r="J1884" s="344"/>
      <c r="K1884" s="345"/>
      <c r="L1884" s="346"/>
      <c r="M1884" s="347"/>
      <c r="N1884" s="347"/>
      <c r="O1884" s="132"/>
    </row>
    <row r="1885" spans="2:15" ht="26.25" customHeight="1" x14ac:dyDescent="0.25">
      <c r="B1885" s="130"/>
      <c r="C1885" s="135"/>
      <c r="D1885" s="177"/>
      <c r="E1885" s="178"/>
      <c r="F1885" s="178"/>
      <c r="G1885" s="340"/>
      <c r="H1885" s="340"/>
      <c r="I1885" s="179"/>
      <c r="J1885" s="344"/>
      <c r="K1885" s="345"/>
      <c r="L1885" s="346"/>
      <c r="M1885" s="347"/>
      <c r="N1885" s="347"/>
      <c r="O1885" s="132"/>
    </row>
    <row r="1886" spans="2:15" ht="26.25" customHeight="1" x14ac:dyDescent="0.25">
      <c r="B1886" s="130"/>
      <c r="C1886" s="135"/>
      <c r="D1886" s="177"/>
      <c r="E1886" s="178"/>
      <c r="F1886" s="178"/>
      <c r="G1886" s="340"/>
      <c r="H1886" s="340"/>
      <c r="I1886" s="179"/>
      <c r="J1886" s="344"/>
      <c r="K1886" s="345"/>
      <c r="L1886" s="346"/>
      <c r="M1886" s="347"/>
      <c r="N1886" s="347"/>
      <c r="O1886" s="132"/>
    </row>
    <row r="1887" spans="2:15" ht="26.25" customHeight="1" x14ac:dyDescent="0.25">
      <c r="B1887" s="130"/>
      <c r="C1887" s="135"/>
      <c r="D1887" s="177"/>
      <c r="E1887" s="178"/>
      <c r="F1887" s="178"/>
      <c r="G1887" s="340"/>
      <c r="H1887" s="340"/>
      <c r="I1887" s="179"/>
      <c r="J1887" s="344"/>
      <c r="K1887" s="345"/>
      <c r="L1887" s="346"/>
      <c r="M1887" s="347"/>
      <c r="N1887" s="347"/>
      <c r="O1887" s="132"/>
    </row>
    <row r="1888" spans="2:15" ht="26.25" customHeight="1" x14ac:dyDescent="0.25">
      <c r="B1888" s="130"/>
      <c r="C1888" s="135"/>
      <c r="D1888" s="177"/>
      <c r="E1888" s="178"/>
      <c r="F1888" s="178"/>
      <c r="G1888" s="340"/>
      <c r="H1888" s="340"/>
      <c r="I1888" s="179"/>
      <c r="J1888" s="344"/>
      <c r="K1888" s="345"/>
      <c r="L1888" s="346"/>
      <c r="M1888" s="347"/>
      <c r="N1888" s="347"/>
      <c r="O1888" s="132"/>
    </row>
    <row r="1889" spans="2:15" ht="26.25" customHeight="1" x14ac:dyDescent="0.25">
      <c r="B1889" s="130"/>
      <c r="C1889" s="135"/>
      <c r="D1889" s="177"/>
      <c r="E1889" s="178"/>
      <c r="F1889" s="178"/>
      <c r="G1889" s="340"/>
      <c r="H1889" s="340"/>
      <c r="I1889" s="179"/>
      <c r="J1889" s="344"/>
      <c r="K1889" s="345"/>
      <c r="L1889" s="346"/>
      <c r="M1889" s="347"/>
      <c r="N1889" s="347"/>
      <c r="O1889" s="132"/>
    </row>
    <row r="1890" spans="2:15" ht="26.25" customHeight="1" x14ac:dyDescent="0.25">
      <c r="B1890" s="130"/>
      <c r="C1890" s="135"/>
      <c r="D1890" s="177"/>
      <c r="E1890" s="178"/>
      <c r="F1890" s="178"/>
      <c r="G1890" s="340"/>
      <c r="H1890" s="340"/>
      <c r="I1890" s="179"/>
      <c r="J1890" s="344"/>
      <c r="K1890" s="345"/>
      <c r="L1890" s="346"/>
      <c r="M1890" s="347"/>
      <c r="N1890" s="347"/>
      <c r="O1890" s="132"/>
    </row>
    <row r="1891" spans="2:15" ht="26.25" customHeight="1" x14ac:dyDescent="0.25">
      <c r="B1891" s="130"/>
      <c r="C1891" s="135"/>
      <c r="D1891" s="177"/>
      <c r="E1891" s="178"/>
      <c r="F1891" s="178"/>
      <c r="G1891" s="340"/>
      <c r="H1891" s="340"/>
      <c r="I1891" s="179"/>
      <c r="J1891" s="344"/>
      <c r="K1891" s="345"/>
      <c r="L1891" s="346"/>
      <c r="M1891" s="347"/>
      <c r="N1891" s="347"/>
      <c r="O1891" s="132"/>
    </row>
    <row r="1892" spans="2:15" ht="26.25" customHeight="1" x14ac:dyDescent="0.25">
      <c r="B1892" s="130"/>
      <c r="C1892" s="135"/>
      <c r="D1892" s="177"/>
      <c r="E1892" s="178"/>
      <c r="F1892" s="178"/>
      <c r="G1892" s="340"/>
      <c r="H1892" s="340"/>
      <c r="I1892" s="179"/>
      <c r="J1892" s="344"/>
      <c r="K1892" s="345"/>
      <c r="L1892" s="346"/>
      <c r="M1892" s="347"/>
      <c r="N1892" s="347"/>
      <c r="O1892" s="132"/>
    </row>
    <row r="1893" spans="2:15" ht="26.25" customHeight="1" x14ac:dyDescent="0.25">
      <c r="B1893" s="130"/>
      <c r="C1893" s="135"/>
      <c r="D1893" s="177"/>
      <c r="E1893" s="178"/>
      <c r="F1893" s="178"/>
      <c r="G1893" s="340"/>
      <c r="H1893" s="340"/>
      <c r="I1893" s="179"/>
      <c r="J1893" s="344"/>
      <c r="K1893" s="345"/>
      <c r="L1893" s="346"/>
      <c r="M1893" s="347"/>
      <c r="N1893" s="347"/>
      <c r="O1893" s="132"/>
    </row>
    <row r="1894" spans="2:15" ht="26.25" customHeight="1" x14ac:dyDescent="0.25">
      <c r="B1894" s="130"/>
      <c r="C1894" s="135"/>
      <c r="D1894" s="177"/>
      <c r="E1894" s="178"/>
      <c r="F1894" s="178"/>
      <c r="G1894" s="340"/>
      <c r="H1894" s="340"/>
      <c r="I1894" s="179"/>
      <c r="J1894" s="344"/>
      <c r="K1894" s="345"/>
      <c r="L1894" s="346"/>
      <c r="M1894" s="347"/>
      <c r="N1894" s="347"/>
      <c r="O1894" s="132"/>
    </row>
    <row r="1895" spans="2:15" ht="26.25" customHeight="1" x14ac:dyDescent="0.25">
      <c r="B1895" s="130"/>
      <c r="C1895" s="135"/>
      <c r="D1895" s="177"/>
      <c r="E1895" s="178"/>
      <c r="F1895" s="178"/>
      <c r="G1895" s="340"/>
      <c r="H1895" s="340"/>
      <c r="I1895" s="179"/>
      <c r="J1895" s="344"/>
      <c r="K1895" s="345"/>
      <c r="L1895" s="346"/>
      <c r="M1895" s="347"/>
      <c r="N1895" s="347"/>
      <c r="O1895" s="132"/>
    </row>
    <row r="1896" spans="2:15" ht="26.25" customHeight="1" x14ac:dyDescent="0.25">
      <c r="B1896" s="130"/>
      <c r="C1896" s="135"/>
      <c r="D1896" s="177"/>
      <c r="E1896" s="178"/>
      <c r="F1896" s="178"/>
      <c r="G1896" s="340"/>
      <c r="H1896" s="340"/>
      <c r="I1896" s="179"/>
      <c r="J1896" s="344"/>
      <c r="K1896" s="345"/>
      <c r="L1896" s="346"/>
      <c r="M1896" s="347"/>
      <c r="N1896" s="347"/>
      <c r="O1896" s="132"/>
    </row>
    <row r="1897" spans="2:15" ht="26.25" customHeight="1" x14ac:dyDescent="0.25">
      <c r="B1897" s="130"/>
      <c r="C1897" s="135"/>
      <c r="D1897" s="177"/>
      <c r="E1897" s="178"/>
      <c r="F1897" s="178"/>
      <c r="G1897" s="340"/>
      <c r="H1897" s="340"/>
      <c r="I1897" s="179"/>
      <c r="J1897" s="344"/>
      <c r="K1897" s="345"/>
      <c r="L1897" s="346"/>
      <c r="M1897" s="347"/>
      <c r="N1897" s="347"/>
      <c r="O1897" s="132"/>
    </row>
    <row r="1898" spans="2:15" ht="26.25" customHeight="1" x14ac:dyDescent="0.25">
      <c r="B1898" s="130"/>
      <c r="C1898" s="135"/>
      <c r="D1898" s="177"/>
      <c r="E1898" s="178"/>
      <c r="F1898" s="178"/>
      <c r="G1898" s="340"/>
      <c r="H1898" s="340"/>
      <c r="I1898" s="179"/>
      <c r="J1898" s="344"/>
      <c r="K1898" s="345"/>
      <c r="L1898" s="346"/>
      <c r="M1898" s="347"/>
      <c r="N1898" s="347"/>
      <c r="O1898" s="132"/>
    </row>
    <row r="1899" spans="2:15" ht="26.25" customHeight="1" x14ac:dyDescent="0.25">
      <c r="B1899" s="130"/>
      <c r="C1899" s="135"/>
      <c r="D1899" s="177"/>
      <c r="E1899" s="178"/>
      <c r="F1899" s="178"/>
      <c r="G1899" s="340"/>
      <c r="H1899" s="340"/>
      <c r="I1899" s="179"/>
      <c r="J1899" s="344"/>
      <c r="K1899" s="345"/>
      <c r="L1899" s="346"/>
      <c r="M1899" s="347"/>
      <c r="N1899" s="347"/>
      <c r="O1899" s="132"/>
    </row>
    <row r="1900" spans="2:15" ht="26.25" customHeight="1" x14ac:dyDescent="0.25">
      <c r="B1900" s="130"/>
      <c r="C1900" s="135"/>
      <c r="D1900" s="177"/>
      <c r="E1900" s="178"/>
      <c r="F1900" s="178"/>
      <c r="G1900" s="340"/>
      <c r="H1900" s="340"/>
      <c r="I1900" s="179"/>
      <c r="J1900" s="344"/>
      <c r="K1900" s="345"/>
      <c r="L1900" s="346"/>
      <c r="M1900" s="347"/>
      <c r="N1900" s="347"/>
      <c r="O1900" s="132"/>
    </row>
    <row r="1901" spans="2:15" ht="26.25" customHeight="1" x14ac:dyDescent="0.25">
      <c r="B1901" s="130"/>
      <c r="C1901" s="135"/>
      <c r="D1901" s="177"/>
      <c r="E1901" s="178"/>
      <c r="F1901" s="178"/>
      <c r="G1901" s="340"/>
      <c r="H1901" s="340"/>
      <c r="I1901" s="179"/>
      <c r="J1901" s="344"/>
      <c r="K1901" s="345"/>
      <c r="L1901" s="346"/>
      <c r="M1901" s="347"/>
      <c r="N1901" s="347"/>
      <c r="O1901" s="132"/>
    </row>
    <row r="1902" spans="2:15" ht="26.25" customHeight="1" x14ac:dyDescent="0.25">
      <c r="B1902" s="130"/>
      <c r="C1902" s="135"/>
      <c r="D1902" s="177"/>
      <c r="E1902" s="178"/>
      <c r="F1902" s="178"/>
      <c r="G1902" s="340"/>
      <c r="H1902" s="340"/>
      <c r="I1902" s="179"/>
      <c r="J1902" s="344"/>
      <c r="K1902" s="345"/>
      <c r="L1902" s="346"/>
      <c r="M1902" s="347"/>
      <c r="N1902" s="347"/>
      <c r="O1902" s="132"/>
    </row>
    <row r="1903" spans="2:15" ht="26.25" customHeight="1" x14ac:dyDescent="0.25">
      <c r="B1903" s="130"/>
      <c r="C1903" s="135"/>
      <c r="D1903" s="177"/>
      <c r="E1903" s="178"/>
      <c r="F1903" s="178"/>
      <c r="G1903" s="340"/>
      <c r="H1903" s="340"/>
      <c r="I1903" s="179"/>
      <c r="J1903" s="344"/>
      <c r="K1903" s="345"/>
      <c r="L1903" s="346"/>
      <c r="M1903" s="347"/>
      <c r="N1903" s="347"/>
      <c r="O1903" s="132"/>
    </row>
    <row r="1904" spans="2:15" ht="26.25" customHeight="1" x14ac:dyDescent="0.25">
      <c r="B1904" s="130"/>
      <c r="C1904" s="135"/>
      <c r="D1904" s="177"/>
      <c r="E1904" s="178"/>
      <c r="F1904" s="178"/>
      <c r="G1904" s="340"/>
      <c r="H1904" s="340"/>
      <c r="I1904" s="179"/>
      <c r="J1904" s="344"/>
      <c r="K1904" s="345"/>
      <c r="L1904" s="346"/>
      <c r="M1904" s="347"/>
      <c r="N1904" s="347"/>
      <c r="O1904" s="132"/>
    </row>
    <row r="1905" spans="2:15" ht="26.25" customHeight="1" x14ac:dyDescent="0.25">
      <c r="B1905" s="130"/>
      <c r="C1905" s="135"/>
      <c r="D1905" s="177"/>
      <c r="E1905" s="178"/>
      <c r="F1905" s="178"/>
      <c r="G1905" s="340"/>
      <c r="H1905" s="340"/>
      <c r="I1905" s="179"/>
      <c r="J1905" s="344"/>
      <c r="K1905" s="345"/>
      <c r="L1905" s="346"/>
      <c r="M1905" s="347"/>
      <c r="N1905" s="347"/>
      <c r="O1905" s="132"/>
    </row>
    <row r="1906" spans="2:15" ht="26.25" customHeight="1" x14ac:dyDescent="0.25">
      <c r="B1906" s="130"/>
      <c r="C1906" s="135"/>
      <c r="D1906" s="177"/>
      <c r="E1906" s="178"/>
      <c r="F1906" s="178"/>
      <c r="G1906" s="340"/>
      <c r="H1906" s="340"/>
      <c r="I1906" s="179"/>
      <c r="J1906" s="344"/>
      <c r="K1906" s="345"/>
      <c r="L1906" s="346"/>
      <c r="M1906" s="347"/>
      <c r="N1906" s="347"/>
      <c r="O1906" s="132"/>
    </row>
    <row r="1907" spans="2:15" ht="26.25" customHeight="1" x14ac:dyDescent="0.25">
      <c r="B1907" s="130"/>
      <c r="C1907" s="135"/>
      <c r="D1907" s="177"/>
      <c r="E1907" s="178"/>
      <c r="F1907" s="178"/>
      <c r="G1907" s="340"/>
      <c r="H1907" s="340"/>
      <c r="I1907" s="179"/>
      <c r="J1907" s="344"/>
      <c r="K1907" s="345"/>
      <c r="L1907" s="346"/>
      <c r="M1907" s="347"/>
      <c r="N1907" s="347"/>
      <c r="O1907" s="132"/>
    </row>
    <row r="1908" spans="2:15" ht="26.25" customHeight="1" x14ac:dyDescent="0.25">
      <c r="B1908" s="130"/>
      <c r="C1908" s="135"/>
      <c r="D1908" s="177"/>
      <c r="E1908" s="178"/>
      <c r="F1908" s="178"/>
      <c r="G1908" s="340"/>
      <c r="H1908" s="340"/>
      <c r="I1908" s="179"/>
      <c r="J1908" s="344"/>
      <c r="K1908" s="345"/>
      <c r="L1908" s="346"/>
      <c r="M1908" s="347"/>
      <c r="N1908" s="347"/>
      <c r="O1908" s="132"/>
    </row>
    <row r="1909" spans="2:15" ht="26.25" customHeight="1" x14ac:dyDescent="0.25">
      <c r="B1909" s="130"/>
      <c r="C1909" s="135"/>
      <c r="D1909" s="177"/>
      <c r="E1909" s="178"/>
      <c r="F1909" s="178"/>
      <c r="G1909" s="340"/>
      <c r="H1909" s="340"/>
      <c r="I1909" s="179"/>
      <c r="J1909" s="344"/>
      <c r="K1909" s="345"/>
      <c r="L1909" s="346"/>
      <c r="M1909" s="347"/>
      <c r="N1909" s="347"/>
      <c r="O1909" s="132"/>
    </row>
    <row r="1910" spans="2:15" ht="26.25" customHeight="1" x14ac:dyDescent="0.25">
      <c r="B1910" s="130"/>
      <c r="C1910" s="135"/>
      <c r="D1910" s="177"/>
      <c r="E1910" s="178"/>
      <c r="F1910" s="178"/>
      <c r="G1910" s="340"/>
      <c r="H1910" s="340"/>
      <c r="I1910" s="179"/>
      <c r="J1910" s="344"/>
      <c r="K1910" s="345"/>
      <c r="L1910" s="346"/>
      <c r="M1910" s="347"/>
      <c r="N1910" s="347"/>
      <c r="O1910" s="132"/>
    </row>
    <row r="1911" spans="2:15" ht="26.25" customHeight="1" x14ac:dyDescent="0.25">
      <c r="B1911" s="130"/>
      <c r="C1911" s="135"/>
      <c r="D1911" s="177"/>
      <c r="E1911" s="178"/>
      <c r="F1911" s="178"/>
      <c r="G1911" s="340"/>
      <c r="H1911" s="340"/>
      <c r="I1911" s="179"/>
      <c r="J1911" s="344"/>
      <c r="K1911" s="345"/>
      <c r="L1911" s="346"/>
      <c r="M1911" s="347"/>
      <c r="N1911" s="347"/>
      <c r="O1911" s="132"/>
    </row>
    <row r="1912" spans="2:15" ht="26.25" customHeight="1" x14ac:dyDescent="0.25">
      <c r="B1912" s="130"/>
      <c r="C1912" s="135"/>
      <c r="D1912" s="177"/>
      <c r="E1912" s="178"/>
      <c r="F1912" s="178"/>
      <c r="G1912" s="340"/>
      <c r="H1912" s="340"/>
      <c r="I1912" s="179"/>
      <c r="J1912" s="344"/>
      <c r="K1912" s="345"/>
      <c r="L1912" s="346"/>
      <c r="M1912" s="347"/>
      <c r="N1912" s="347"/>
      <c r="O1912" s="132"/>
    </row>
    <row r="1913" spans="2:15" ht="26.25" customHeight="1" x14ac:dyDescent="0.25">
      <c r="B1913" s="130"/>
      <c r="C1913" s="135"/>
      <c r="D1913" s="177"/>
      <c r="E1913" s="178"/>
      <c r="F1913" s="178"/>
      <c r="G1913" s="340"/>
      <c r="H1913" s="340"/>
      <c r="I1913" s="179"/>
      <c r="J1913" s="344"/>
      <c r="K1913" s="345"/>
      <c r="L1913" s="346"/>
      <c r="M1913" s="347"/>
      <c r="N1913" s="347"/>
      <c r="O1913" s="132"/>
    </row>
    <row r="1914" spans="2:15" ht="26.25" customHeight="1" x14ac:dyDescent="0.25">
      <c r="B1914" s="130"/>
      <c r="C1914" s="135"/>
      <c r="D1914" s="177"/>
      <c r="E1914" s="178"/>
      <c r="F1914" s="178"/>
      <c r="G1914" s="340"/>
      <c r="H1914" s="340"/>
      <c r="I1914" s="179"/>
      <c r="J1914" s="344"/>
      <c r="K1914" s="345"/>
      <c r="L1914" s="346"/>
      <c r="M1914" s="347"/>
      <c r="N1914" s="347"/>
      <c r="O1914" s="132"/>
    </row>
    <row r="1915" spans="2:15" ht="26.25" customHeight="1" x14ac:dyDescent="0.25">
      <c r="B1915" s="130"/>
      <c r="C1915" s="135"/>
      <c r="D1915" s="177"/>
      <c r="E1915" s="178"/>
      <c r="F1915" s="178"/>
      <c r="G1915" s="340"/>
      <c r="H1915" s="340"/>
      <c r="I1915" s="179"/>
      <c r="J1915" s="344"/>
      <c r="K1915" s="345"/>
      <c r="L1915" s="346"/>
      <c r="M1915" s="347"/>
      <c r="N1915" s="347"/>
      <c r="O1915" s="132"/>
    </row>
    <row r="1916" spans="2:15" ht="26.25" customHeight="1" x14ac:dyDescent="0.25">
      <c r="B1916" s="130"/>
      <c r="C1916" s="135"/>
      <c r="D1916" s="177"/>
      <c r="E1916" s="178"/>
      <c r="F1916" s="178"/>
      <c r="G1916" s="340"/>
      <c r="H1916" s="340"/>
      <c r="I1916" s="179"/>
      <c r="J1916" s="344"/>
      <c r="K1916" s="345"/>
      <c r="L1916" s="346"/>
      <c r="M1916" s="347"/>
      <c r="N1916" s="347"/>
      <c r="O1916" s="132"/>
    </row>
    <row r="1917" spans="2:15" ht="26.25" customHeight="1" x14ac:dyDescent="0.25">
      <c r="B1917" s="130"/>
      <c r="C1917" s="135"/>
      <c r="D1917" s="177"/>
      <c r="E1917" s="178"/>
      <c r="F1917" s="178"/>
      <c r="G1917" s="340"/>
      <c r="H1917" s="340"/>
      <c r="I1917" s="179"/>
      <c r="J1917" s="344"/>
      <c r="K1917" s="345"/>
      <c r="L1917" s="346"/>
      <c r="M1917" s="347"/>
      <c r="N1917" s="347"/>
      <c r="O1917" s="132"/>
    </row>
    <row r="1918" spans="2:15" ht="26.25" customHeight="1" x14ac:dyDescent="0.25">
      <c r="B1918" s="130"/>
      <c r="C1918" s="135"/>
      <c r="D1918" s="177"/>
      <c r="E1918" s="178"/>
      <c r="F1918" s="178"/>
      <c r="G1918" s="340"/>
      <c r="H1918" s="340"/>
      <c r="I1918" s="179"/>
      <c r="J1918" s="344"/>
      <c r="K1918" s="345"/>
      <c r="L1918" s="346"/>
      <c r="M1918" s="347"/>
      <c r="N1918" s="347"/>
      <c r="O1918" s="132"/>
    </row>
    <row r="1919" spans="2:15" ht="26.25" customHeight="1" x14ac:dyDescent="0.25">
      <c r="B1919" s="130"/>
      <c r="C1919" s="135"/>
      <c r="D1919" s="177"/>
      <c r="E1919" s="178"/>
      <c r="F1919" s="178"/>
      <c r="G1919" s="340"/>
      <c r="H1919" s="340"/>
      <c r="I1919" s="179"/>
      <c r="J1919" s="344"/>
      <c r="K1919" s="345"/>
      <c r="L1919" s="346"/>
      <c r="M1919" s="347"/>
      <c r="N1919" s="347"/>
      <c r="O1919" s="132"/>
    </row>
    <row r="1920" spans="2:15" ht="26.25" customHeight="1" x14ac:dyDescent="0.25">
      <c r="B1920" s="130"/>
      <c r="C1920" s="135"/>
      <c r="D1920" s="177"/>
      <c r="E1920" s="178"/>
      <c r="F1920" s="178"/>
      <c r="G1920" s="340"/>
      <c r="H1920" s="340"/>
      <c r="I1920" s="179"/>
      <c r="J1920" s="344"/>
      <c r="K1920" s="345"/>
      <c r="L1920" s="346"/>
      <c r="M1920" s="347"/>
      <c r="N1920" s="347"/>
      <c r="O1920" s="132"/>
    </row>
    <row r="1921" spans="2:15" ht="26.25" customHeight="1" x14ac:dyDescent="0.25">
      <c r="B1921" s="130"/>
      <c r="C1921" s="135"/>
      <c r="D1921" s="177"/>
      <c r="E1921" s="178"/>
      <c r="F1921" s="178"/>
      <c r="G1921" s="340"/>
      <c r="H1921" s="340"/>
      <c r="I1921" s="179"/>
      <c r="J1921" s="344"/>
      <c r="K1921" s="345"/>
      <c r="L1921" s="346"/>
      <c r="M1921" s="347"/>
      <c r="N1921" s="347"/>
      <c r="O1921" s="132"/>
    </row>
    <row r="1922" spans="2:15" ht="26.25" customHeight="1" x14ac:dyDescent="0.25">
      <c r="B1922" s="130"/>
      <c r="C1922" s="135"/>
      <c r="D1922" s="177"/>
      <c r="E1922" s="178"/>
      <c r="F1922" s="178"/>
      <c r="G1922" s="340"/>
      <c r="H1922" s="340"/>
      <c r="I1922" s="179"/>
      <c r="J1922" s="344"/>
      <c r="K1922" s="345"/>
      <c r="L1922" s="346"/>
      <c r="M1922" s="347"/>
      <c r="N1922" s="347"/>
      <c r="O1922" s="132"/>
    </row>
    <row r="1923" spans="2:15" ht="26.25" customHeight="1" x14ac:dyDescent="0.25">
      <c r="B1923" s="130"/>
      <c r="C1923" s="135"/>
      <c r="D1923" s="177"/>
      <c r="E1923" s="178"/>
      <c r="F1923" s="178"/>
      <c r="G1923" s="340"/>
      <c r="H1923" s="340"/>
      <c r="I1923" s="179"/>
      <c r="J1923" s="344"/>
      <c r="K1923" s="345"/>
      <c r="L1923" s="346"/>
      <c r="M1923" s="347"/>
      <c r="N1923" s="347"/>
      <c r="O1923" s="132"/>
    </row>
    <row r="1924" spans="2:15" ht="26.25" customHeight="1" x14ac:dyDescent="0.25">
      <c r="B1924" s="130"/>
      <c r="C1924" s="135"/>
      <c r="D1924" s="177"/>
      <c r="E1924" s="178"/>
      <c r="F1924" s="178"/>
      <c r="G1924" s="340"/>
      <c r="H1924" s="340"/>
      <c r="I1924" s="179"/>
      <c r="J1924" s="344"/>
      <c r="K1924" s="345"/>
      <c r="L1924" s="346"/>
      <c r="M1924" s="347"/>
      <c r="N1924" s="347"/>
      <c r="O1924" s="132"/>
    </row>
    <row r="1925" spans="2:15" ht="26.25" customHeight="1" x14ac:dyDescent="0.25">
      <c r="B1925" s="130"/>
      <c r="C1925" s="135"/>
      <c r="D1925" s="177"/>
      <c r="E1925" s="178"/>
      <c r="F1925" s="178"/>
      <c r="G1925" s="340"/>
      <c r="H1925" s="340"/>
      <c r="I1925" s="179"/>
      <c r="J1925" s="344"/>
      <c r="K1925" s="345"/>
      <c r="L1925" s="346"/>
      <c r="M1925" s="347"/>
      <c r="N1925" s="347"/>
      <c r="O1925" s="132"/>
    </row>
    <row r="1926" spans="2:15" ht="26.25" customHeight="1" x14ac:dyDescent="0.25">
      <c r="B1926" s="130"/>
      <c r="C1926" s="135"/>
      <c r="D1926" s="177"/>
      <c r="E1926" s="178"/>
      <c r="F1926" s="178"/>
      <c r="G1926" s="340"/>
      <c r="H1926" s="340"/>
      <c r="I1926" s="179"/>
      <c r="J1926" s="344"/>
      <c r="K1926" s="345"/>
      <c r="L1926" s="346"/>
      <c r="M1926" s="347"/>
      <c r="N1926" s="347"/>
      <c r="O1926" s="132"/>
    </row>
    <row r="1927" spans="2:15" ht="26.25" customHeight="1" x14ac:dyDescent="0.25">
      <c r="B1927" s="130"/>
      <c r="C1927" s="135"/>
      <c r="D1927" s="177"/>
      <c r="E1927" s="178"/>
      <c r="F1927" s="178"/>
      <c r="G1927" s="340"/>
      <c r="H1927" s="340"/>
      <c r="I1927" s="179"/>
      <c r="J1927" s="344"/>
      <c r="K1927" s="345"/>
      <c r="L1927" s="346"/>
      <c r="M1927" s="347"/>
      <c r="N1927" s="347"/>
      <c r="O1927" s="132"/>
    </row>
    <row r="1928" spans="2:15" ht="26.25" customHeight="1" x14ac:dyDescent="0.25">
      <c r="B1928" s="130"/>
      <c r="C1928" s="135"/>
      <c r="D1928" s="177"/>
      <c r="E1928" s="178"/>
      <c r="F1928" s="178"/>
      <c r="G1928" s="340"/>
      <c r="H1928" s="340"/>
      <c r="I1928" s="179"/>
      <c r="J1928" s="344"/>
      <c r="K1928" s="345"/>
      <c r="L1928" s="346"/>
      <c r="M1928" s="347"/>
      <c r="N1928" s="347"/>
      <c r="O1928" s="132"/>
    </row>
    <row r="1929" spans="2:15" ht="26.25" customHeight="1" x14ac:dyDescent="0.25">
      <c r="B1929" s="130"/>
      <c r="C1929" s="135"/>
      <c r="D1929" s="177"/>
      <c r="E1929" s="178"/>
      <c r="F1929" s="178"/>
      <c r="G1929" s="340"/>
      <c r="H1929" s="340"/>
      <c r="I1929" s="179"/>
      <c r="J1929" s="344"/>
      <c r="K1929" s="345"/>
      <c r="L1929" s="346"/>
      <c r="M1929" s="347"/>
      <c r="N1929" s="347"/>
      <c r="O1929" s="132"/>
    </row>
    <row r="1930" spans="2:15" ht="26.25" customHeight="1" x14ac:dyDescent="0.25">
      <c r="B1930" s="130"/>
      <c r="C1930" s="135"/>
      <c r="D1930" s="177"/>
      <c r="E1930" s="178"/>
      <c r="F1930" s="178"/>
      <c r="G1930" s="340"/>
      <c r="H1930" s="340"/>
      <c r="I1930" s="179"/>
      <c r="J1930" s="344"/>
      <c r="K1930" s="345"/>
      <c r="L1930" s="346"/>
      <c r="M1930" s="347"/>
      <c r="N1930" s="347"/>
      <c r="O1930" s="132"/>
    </row>
    <row r="1931" spans="2:15" ht="26.25" customHeight="1" x14ac:dyDescent="0.25">
      <c r="B1931" s="130"/>
      <c r="C1931" s="135"/>
      <c r="D1931" s="177"/>
      <c r="E1931" s="178"/>
      <c r="F1931" s="178"/>
      <c r="G1931" s="340"/>
      <c r="H1931" s="340"/>
      <c r="I1931" s="179"/>
      <c r="J1931" s="344"/>
      <c r="K1931" s="345"/>
      <c r="L1931" s="346"/>
      <c r="M1931" s="347"/>
      <c r="N1931" s="347"/>
      <c r="O1931" s="132"/>
    </row>
    <row r="1932" spans="2:15" ht="26.25" customHeight="1" x14ac:dyDescent="0.25">
      <c r="B1932" s="130"/>
      <c r="C1932" s="135"/>
      <c r="D1932" s="177"/>
      <c r="E1932" s="178"/>
      <c r="F1932" s="178"/>
      <c r="G1932" s="340"/>
      <c r="H1932" s="340"/>
      <c r="I1932" s="179"/>
      <c r="J1932" s="344"/>
      <c r="K1932" s="345"/>
      <c r="L1932" s="346"/>
      <c r="M1932" s="347"/>
      <c r="N1932" s="347"/>
      <c r="O1932" s="132"/>
    </row>
    <row r="1933" spans="2:15" ht="26.25" customHeight="1" x14ac:dyDescent="0.25">
      <c r="B1933" s="130"/>
      <c r="C1933" s="135"/>
      <c r="D1933" s="177"/>
      <c r="E1933" s="178"/>
      <c r="F1933" s="178"/>
      <c r="G1933" s="340"/>
      <c r="H1933" s="340"/>
      <c r="I1933" s="179"/>
      <c r="J1933" s="344"/>
      <c r="K1933" s="345"/>
      <c r="L1933" s="346"/>
      <c r="M1933" s="347"/>
      <c r="N1933" s="347"/>
      <c r="O1933" s="132"/>
    </row>
    <row r="1934" spans="2:15" ht="26.25" customHeight="1" x14ac:dyDescent="0.25">
      <c r="B1934" s="130"/>
      <c r="C1934" s="135"/>
      <c r="D1934" s="177"/>
      <c r="E1934" s="178"/>
      <c r="F1934" s="178"/>
      <c r="G1934" s="340"/>
      <c r="H1934" s="340"/>
      <c r="I1934" s="179"/>
      <c r="J1934" s="344"/>
      <c r="K1934" s="345"/>
      <c r="L1934" s="346"/>
      <c r="M1934" s="347"/>
      <c r="N1934" s="347"/>
      <c r="O1934" s="132"/>
    </row>
    <row r="1935" spans="2:15" ht="26.25" customHeight="1" x14ac:dyDescent="0.25">
      <c r="B1935" s="130"/>
      <c r="C1935" s="135"/>
      <c r="D1935" s="177"/>
      <c r="E1935" s="178"/>
      <c r="F1935" s="178"/>
      <c r="G1935" s="340"/>
      <c r="H1935" s="340"/>
      <c r="I1935" s="179"/>
      <c r="J1935" s="344"/>
      <c r="K1935" s="345"/>
      <c r="L1935" s="346"/>
      <c r="M1935" s="347"/>
      <c r="N1935" s="347"/>
      <c r="O1935" s="132"/>
    </row>
    <row r="1936" spans="2:15" ht="26.25" customHeight="1" x14ac:dyDescent="0.25">
      <c r="B1936" s="130"/>
      <c r="C1936" s="135"/>
      <c r="D1936" s="177"/>
      <c r="E1936" s="178"/>
      <c r="F1936" s="178"/>
      <c r="G1936" s="340"/>
      <c r="H1936" s="340"/>
      <c r="I1936" s="179"/>
      <c r="J1936" s="344"/>
      <c r="K1936" s="345"/>
      <c r="L1936" s="346"/>
      <c r="M1936" s="347"/>
      <c r="N1936" s="347"/>
      <c r="O1936" s="132"/>
    </row>
    <row r="1937" spans="2:15" ht="26.25" customHeight="1" x14ac:dyDescent="0.25">
      <c r="B1937" s="130"/>
      <c r="C1937" s="135"/>
      <c r="D1937" s="177"/>
      <c r="E1937" s="178"/>
      <c r="F1937" s="178"/>
      <c r="G1937" s="340"/>
      <c r="H1937" s="340"/>
      <c r="I1937" s="179"/>
      <c r="J1937" s="344"/>
      <c r="K1937" s="345"/>
      <c r="L1937" s="346"/>
      <c r="M1937" s="347"/>
      <c r="N1937" s="347"/>
      <c r="O1937" s="132"/>
    </row>
    <row r="1938" spans="2:15" ht="26.25" customHeight="1" x14ac:dyDescent="0.25">
      <c r="B1938" s="130"/>
      <c r="C1938" s="135"/>
      <c r="D1938" s="177"/>
      <c r="E1938" s="178"/>
      <c r="F1938" s="178"/>
      <c r="G1938" s="340"/>
      <c r="H1938" s="340"/>
      <c r="I1938" s="179"/>
      <c r="J1938" s="344"/>
      <c r="K1938" s="345"/>
      <c r="L1938" s="346"/>
      <c r="M1938" s="347"/>
      <c r="N1938" s="347"/>
      <c r="O1938" s="132"/>
    </row>
    <row r="1939" spans="2:15" ht="26.25" customHeight="1" x14ac:dyDescent="0.25">
      <c r="B1939" s="130"/>
      <c r="C1939" s="135"/>
      <c r="D1939" s="177"/>
      <c r="E1939" s="178"/>
      <c r="F1939" s="178"/>
      <c r="G1939" s="340"/>
      <c r="H1939" s="340"/>
      <c r="I1939" s="179"/>
      <c r="J1939" s="344"/>
      <c r="K1939" s="345"/>
      <c r="L1939" s="346"/>
      <c r="M1939" s="347"/>
      <c r="N1939" s="347"/>
      <c r="O1939" s="132"/>
    </row>
    <row r="1940" spans="2:15" ht="26.25" customHeight="1" x14ac:dyDescent="0.25">
      <c r="B1940" s="130"/>
      <c r="C1940" s="135"/>
      <c r="D1940" s="177"/>
      <c r="E1940" s="178"/>
      <c r="F1940" s="178"/>
      <c r="G1940" s="340"/>
      <c r="H1940" s="340"/>
      <c r="I1940" s="179"/>
      <c r="J1940" s="344"/>
      <c r="K1940" s="345"/>
      <c r="L1940" s="346"/>
      <c r="M1940" s="347"/>
      <c r="N1940" s="347"/>
      <c r="O1940" s="132"/>
    </row>
    <row r="1941" spans="2:15" ht="26.25" customHeight="1" x14ac:dyDescent="0.25">
      <c r="B1941" s="130"/>
      <c r="C1941" s="135"/>
      <c r="D1941" s="177"/>
      <c r="E1941" s="178"/>
      <c r="F1941" s="178"/>
      <c r="G1941" s="340"/>
      <c r="H1941" s="340"/>
      <c r="I1941" s="179"/>
      <c r="J1941" s="344"/>
      <c r="K1941" s="345"/>
      <c r="L1941" s="346"/>
      <c r="M1941" s="347"/>
      <c r="N1941" s="347"/>
      <c r="O1941" s="132"/>
    </row>
    <row r="1942" spans="2:15" ht="26.25" customHeight="1" x14ac:dyDescent="0.25">
      <c r="B1942" s="130"/>
      <c r="C1942" s="135"/>
      <c r="D1942" s="177"/>
      <c r="E1942" s="178"/>
      <c r="F1942" s="178"/>
      <c r="G1942" s="340"/>
      <c r="H1942" s="340"/>
      <c r="I1942" s="179"/>
      <c r="J1942" s="344"/>
      <c r="K1942" s="345"/>
      <c r="L1942" s="346"/>
      <c r="M1942" s="347"/>
      <c r="N1942" s="347"/>
      <c r="O1942" s="132"/>
    </row>
    <row r="1943" spans="2:15" ht="26.25" customHeight="1" x14ac:dyDescent="0.25">
      <c r="B1943" s="130"/>
      <c r="C1943" s="135"/>
      <c r="D1943" s="177"/>
      <c r="E1943" s="178"/>
      <c r="F1943" s="178"/>
      <c r="G1943" s="340"/>
      <c r="H1943" s="340"/>
      <c r="I1943" s="179"/>
      <c r="J1943" s="344"/>
      <c r="K1943" s="345"/>
      <c r="L1943" s="346"/>
      <c r="M1943" s="347"/>
      <c r="N1943" s="347"/>
      <c r="O1943" s="132"/>
    </row>
    <row r="1944" spans="2:15" ht="26.25" customHeight="1" x14ac:dyDescent="0.25">
      <c r="B1944" s="130"/>
      <c r="C1944" s="135"/>
      <c r="D1944" s="177"/>
      <c r="E1944" s="178"/>
      <c r="F1944" s="178"/>
      <c r="G1944" s="340"/>
      <c r="H1944" s="340"/>
      <c r="I1944" s="179"/>
      <c r="J1944" s="344"/>
      <c r="K1944" s="345"/>
      <c r="L1944" s="346"/>
      <c r="M1944" s="347"/>
      <c r="N1944" s="347"/>
      <c r="O1944" s="132"/>
    </row>
    <row r="1945" spans="2:15" ht="26.25" customHeight="1" x14ac:dyDescent="0.25">
      <c r="B1945" s="130"/>
      <c r="C1945" s="135"/>
      <c r="D1945" s="177"/>
      <c r="E1945" s="178"/>
      <c r="F1945" s="178"/>
      <c r="G1945" s="340"/>
      <c r="H1945" s="340"/>
      <c r="I1945" s="179"/>
      <c r="J1945" s="344"/>
      <c r="K1945" s="345"/>
      <c r="L1945" s="346"/>
      <c r="M1945" s="347"/>
      <c r="N1945" s="347"/>
      <c r="O1945" s="132"/>
    </row>
    <row r="1946" spans="2:15" ht="26.25" customHeight="1" x14ac:dyDescent="0.25">
      <c r="B1946" s="130"/>
      <c r="C1946" s="135"/>
      <c r="D1946" s="177"/>
      <c r="E1946" s="178"/>
      <c r="F1946" s="178"/>
      <c r="G1946" s="340"/>
      <c r="H1946" s="340"/>
      <c r="I1946" s="179"/>
      <c r="J1946" s="344"/>
      <c r="K1946" s="345"/>
      <c r="L1946" s="346"/>
      <c r="M1946" s="347"/>
      <c r="N1946" s="347"/>
      <c r="O1946" s="132"/>
    </row>
    <row r="1947" spans="2:15" ht="26.25" customHeight="1" x14ac:dyDescent="0.25">
      <c r="B1947" s="130"/>
      <c r="C1947" s="135"/>
      <c r="D1947" s="177"/>
      <c r="E1947" s="178"/>
      <c r="F1947" s="178"/>
      <c r="G1947" s="340"/>
      <c r="H1947" s="340"/>
      <c r="I1947" s="179"/>
      <c r="J1947" s="344"/>
      <c r="K1947" s="345"/>
      <c r="L1947" s="346"/>
      <c r="M1947" s="347"/>
      <c r="N1947" s="347"/>
      <c r="O1947" s="132"/>
    </row>
    <row r="1948" spans="2:15" ht="26.25" customHeight="1" x14ac:dyDescent="0.25">
      <c r="B1948" s="130"/>
      <c r="C1948" s="135"/>
      <c r="D1948" s="177"/>
      <c r="E1948" s="178"/>
      <c r="F1948" s="178"/>
      <c r="G1948" s="340"/>
      <c r="H1948" s="340"/>
      <c r="I1948" s="179"/>
      <c r="J1948" s="344"/>
      <c r="K1948" s="345"/>
      <c r="L1948" s="346"/>
      <c r="M1948" s="347"/>
      <c r="N1948" s="347"/>
      <c r="O1948" s="132"/>
    </row>
    <row r="1949" spans="2:15" ht="26.25" customHeight="1" x14ac:dyDescent="0.25">
      <c r="B1949" s="130"/>
      <c r="C1949" s="135"/>
      <c r="D1949" s="177"/>
      <c r="E1949" s="178"/>
      <c r="F1949" s="178"/>
      <c r="G1949" s="340"/>
      <c r="H1949" s="340"/>
      <c r="I1949" s="179"/>
      <c r="J1949" s="344"/>
      <c r="K1949" s="345"/>
      <c r="L1949" s="346"/>
      <c r="M1949" s="347"/>
      <c r="N1949" s="347"/>
      <c r="O1949" s="132"/>
    </row>
    <row r="1950" spans="2:15" ht="26.25" customHeight="1" x14ac:dyDescent="0.25">
      <c r="B1950" s="130"/>
      <c r="C1950" s="135"/>
      <c r="D1950" s="177"/>
      <c r="E1950" s="178"/>
      <c r="F1950" s="178"/>
      <c r="G1950" s="340"/>
      <c r="H1950" s="340"/>
      <c r="I1950" s="179"/>
      <c r="J1950" s="344"/>
      <c r="K1950" s="345"/>
      <c r="L1950" s="346"/>
      <c r="M1950" s="347"/>
      <c r="N1950" s="347"/>
      <c r="O1950" s="132"/>
    </row>
    <row r="1951" spans="2:15" ht="26.25" customHeight="1" x14ac:dyDescent="0.25">
      <c r="B1951" s="130"/>
      <c r="C1951" s="135"/>
      <c r="D1951" s="177"/>
      <c r="E1951" s="178"/>
      <c r="F1951" s="178"/>
      <c r="G1951" s="340"/>
      <c r="H1951" s="340"/>
      <c r="I1951" s="179"/>
      <c r="J1951" s="344"/>
      <c r="K1951" s="345"/>
      <c r="L1951" s="346"/>
      <c r="M1951" s="347"/>
      <c r="N1951" s="347"/>
      <c r="O1951" s="132"/>
    </row>
    <row r="1952" spans="2:15" ht="26.25" customHeight="1" x14ac:dyDescent="0.25">
      <c r="B1952" s="130"/>
      <c r="C1952" s="135"/>
      <c r="D1952" s="177"/>
      <c r="E1952" s="178"/>
      <c r="F1952" s="178"/>
      <c r="G1952" s="340"/>
      <c r="H1952" s="340"/>
      <c r="I1952" s="179"/>
      <c r="J1952" s="344"/>
      <c r="K1952" s="345"/>
      <c r="L1952" s="346"/>
      <c r="M1952" s="347"/>
      <c r="N1952" s="347"/>
      <c r="O1952" s="132"/>
    </row>
    <row r="1953" spans="2:15" ht="26.25" customHeight="1" x14ac:dyDescent="0.25">
      <c r="B1953" s="130"/>
      <c r="C1953" s="135"/>
      <c r="D1953" s="177"/>
      <c r="E1953" s="178"/>
      <c r="F1953" s="178"/>
      <c r="G1953" s="340"/>
      <c r="H1953" s="340"/>
      <c r="I1953" s="179"/>
      <c r="J1953" s="344"/>
      <c r="K1953" s="345"/>
      <c r="L1953" s="346"/>
      <c r="M1953" s="347"/>
      <c r="N1953" s="347"/>
      <c r="O1953" s="132"/>
    </row>
    <row r="1954" spans="2:15" ht="26.25" customHeight="1" x14ac:dyDescent="0.25">
      <c r="B1954" s="130"/>
      <c r="C1954" s="135"/>
      <c r="D1954" s="177"/>
      <c r="E1954" s="178"/>
      <c r="F1954" s="178"/>
      <c r="G1954" s="340"/>
      <c r="H1954" s="340"/>
      <c r="I1954" s="179"/>
      <c r="J1954" s="344"/>
      <c r="K1954" s="345"/>
      <c r="L1954" s="346"/>
      <c r="M1954" s="347"/>
      <c r="N1954" s="347"/>
      <c r="O1954" s="132"/>
    </row>
    <row r="1955" spans="2:15" ht="26.25" customHeight="1" x14ac:dyDescent="0.25">
      <c r="B1955" s="130"/>
      <c r="C1955" s="135"/>
      <c r="D1955" s="177"/>
      <c r="E1955" s="178"/>
      <c r="F1955" s="178"/>
      <c r="G1955" s="340"/>
      <c r="H1955" s="340"/>
      <c r="I1955" s="179"/>
      <c r="J1955" s="344"/>
      <c r="K1955" s="345"/>
      <c r="L1955" s="346"/>
      <c r="M1955" s="347"/>
      <c r="N1955" s="347"/>
      <c r="O1955" s="132"/>
    </row>
    <row r="1956" spans="2:15" ht="26.25" customHeight="1" x14ac:dyDescent="0.25">
      <c r="B1956" s="130"/>
      <c r="C1956" s="135"/>
      <c r="D1956" s="177"/>
      <c r="E1956" s="178"/>
      <c r="F1956" s="178"/>
      <c r="G1956" s="340"/>
      <c r="H1956" s="340"/>
      <c r="I1956" s="179"/>
      <c r="J1956" s="344"/>
      <c r="K1956" s="345"/>
      <c r="L1956" s="346"/>
      <c r="M1956" s="347"/>
      <c r="N1956" s="347"/>
      <c r="O1956" s="132"/>
    </row>
    <row r="1957" spans="2:15" ht="26.25" customHeight="1" x14ac:dyDescent="0.25">
      <c r="B1957" s="130"/>
      <c r="C1957" s="135"/>
      <c r="D1957" s="177"/>
      <c r="E1957" s="178"/>
      <c r="F1957" s="178"/>
      <c r="G1957" s="340"/>
      <c r="H1957" s="340"/>
      <c r="I1957" s="179"/>
      <c r="J1957" s="344"/>
      <c r="K1957" s="345"/>
      <c r="L1957" s="346"/>
      <c r="M1957" s="347"/>
      <c r="N1957" s="347"/>
      <c r="O1957" s="132"/>
    </row>
    <row r="1958" spans="2:15" ht="26.25" customHeight="1" x14ac:dyDescent="0.25">
      <c r="B1958" s="130"/>
      <c r="C1958" s="135"/>
      <c r="D1958" s="177"/>
      <c r="E1958" s="178"/>
      <c r="F1958" s="178"/>
      <c r="G1958" s="340"/>
      <c r="H1958" s="340"/>
      <c r="I1958" s="179"/>
      <c r="J1958" s="344"/>
      <c r="K1958" s="345"/>
      <c r="L1958" s="346"/>
      <c r="M1958" s="347"/>
      <c r="N1958" s="347"/>
      <c r="O1958" s="132"/>
    </row>
    <row r="1959" spans="2:15" ht="26.25" customHeight="1" x14ac:dyDescent="0.25">
      <c r="B1959" s="130"/>
      <c r="C1959" s="135"/>
      <c r="D1959" s="177"/>
      <c r="E1959" s="178"/>
      <c r="F1959" s="178"/>
      <c r="G1959" s="340"/>
      <c r="H1959" s="340"/>
      <c r="I1959" s="179"/>
      <c r="J1959" s="344"/>
      <c r="K1959" s="345"/>
      <c r="L1959" s="346"/>
      <c r="M1959" s="347"/>
      <c r="N1959" s="347"/>
      <c r="O1959" s="132"/>
    </row>
    <row r="1960" spans="2:15" ht="26.25" customHeight="1" x14ac:dyDescent="0.25">
      <c r="B1960" s="130"/>
      <c r="C1960" s="135"/>
      <c r="D1960" s="177"/>
      <c r="E1960" s="178"/>
      <c r="F1960" s="178"/>
      <c r="G1960" s="340"/>
      <c r="H1960" s="340"/>
      <c r="I1960" s="179"/>
      <c r="J1960" s="344"/>
      <c r="K1960" s="345"/>
      <c r="L1960" s="346"/>
      <c r="M1960" s="347"/>
      <c r="N1960" s="347"/>
      <c r="O1960" s="132"/>
    </row>
    <row r="1961" spans="2:15" ht="26.25" customHeight="1" x14ac:dyDescent="0.25">
      <c r="B1961" s="130"/>
      <c r="C1961" s="135"/>
      <c r="D1961" s="177"/>
      <c r="E1961" s="178"/>
      <c r="F1961" s="178"/>
      <c r="G1961" s="340"/>
      <c r="H1961" s="340"/>
      <c r="I1961" s="179"/>
      <c r="J1961" s="344"/>
      <c r="K1961" s="345"/>
      <c r="L1961" s="346"/>
      <c r="M1961" s="347"/>
      <c r="N1961" s="347"/>
      <c r="O1961" s="132"/>
    </row>
    <row r="1962" spans="2:15" ht="26.25" customHeight="1" x14ac:dyDescent="0.25">
      <c r="B1962" s="130"/>
      <c r="C1962" s="135"/>
      <c r="D1962" s="177"/>
      <c r="E1962" s="178"/>
      <c r="F1962" s="178"/>
      <c r="G1962" s="340"/>
      <c r="H1962" s="340"/>
      <c r="I1962" s="179"/>
      <c r="J1962" s="344"/>
      <c r="K1962" s="345"/>
      <c r="L1962" s="346"/>
      <c r="M1962" s="347"/>
      <c r="N1962" s="347"/>
      <c r="O1962" s="132"/>
    </row>
    <row r="1963" spans="2:15" ht="26.25" customHeight="1" x14ac:dyDescent="0.25">
      <c r="B1963" s="130"/>
      <c r="C1963" s="135"/>
      <c r="D1963" s="177"/>
      <c r="E1963" s="178"/>
      <c r="F1963" s="178"/>
      <c r="G1963" s="340"/>
      <c r="H1963" s="340"/>
      <c r="I1963" s="179"/>
      <c r="J1963" s="344"/>
      <c r="K1963" s="345"/>
      <c r="L1963" s="346"/>
      <c r="M1963" s="347"/>
      <c r="N1963" s="347"/>
      <c r="O1963" s="132"/>
    </row>
    <row r="1964" spans="2:15" ht="26.25" customHeight="1" x14ac:dyDescent="0.25">
      <c r="B1964" s="130"/>
      <c r="C1964" s="135"/>
      <c r="D1964" s="177"/>
      <c r="E1964" s="178"/>
      <c r="F1964" s="178"/>
      <c r="G1964" s="340"/>
      <c r="H1964" s="340"/>
      <c r="I1964" s="179"/>
      <c r="J1964" s="344"/>
      <c r="K1964" s="345"/>
      <c r="L1964" s="346"/>
      <c r="M1964" s="347"/>
      <c r="N1964" s="347"/>
      <c r="O1964" s="132"/>
    </row>
    <row r="1965" spans="2:15" ht="26.25" customHeight="1" x14ac:dyDescent="0.25">
      <c r="B1965" s="130"/>
      <c r="C1965" s="135"/>
      <c r="D1965" s="177"/>
      <c r="E1965" s="178"/>
      <c r="F1965" s="178"/>
      <c r="G1965" s="340"/>
      <c r="H1965" s="340"/>
      <c r="I1965" s="179"/>
      <c r="J1965" s="344"/>
      <c r="K1965" s="345"/>
      <c r="L1965" s="346"/>
      <c r="M1965" s="347"/>
      <c r="N1965" s="347"/>
      <c r="O1965" s="132"/>
    </row>
    <row r="1966" spans="2:15" ht="26.25" customHeight="1" x14ac:dyDescent="0.25">
      <c r="B1966" s="130"/>
      <c r="C1966" s="135"/>
      <c r="D1966" s="177"/>
      <c r="E1966" s="178"/>
      <c r="F1966" s="178"/>
      <c r="G1966" s="340"/>
      <c r="H1966" s="340"/>
      <c r="I1966" s="179"/>
      <c r="J1966" s="344"/>
      <c r="K1966" s="345"/>
      <c r="L1966" s="346"/>
      <c r="M1966" s="347"/>
      <c r="N1966" s="347"/>
      <c r="O1966" s="132"/>
    </row>
    <row r="1967" spans="2:15" ht="26.25" customHeight="1" x14ac:dyDescent="0.25">
      <c r="B1967" s="130"/>
      <c r="C1967" s="135"/>
      <c r="D1967" s="177"/>
      <c r="E1967" s="178"/>
      <c r="F1967" s="178"/>
      <c r="G1967" s="340"/>
      <c r="H1967" s="340"/>
      <c r="I1967" s="179"/>
      <c r="J1967" s="344"/>
      <c r="K1967" s="345"/>
      <c r="L1967" s="346"/>
      <c r="M1967" s="347"/>
      <c r="N1967" s="347"/>
      <c r="O1967" s="132"/>
    </row>
    <row r="1968" spans="2:15" ht="26.25" customHeight="1" x14ac:dyDescent="0.25">
      <c r="B1968" s="130"/>
      <c r="C1968" s="135"/>
      <c r="D1968" s="177"/>
      <c r="E1968" s="178"/>
      <c r="F1968" s="178"/>
      <c r="G1968" s="340"/>
      <c r="H1968" s="340"/>
      <c r="I1968" s="179"/>
      <c r="J1968" s="344"/>
      <c r="K1968" s="345"/>
      <c r="L1968" s="346"/>
      <c r="M1968" s="347"/>
      <c r="N1968" s="347"/>
      <c r="O1968" s="132"/>
    </row>
    <row r="1969" spans="2:15" ht="26.25" customHeight="1" x14ac:dyDescent="0.25">
      <c r="B1969" s="130"/>
      <c r="C1969" s="135"/>
      <c r="D1969" s="177"/>
      <c r="E1969" s="178"/>
      <c r="F1969" s="178"/>
      <c r="G1969" s="340"/>
      <c r="H1969" s="340"/>
      <c r="I1969" s="179"/>
      <c r="J1969" s="344"/>
      <c r="K1969" s="345"/>
      <c r="L1969" s="346"/>
      <c r="M1969" s="347"/>
      <c r="N1969" s="347"/>
      <c r="O1969" s="132"/>
    </row>
    <row r="1970" spans="2:15" ht="26.25" customHeight="1" x14ac:dyDescent="0.25">
      <c r="B1970" s="130"/>
      <c r="C1970" s="135"/>
      <c r="D1970" s="177"/>
      <c r="E1970" s="178"/>
      <c r="F1970" s="178"/>
      <c r="G1970" s="340"/>
      <c r="H1970" s="340"/>
      <c r="I1970" s="179"/>
      <c r="J1970" s="344"/>
      <c r="K1970" s="345"/>
      <c r="L1970" s="346"/>
      <c r="M1970" s="347"/>
      <c r="N1970" s="347"/>
      <c r="O1970" s="132"/>
    </row>
    <row r="1971" spans="2:15" ht="26.25" customHeight="1" x14ac:dyDescent="0.25">
      <c r="B1971" s="130"/>
      <c r="C1971" s="135"/>
      <c r="D1971" s="177"/>
      <c r="E1971" s="178"/>
      <c r="F1971" s="178"/>
      <c r="G1971" s="340"/>
      <c r="H1971" s="340"/>
      <c r="I1971" s="179"/>
      <c r="J1971" s="344"/>
      <c r="K1971" s="345"/>
      <c r="L1971" s="346"/>
      <c r="M1971" s="347"/>
      <c r="N1971" s="347"/>
      <c r="O1971" s="132"/>
    </row>
    <row r="1972" spans="2:15" ht="26.25" customHeight="1" x14ac:dyDescent="0.25">
      <c r="B1972" s="130"/>
      <c r="C1972" s="135"/>
      <c r="D1972" s="177"/>
      <c r="E1972" s="178"/>
      <c r="F1972" s="178"/>
      <c r="G1972" s="340"/>
      <c r="H1972" s="340"/>
      <c r="I1972" s="179"/>
      <c r="J1972" s="344"/>
      <c r="K1972" s="345"/>
      <c r="L1972" s="346"/>
      <c r="M1972" s="347"/>
      <c r="N1972" s="347"/>
      <c r="O1972" s="132"/>
    </row>
    <row r="1973" spans="2:15" ht="26.25" customHeight="1" x14ac:dyDescent="0.25">
      <c r="B1973" s="130"/>
      <c r="C1973" s="135"/>
      <c r="D1973" s="177"/>
      <c r="E1973" s="178"/>
      <c r="F1973" s="178"/>
      <c r="G1973" s="340"/>
      <c r="H1973" s="340"/>
      <c r="I1973" s="179"/>
      <c r="J1973" s="344"/>
      <c r="K1973" s="345"/>
      <c r="L1973" s="346"/>
      <c r="M1973" s="347"/>
      <c r="N1973" s="347"/>
      <c r="O1973" s="132"/>
    </row>
    <row r="1974" spans="2:15" ht="26.25" customHeight="1" x14ac:dyDescent="0.25">
      <c r="B1974" s="130"/>
      <c r="C1974" s="135"/>
      <c r="D1974" s="177"/>
      <c r="E1974" s="178"/>
      <c r="F1974" s="178"/>
      <c r="G1974" s="340"/>
      <c r="H1974" s="340"/>
      <c r="I1974" s="179"/>
      <c r="J1974" s="344"/>
      <c r="K1974" s="345"/>
      <c r="L1974" s="346"/>
      <c r="M1974" s="347"/>
      <c r="N1974" s="347"/>
      <c r="O1974" s="132"/>
    </row>
    <row r="1975" spans="2:15" ht="26.25" customHeight="1" x14ac:dyDescent="0.25">
      <c r="B1975" s="130"/>
      <c r="C1975" s="135"/>
      <c r="D1975" s="177"/>
      <c r="E1975" s="178"/>
      <c r="F1975" s="178"/>
      <c r="G1975" s="340"/>
      <c r="H1975" s="340"/>
      <c r="I1975" s="179"/>
      <c r="J1975" s="344"/>
      <c r="K1975" s="345"/>
      <c r="L1975" s="346"/>
      <c r="M1975" s="347"/>
      <c r="N1975" s="347"/>
      <c r="O1975" s="132"/>
    </row>
    <row r="1976" spans="2:15" ht="26.25" customHeight="1" x14ac:dyDescent="0.25">
      <c r="B1976" s="130"/>
      <c r="C1976" s="135"/>
      <c r="D1976" s="177"/>
      <c r="E1976" s="178"/>
      <c r="F1976" s="178"/>
      <c r="G1976" s="340"/>
      <c r="H1976" s="340"/>
      <c r="I1976" s="179"/>
      <c r="J1976" s="344"/>
      <c r="K1976" s="345"/>
      <c r="L1976" s="346"/>
      <c r="M1976" s="347"/>
      <c r="N1976" s="347"/>
      <c r="O1976" s="132"/>
    </row>
    <row r="1977" spans="2:15" ht="26.25" customHeight="1" x14ac:dyDescent="0.25">
      <c r="B1977" s="130"/>
      <c r="C1977" s="135"/>
      <c r="D1977" s="177"/>
      <c r="E1977" s="178"/>
      <c r="F1977" s="178"/>
      <c r="G1977" s="340"/>
      <c r="H1977" s="340"/>
      <c r="I1977" s="179"/>
      <c r="J1977" s="344"/>
      <c r="K1977" s="345"/>
      <c r="L1977" s="346"/>
      <c r="M1977" s="347"/>
      <c r="N1977" s="347"/>
      <c r="O1977" s="132"/>
    </row>
    <row r="1978" spans="2:15" ht="26.25" customHeight="1" x14ac:dyDescent="0.25">
      <c r="B1978" s="130"/>
      <c r="C1978" s="135"/>
      <c r="D1978" s="177"/>
      <c r="E1978" s="178"/>
      <c r="F1978" s="178"/>
      <c r="G1978" s="340"/>
      <c r="H1978" s="340"/>
      <c r="I1978" s="179"/>
      <c r="J1978" s="344"/>
      <c r="K1978" s="345"/>
      <c r="L1978" s="346"/>
      <c r="M1978" s="347"/>
      <c r="N1978" s="347"/>
      <c r="O1978" s="132"/>
    </row>
    <row r="1979" spans="2:15" ht="26.25" customHeight="1" x14ac:dyDescent="0.25">
      <c r="B1979" s="130"/>
      <c r="C1979" s="135"/>
      <c r="D1979" s="177"/>
      <c r="E1979" s="178"/>
      <c r="F1979" s="178"/>
      <c r="G1979" s="340"/>
      <c r="H1979" s="340"/>
      <c r="I1979" s="179"/>
      <c r="J1979" s="344"/>
      <c r="K1979" s="345"/>
      <c r="L1979" s="346"/>
      <c r="M1979" s="347"/>
      <c r="N1979" s="347"/>
      <c r="O1979" s="132"/>
    </row>
    <row r="1980" spans="2:15" ht="26.25" customHeight="1" x14ac:dyDescent="0.25">
      <c r="B1980" s="130"/>
      <c r="C1980" s="135"/>
      <c r="D1980" s="177"/>
      <c r="E1980" s="178"/>
      <c r="F1980" s="178"/>
      <c r="G1980" s="340"/>
      <c r="H1980" s="340"/>
      <c r="I1980" s="179"/>
      <c r="J1980" s="344"/>
      <c r="K1980" s="345"/>
      <c r="L1980" s="346"/>
      <c r="M1980" s="347"/>
      <c r="N1980" s="347"/>
      <c r="O1980" s="132"/>
    </row>
    <row r="1981" spans="2:15" ht="26.25" customHeight="1" x14ac:dyDescent="0.25">
      <c r="B1981" s="130"/>
      <c r="C1981" s="135"/>
      <c r="D1981" s="177"/>
      <c r="E1981" s="178"/>
      <c r="F1981" s="178"/>
      <c r="G1981" s="340"/>
      <c r="H1981" s="340"/>
      <c r="I1981" s="179"/>
      <c r="J1981" s="344"/>
      <c r="K1981" s="345"/>
      <c r="L1981" s="346"/>
      <c r="M1981" s="347"/>
      <c r="N1981" s="347"/>
      <c r="O1981" s="132"/>
    </row>
    <row r="1982" spans="2:15" ht="26.25" customHeight="1" x14ac:dyDescent="0.25">
      <c r="B1982" s="130"/>
      <c r="C1982" s="135"/>
      <c r="D1982" s="177"/>
      <c r="E1982" s="178"/>
      <c r="F1982" s="178"/>
      <c r="G1982" s="340"/>
      <c r="H1982" s="340"/>
      <c r="I1982" s="179"/>
      <c r="J1982" s="344"/>
      <c r="K1982" s="345"/>
      <c r="L1982" s="346"/>
      <c r="M1982" s="347"/>
      <c r="N1982" s="347"/>
      <c r="O1982" s="132"/>
    </row>
    <row r="1983" spans="2:15" ht="26.25" customHeight="1" x14ac:dyDescent="0.25">
      <c r="B1983" s="130"/>
      <c r="C1983" s="135"/>
      <c r="D1983" s="177"/>
      <c r="E1983" s="178"/>
      <c r="F1983" s="178"/>
      <c r="G1983" s="340"/>
      <c r="H1983" s="340"/>
      <c r="I1983" s="179"/>
      <c r="J1983" s="344"/>
      <c r="K1983" s="345"/>
      <c r="L1983" s="346"/>
      <c r="M1983" s="347"/>
      <c r="N1983" s="347"/>
      <c r="O1983" s="132"/>
    </row>
    <row r="1984" spans="2:15" ht="26.25" customHeight="1" x14ac:dyDescent="0.25">
      <c r="B1984" s="130"/>
      <c r="C1984" s="135"/>
      <c r="D1984" s="177"/>
      <c r="E1984" s="178"/>
      <c r="F1984" s="178"/>
      <c r="G1984" s="340"/>
      <c r="H1984" s="340"/>
      <c r="I1984" s="179"/>
      <c r="J1984" s="344"/>
      <c r="K1984" s="345"/>
      <c r="L1984" s="346"/>
      <c r="M1984" s="347"/>
      <c r="N1984" s="347"/>
      <c r="O1984" s="132"/>
    </row>
    <row r="1985" spans="2:15" ht="26.25" customHeight="1" x14ac:dyDescent="0.25">
      <c r="B1985" s="130"/>
      <c r="C1985" s="135"/>
      <c r="D1985" s="177"/>
      <c r="E1985" s="178"/>
      <c r="F1985" s="178"/>
      <c r="G1985" s="340"/>
      <c r="H1985" s="340"/>
      <c r="I1985" s="179"/>
      <c r="J1985" s="344"/>
      <c r="K1985" s="345"/>
      <c r="L1985" s="346"/>
      <c r="M1985" s="347"/>
      <c r="N1985" s="347"/>
      <c r="O1985" s="132"/>
    </row>
    <row r="1986" spans="2:15" ht="26.25" customHeight="1" x14ac:dyDescent="0.25">
      <c r="B1986" s="130"/>
      <c r="C1986" s="135"/>
      <c r="D1986" s="177"/>
      <c r="E1986" s="178"/>
      <c r="F1986" s="178"/>
      <c r="G1986" s="340"/>
      <c r="H1986" s="340"/>
      <c r="I1986" s="179"/>
      <c r="J1986" s="344"/>
      <c r="K1986" s="345"/>
      <c r="L1986" s="346"/>
      <c r="M1986" s="347"/>
      <c r="N1986" s="347"/>
      <c r="O1986" s="132"/>
    </row>
    <row r="1987" spans="2:15" ht="26.25" customHeight="1" x14ac:dyDescent="0.25">
      <c r="B1987" s="130"/>
      <c r="C1987" s="135"/>
      <c r="D1987" s="177"/>
      <c r="E1987" s="178"/>
      <c r="F1987" s="178"/>
      <c r="G1987" s="340"/>
      <c r="H1987" s="340"/>
      <c r="I1987" s="179"/>
      <c r="J1987" s="344"/>
      <c r="K1987" s="345"/>
      <c r="L1987" s="346"/>
      <c r="M1987" s="347"/>
      <c r="N1987" s="347"/>
      <c r="O1987" s="132"/>
    </row>
    <row r="1988" spans="2:15" ht="26.25" customHeight="1" x14ac:dyDescent="0.25">
      <c r="B1988" s="130"/>
      <c r="C1988" s="135"/>
      <c r="D1988" s="177"/>
      <c r="E1988" s="178"/>
      <c r="F1988" s="178"/>
      <c r="G1988" s="340"/>
      <c r="H1988" s="340"/>
      <c r="I1988" s="179"/>
      <c r="J1988" s="344"/>
      <c r="K1988" s="345"/>
      <c r="L1988" s="346"/>
      <c r="M1988" s="347"/>
      <c r="N1988" s="347"/>
      <c r="O1988" s="132"/>
    </row>
    <row r="1989" spans="2:15" ht="26.25" customHeight="1" x14ac:dyDescent="0.25">
      <c r="B1989" s="130"/>
      <c r="C1989" s="135"/>
      <c r="D1989" s="177"/>
      <c r="E1989" s="178"/>
      <c r="F1989" s="178"/>
      <c r="G1989" s="340"/>
      <c r="H1989" s="340"/>
      <c r="I1989" s="179"/>
      <c r="J1989" s="344"/>
      <c r="K1989" s="345"/>
      <c r="L1989" s="346"/>
      <c r="M1989" s="347"/>
      <c r="N1989" s="347"/>
      <c r="O1989" s="132"/>
    </row>
    <row r="1990" spans="2:15" ht="26.25" customHeight="1" x14ac:dyDescent="0.25">
      <c r="B1990" s="130"/>
      <c r="C1990" s="135"/>
      <c r="D1990" s="177"/>
      <c r="E1990" s="178"/>
      <c r="F1990" s="178"/>
      <c r="G1990" s="340"/>
      <c r="H1990" s="340"/>
      <c r="I1990" s="179"/>
      <c r="J1990" s="344"/>
      <c r="K1990" s="345"/>
      <c r="L1990" s="346"/>
      <c r="M1990" s="347"/>
      <c r="N1990" s="347"/>
      <c r="O1990" s="132"/>
    </row>
    <row r="1991" spans="2:15" ht="26.25" customHeight="1" x14ac:dyDescent="0.25">
      <c r="B1991" s="130"/>
      <c r="C1991" s="135"/>
      <c r="D1991" s="177"/>
      <c r="E1991" s="178"/>
      <c r="F1991" s="178"/>
      <c r="G1991" s="340"/>
      <c r="H1991" s="340"/>
      <c r="I1991" s="179"/>
      <c r="J1991" s="344"/>
      <c r="K1991" s="345"/>
      <c r="L1991" s="346"/>
      <c r="M1991" s="347"/>
      <c r="N1991" s="347"/>
      <c r="O1991" s="132"/>
    </row>
    <row r="1992" spans="2:15" ht="26.25" customHeight="1" x14ac:dyDescent="0.25">
      <c r="B1992" s="130"/>
      <c r="C1992" s="135"/>
      <c r="D1992" s="177"/>
      <c r="E1992" s="178"/>
      <c r="F1992" s="178"/>
      <c r="G1992" s="340"/>
      <c r="H1992" s="340"/>
      <c r="I1992" s="179"/>
      <c r="J1992" s="344"/>
      <c r="K1992" s="345"/>
      <c r="L1992" s="346"/>
      <c r="M1992" s="347"/>
      <c r="N1992" s="347"/>
      <c r="O1992" s="132"/>
    </row>
    <row r="1993" spans="2:15" ht="26.25" customHeight="1" x14ac:dyDescent="0.25">
      <c r="B1993" s="130"/>
      <c r="C1993" s="135"/>
      <c r="D1993" s="177"/>
      <c r="E1993" s="178"/>
      <c r="F1993" s="178"/>
      <c r="G1993" s="340"/>
      <c r="H1993" s="340"/>
      <c r="I1993" s="179"/>
      <c r="J1993" s="344"/>
      <c r="K1993" s="345"/>
      <c r="L1993" s="346"/>
      <c r="M1993" s="347"/>
      <c r="N1993" s="347"/>
      <c r="O1993" s="132"/>
    </row>
    <row r="1994" spans="2:15" ht="26.25" customHeight="1" x14ac:dyDescent="0.25">
      <c r="B1994" s="130"/>
      <c r="C1994" s="135"/>
      <c r="D1994" s="177"/>
      <c r="E1994" s="178"/>
      <c r="F1994" s="178"/>
      <c r="G1994" s="340"/>
      <c r="H1994" s="340"/>
      <c r="I1994" s="179"/>
      <c r="J1994" s="344"/>
      <c r="K1994" s="345"/>
      <c r="L1994" s="346"/>
      <c r="M1994" s="347"/>
      <c r="N1994" s="347"/>
      <c r="O1994" s="132"/>
    </row>
    <row r="1995" spans="2:15" ht="26.25" customHeight="1" x14ac:dyDescent="0.25">
      <c r="B1995" s="130"/>
      <c r="C1995" s="135"/>
      <c r="D1995" s="177"/>
      <c r="E1995" s="178"/>
      <c r="F1995" s="178"/>
      <c r="G1995" s="340"/>
      <c r="H1995" s="340"/>
      <c r="I1995" s="179"/>
      <c r="J1995" s="344"/>
      <c r="K1995" s="345"/>
      <c r="L1995" s="346"/>
      <c r="M1995" s="347"/>
      <c r="N1995" s="347"/>
      <c r="O1995" s="132"/>
    </row>
    <row r="1996" spans="2:15" ht="26.25" customHeight="1" x14ac:dyDescent="0.25">
      <c r="B1996" s="130"/>
      <c r="C1996" s="135"/>
      <c r="D1996" s="177"/>
      <c r="E1996" s="178"/>
      <c r="F1996" s="178"/>
      <c r="G1996" s="340"/>
      <c r="H1996" s="340"/>
      <c r="I1996" s="179"/>
      <c r="J1996" s="344"/>
      <c r="K1996" s="345"/>
      <c r="L1996" s="346"/>
      <c r="M1996" s="347"/>
      <c r="N1996" s="347"/>
      <c r="O1996" s="132"/>
    </row>
    <row r="1997" spans="2:15" ht="26.25" customHeight="1" x14ac:dyDescent="0.25">
      <c r="B1997" s="130"/>
      <c r="C1997" s="135"/>
      <c r="D1997" s="177"/>
      <c r="E1997" s="178"/>
      <c r="F1997" s="178"/>
      <c r="G1997" s="340"/>
      <c r="H1997" s="340"/>
      <c r="I1997" s="179"/>
      <c r="J1997" s="344"/>
      <c r="K1997" s="345"/>
      <c r="L1997" s="346"/>
      <c r="M1997" s="347"/>
      <c r="N1997" s="347"/>
      <c r="O1997" s="132"/>
    </row>
    <row r="1998" spans="2:15" ht="26.25" customHeight="1" x14ac:dyDescent="0.25">
      <c r="B1998" s="130"/>
      <c r="C1998" s="135"/>
      <c r="D1998" s="177"/>
      <c r="E1998" s="178"/>
      <c r="F1998" s="178"/>
      <c r="G1998" s="340"/>
      <c r="H1998" s="340"/>
      <c r="I1998" s="179"/>
      <c r="J1998" s="344"/>
      <c r="K1998" s="345"/>
      <c r="L1998" s="346"/>
      <c r="M1998" s="347"/>
      <c r="N1998" s="347"/>
      <c r="O1998" s="132"/>
    </row>
    <row r="1999" spans="2:15" ht="26.25" customHeight="1" x14ac:dyDescent="0.25">
      <c r="B1999" s="130"/>
      <c r="C1999" s="135"/>
      <c r="D1999" s="177"/>
      <c r="E1999" s="178"/>
      <c r="F1999" s="178"/>
      <c r="G1999" s="340"/>
      <c r="H1999" s="340"/>
      <c r="I1999" s="179"/>
      <c r="J1999" s="344"/>
      <c r="K1999" s="345"/>
      <c r="L1999" s="346"/>
      <c r="M1999" s="347"/>
      <c r="N1999" s="347"/>
      <c r="O1999" s="132"/>
    </row>
    <row r="2000" spans="2:15" ht="26.25" customHeight="1" x14ac:dyDescent="0.25">
      <c r="B2000" s="130"/>
      <c r="C2000" s="135"/>
      <c r="D2000" s="177"/>
      <c r="E2000" s="178"/>
      <c r="F2000" s="178"/>
      <c r="G2000" s="340"/>
      <c r="H2000" s="340"/>
      <c r="I2000" s="179"/>
      <c r="J2000" s="344"/>
      <c r="K2000" s="345"/>
      <c r="L2000" s="346"/>
      <c r="M2000" s="347"/>
      <c r="N2000" s="347"/>
      <c r="O2000" s="132"/>
    </row>
    <row r="2001" spans="2:15" ht="26.25" customHeight="1" x14ac:dyDescent="0.25">
      <c r="B2001" s="130"/>
      <c r="C2001" s="135"/>
      <c r="D2001" s="177"/>
      <c r="E2001" s="178"/>
      <c r="F2001" s="178"/>
      <c r="G2001" s="340"/>
      <c r="H2001" s="340"/>
      <c r="I2001" s="179"/>
      <c r="J2001" s="344"/>
      <c r="K2001" s="345"/>
      <c r="L2001" s="346"/>
      <c r="M2001" s="347"/>
      <c r="N2001" s="347"/>
      <c r="O2001" s="132"/>
    </row>
    <row r="2002" spans="2:15" ht="26.25" customHeight="1" x14ac:dyDescent="0.25">
      <c r="B2002" s="130"/>
      <c r="C2002" s="135"/>
      <c r="D2002" s="177"/>
      <c r="E2002" s="178"/>
      <c r="F2002" s="178"/>
      <c r="G2002" s="340"/>
      <c r="H2002" s="340"/>
      <c r="I2002" s="179"/>
      <c r="J2002" s="344"/>
      <c r="K2002" s="345"/>
      <c r="L2002" s="346"/>
      <c r="M2002" s="347"/>
      <c r="N2002" s="347"/>
      <c r="O2002" s="132"/>
    </row>
    <row r="2003" spans="2:15" ht="26.25" customHeight="1" x14ac:dyDescent="0.25">
      <c r="B2003" s="130"/>
      <c r="C2003" s="135"/>
      <c r="D2003" s="177"/>
      <c r="E2003" s="178"/>
      <c r="F2003" s="178"/>
      <c r="G2003" s="340"/>
      <c r="H2003" s="340"/>
      <c r="I2003" s="179"/>
      <c r="J2003" s="344"/>
      <c r="K2003" s="345"/>
      <c r="L2003" s="346"/>
      <c r="M2003" s="347"/>
      <c r="N2003" s="347"/>
      <c r="O2003" s="132"/>
    </row>
    <row r="2004" spans="2:15" ht="26.25" customHeight="1" x14ac:dyDescent="0.25">
      <c r="B2004" s="130"/>
      <c r="C2004" s="135"/>
      <c r="D2004" s="177"/>
      <c r="E2004" s="178"/>
      <c r="F2004" s="178"/>
      <c r="G2004" s="340"/>
      <c r="H2004" s="340"/>
      <c r="I2004" s="179"/>
      <c r="J2004" s="344"/>
      <c r="K2004" s="345"/>
      <c r="L2004" s="346"/>
      <c r="M2004" s="347"/>
      <c r="N2004" s="347"/>
      <c r="O2004" s="132"/>
    </row>
    <row r="2005" spans="2:15" ht="26.25" customHeight="1" x14ac:dyDescent="0.25">
      <c r="B2005" s="130"/>
      <c r="C2005" s="135"/>
      <c r="D2005" s="177"/>
      <c r="E2005" s="178"/>
      <c r="F2005" s="178"/>
      <c r="G2005" s="340"/>
      <c r="H2005" s="340"/>
      <c r="I2005" s="179"/>
      <c r="J2005" s="344"/>
      <c r="K2005" s="345"/>
      <c r="L2005" s="346"/>
      <c r="M2005" s="347"/>
      <c r="N2005" s="347"/>
      <c r="O2005" s="132"/>
    </row>
    <row r="2006" spans="2:15" ht="26.25" customHeight="1" x14ac:dyDescent="0.25">
      <c r="B2006" s="130"/>
      <c r="C2006" s="135"/>
      <c r="D2006" s="177"/>
      <c r="E2006" s="178"/>
      <c r="F2006" s="178"/>
      <c r="G2006" s="340"/>
      <c r="H2006" s="340"/>
      <c r="I2006" s="179"/>
      <c r="J2006" s="344"/>
      <c r="K2006" s="345"/>
      <c r="L2006" s="346"/>
      <c r="M2006" s="347"/>
      <c r="N2006" s="347"/>
      <c r="O2006" s="132"/>
    </row>
    <row r="2007" spans="2:15" ht="26.25" customHeight="1" x14ac:dyDescent="0.25">
      <c r="B2007" s="130"/>
      <c r="C2007" s="135"/>
      <c r="D2007" s="177"/>
      <c r="E2007" s="178"/>
      <c r="F2007" s="178"/>
      <c r="G2007" s="340"/>
      <c r="H2007" s="340"/>
      <c r="I2007" s="179"/>
      <c r="J2007" s="344"/>
      <c r="K2007" s="345"/>
      <c r="L2007" s="346"/>
      <c r="M2007" s="347"/>
      <c r="N2007" s="347"/>
      <c r="O2007" s="132"/>
    </row>
    <row r="2008" spans="2:15" ht="26.25" customHeight="1" x14ac:dyDescent="0.25">
      <c r="B2008" s="130"/>
      <c r="C2008" s="135"/>
      <c r="D2008" s="177"/>
      <c r="E2008" s="178"/>
      <c r="F2008" s="178"/>
      <c r="G2008" s="340"/>
      <c r="H2008" s="340"/>
      <c r="I2008" s="179"/>
      <c r="J2008" s="344"/>
      <c r="K2008" s="345"/>
      <c r="L2008" s="346"/>
      <c r="M2008" s="347"/>
      <c r="N2008" s="347"/>
      <c r="O2008" s="132"/>
    </row>
    <row r="2009" spans="2:15" ht="26.25" customHeight="1" x14ac:dyDescent="0.25">
      <c r="B2009" s="130"/>
      <c r="C2009" s="135"/>
      <c r="D2009" s="177"/>
      <c r="E2009" s="178"/>
      <c r="F2009" s="178"/>
      <c r="G2009" s="340"/>
      <c r="H2009" s="340"/>
      <c r="I2009" s="179"/>
      <c r="J2009" s="344"/>
      <c r="K2009" s="345"/>
      <c r="L2009" s="346"/>
      <c r="M2009" s="347"/>
      <c r="N2009" s="347"/>
      <c r="O2009" s="132"/>
    </row>
    <row r="2010" spans="2:15" ht="26.25" customHeight="1" x14ac:dyDescent="0.25">
      <c r="B2010" s="130"/>
      <c r="C2010" s="135"/>
      <c r="D2010" s="177"/>
      <c r="E2010" s="178"/>
      <c r="F2010" s="178"/>
      <c r="G2010" s="340"/>
      <c r="H2010" s="340"/>
      <c r="I2010" s="179"/>
      <c r="J2010" s="344"/>
      <c r="K2010" s="345"/>
      <c r="L2010" s="346"/>
      <c r="M2010" s="347"/>
      <c r="N2010" s="347"/>
      <c r="O2010" s="132"/>
    </row>
    <row r="2011" spans="2:15" ht="26.25" customHeight="1" x14ac:dyDescent="0.25">
      <c r="B2011" s="130"/>
      <c r="C2011" s="135"/>
      <c r="D2011" s="177"/>
      <c r="E2011" s="178"/>
      <c r="F2011" s="178"/>
      <c r="G2011" s="340"/>
      <c r="H2011" s="340"/>
      <c r="I2011" s="179"/>
      <c r="J2011" s="344"/>
      <c r="K2011" s="345"/>
      <c r="L2011" s="346"/>
      <c r="M2011" s="347"/>
      <c r="N2011" s="347"/>
      <c r="O2011" s="132"/>
    </row>
    <row r="2012" spans="2:15" ht="26.25" customHeight="1" x14ac:dyDescent="0.25">
      <c r="B2012" s="130"/>
      <c r="C2012" s="135"/>
      <c r="D2012" s="177"/>
      <c r="E2012" s="178"/>
      <c r="F2012" s="178"/>
      <c r="G2012" s="340"/>
      <c r="H2012" s="340"/>
      <c r="I2012" s="179"/>
      <c r="J2012" s="344"/>
      <c r="K2012" s="345"/>
      <c r="L2012" s="346"/>
      <c r="M2012" s="347"/>
      <c r="N2012" s="347"/>
      <c r="O2012" s="132"/>
    </row>
    <row r="2013" spans="2:15" ht="26.25" customHeight="1" x14ac:dyDescent="0.25">
      <c r="B2013" s="130"/>
      <c r="C2013" s="135"/>
      <c r="D2013" s="177"/>
      <c r="E2013" s="178"/>
      <c r="F2013" s="178"/>
      <c r="G2013" s="340"/>
      <c r="H2013" s="340"/>
      <c r="I2013" s="179"/>
      <c r="J2013" s="344"/>
      <c r="K2013" s="345"/>
      <c r="L2013" s="346"/>
      <c r="M2013" s="347"/>
      <c r="N2013" s="347"/>
      <c r="O2013" s="132"/>
    </row>
    <row r="2014" spans="2:15" ht="26.25" customHeight="1" x14ac:dyDescent="0.25">
      <c r="B2014" s="130"/>
      <c r="C2014" s="135"/>
      <c r="D2014" s="177"/>
      <c r="E2014" s="178"/>
      <c r="F2014" s="178"/>
      <c r="G2014" s="340"/>
      <c r="H2014" s="340"/>
      <c r="I2014" s="179"/>
      <c r="J2014" s="344"/>
      <c r="K2014" s="345"/>
      <c r="L2014" s="346"/>
      <c r="M2014" s="347"/>
      <c r="N2014" s="347"/>
      <c r="O2014" s="132"/>
    </row>
    <row r="2015" spans="2:15" ht="26.25" customHeight="1" x14ac:dyDescent="0.25">
      <c r="B2015" s="130"/>
      <c r="C2015" s="135"/>
      <c r="D2015" s="177"/>
      <c r="E2015" s="178"/>
      <c r="F2015" s="178"/>
      <c r="G2015" s="340"/>
      <c r="H2015" s="340"/>
      <c r="I2015" s="179"/>
      <c r="J2015" s="344"/>
      <c r="K2015" s="345"/>
      <c r="L2015" s="346"/>
      <c r="M2015" s="347"/>
      <c r="N2015" s="347"/>
      <c r="O2015" s="132"/>
    </row>
    <row r="2016" spans="2:15" ht="26.25" customHeight="1" x14ac:dyDescent="0.25">
      <c r="B2016" s="130"/>
      <c r="C2016" s="135"/>
      <c r="D2016" s="177"/>
      <c r="E2016" s="178"/>
      <c r="F2016" s="178"/>
      <c r="G2016" s="340"/>
      <c r="H2016" s="340"/>
      <c r="I2016" s="179"/>
      <c r="J2016" s="344"/>
      <c r="K2016" s="345"/>
      <c r="L2016" s="346"/>
      <c r="M2016" s="347"/>
      <c r="N2016" s="347"/>
      <c r="O2016" s="132"/>
    </row>
    <row r="2017" spans="2:15" ht="26.25" customHeight="1" x14ac:dyDescent="0.25">
      <c r="B2017" s="130"/>
      <c r="C2017" s="135"/>
      <c r="D2017" s="177"/>
      <c r="E2017" s="178"/>
      <c r="F2017" s="178"/>
      <c r="G2017" s="340"/>
      <c r="H2017" s="340"/>
      <c r="I2017" s="179"/>
      <c r="J2017" s="344"/>
      <c r="K2017" s="345"/>
      <c r="L2017" s="346"/>
      <c r="M2017" s="347"/>
      <c r="N2017" s="347"/>
      <c r="O2017" s="132"/>
    </row>
    <row r="2018" spans="2:15" ht="26.25" customHeight="1" x14ac:dyDescent="0.25">
      <c r="B2018" s="130"/>
      <c r="C2018" s="135"/>
      <c r="D2018" s="177"/>
      <c r="E2018" s="178"/>
      <c r="F2018" s="178"/>
      <c r="G2018" s="340"/>
      <c r="H2018" s="340"/>
      <c r="I2018" s="179"/>
      <c r="J2018" s="344"/>
      <c r="K2018" s="345"/>
      <c r="L2018" s="346"/>
      <c r="M2018" s="347"/>
      <c r="N2018" s="347"/>
      <c r="O2018" s="132"/>
    </row>
    <row r="2019" spans="2:15" ht="26.25" customHeight="1" x14ac:dyDescent="0.25">
      <c r="B2019" s="130"/>
      <c r="C2019" s="135"/>
      <c r="D2019" s="177"/>
      <c r="E2019" s="178"/>
      <c r="F2019" s="178"/>
      <c r="G2019" s="340"/>
      <c r="H2019" s="340"/>
      <c r="I2019" s="179"/>
      <c r="J2019" s="344"/>
      <c r="K2019" s="345"/>
      <c r="L2019" s="346"/>
      <c r="M2019" s="347"/>
      <c r="N2019" s="347"/>
      <c r="O2019" s="132"/>
    </row>
    <row r="2020" spans="2:15" ht="26.25" customHeight="1" x14ac:dyDescent="0.25">
      <c r="B2020" s="130"/>
      <c r="C2020" s="135"/>
      <c r="D2020" s="177"/>
      <c r="E2020" s="178"/>
      <c r="F2020" s="178"/>
      <c r="G2020" s="340"/>
      <c r="H2020" s="340"/>
      <c r="I2020" s="179"/>
      <c r="J2020" s="344"/>
      <c r="K2020" s="345"/>
      <c r="L2020" s="346"/>
      <c r="M2020" s="347"/>
      <c r="N2020" s="347"/>
      <c r="O2020" s="132"/>
    </row>
    <row r="2021" spans="2:15" ht="26.25" customHeight="1" x14ac:dyDescent="0.25">
      <c r="B2021" s="130"/>
      <c r="C2021" s="135"/>
      <c r="D2021" s="177"/>
      <c r="E2021" s="178"/>
      <c r="F2021" s="178"/>
      <c r="G2021" s="340"/>
      <c r="H2021" s="340"/>
      <c r="I2021" s="179"/>
      <c r="J2021" s="344"/>
      <c r="K2021" s="345"/>
      <c r="L2021" s="346"/>
      <c r="M2021" s="347"/>
      <c r="N2021" s="347"/>
      <c r="O2021" s="132"/>
    </row>
    <row r="2022" spans="2:15" ht="26.25" customHeight="1" x14ac:dyDescent="0.25">
      <c r="B2022" s="130"/>
      <c r="C2022" s="135"/>
      <c r="D2022" s="177"/>
      <c r="E2022" s="178"/>
      <c r="F2022" s="178"/>
      <c r="G2022" s="340"/>
      <c r="H2022" s="340"/>
      <c r="I2022" s="179"/>
      <c r="J2022" s="344"/>
      <c r="K2022" s="345"/>
      <c r="L2022" s="346"/>
      <c r="M2022" s="347"/>
      <c r="N2022" s="347"/>
      <c r="O2022" s="132"/>
    </row>
    <row r="2023" spans="2:15" ht="26.25" customHeight="1" x14ac:dyDescent="0.25">
      <c r="B2023" s="130"/>
      <c r="C2023" s="135"/>
      <c r="D2023" s="177"/>
      <c r="E2023" s="178"/>
      <c r="F2023" s="178"/>
      <c r="G2023" s="340"/>
      <c r="H2023" s="340"/>
      <c r="I2023" s="179"/>
      <c r="J2023" s="344"/>
      <c r="K2023" s="345"/>
      <c r="L2023" s="346"/>
      <c r="M2023" s="347"/>
      <c r="N2023" s="347"/>
      <c r="O2023" s="132"/>
    </row>
    <row r="2024" spans="2:15" ht="26.25" customHeight="1" x14ac:dyDescent="0.25">
      <c r="B2024" s="130"/>
      <c r="C2024" s="135"/>
      <c r="D2024" s="177"/>
      <c r="E2024" s="178"/>
      <c r="F2024" s="178"/>
      <c r="G2024" s="340"/>
      <c r="H2024" s="340"/>
      <c r="I2024" s="179"/>
      <c r="J2024" s="344"/>
      <c r="K2024" s="345"/>
      <c r="L2024" s="346"/>
      <c r="M2024" s="347"/>
      <c r="N2024" s="347"/>
      <c r="O2024" s="132"/>
    </row>
    <row r="2025" spans="2:15" ht="26.25" customHeight="1" x14ac:dyDescent="0.25">
      <c r="B2025" s="130"/>
      <c r="C2025" s="135"/>
      <c r="D2025" s="177"/>
      <c r="E2025" s="178"/>
      <c r="F2025" s="178"/>
      <c r="G2025" s="340"/>
      <c r="H2025" s="340"/>
      <c r="I2025" s="179"/>
      <c r="J2025" s="344"/>
      <c r="K2025" s="345"/>
      <c r="L2025" s="346"/>
      <c r="M2025" s="347"/>
      <c r="N2025" s="347"/>
      <c r="O2025" s="132"/>
    </row>
    <row r="2026" spans="2:15" ht="26.25" customHeight="1" x14ac:dyDescent="0.25">
      <c r="B2026" s="130"/>
      <c r="C2026" s="135"/>
      <c r="D2026" s="177"/>
      <c r="E2026" s="178"/>
      <c r="F2026" s="178"/>
      <c r="G2026" s="340"/>
      <c r="H2026" s="340"/>
      <c r="I2026" s="179"/>
      <c r="J2026" s="344"/>
      <c r="K2026" s="345"/>
      <c r="L2026" s="346"/>
      <c r="M2026" s="347"/>
      <c r="N2026" s="347"/>
      <c r="O2026" s="132"/>
    </row>
    <row r="2027" spans="2:15" ht="26.25" customHeight="1" x14ac:dyDescent="0.25">
      <c r="B2027" s="130"/>
      <c r="C2027" s="135"/>
      <c r="D2027" s="177"/>
      <c r="E2027" s="178"/>
      <c r="F2027" s="178"/>
      <c r="G2027" s="340"/>
      <c r="H2027" s="340"/>
      <c r="I2027" s="179"/>
      <c r="J2027" s="344"/>
      <c r="K2027" s="345"/>
      <c r="L2027" s="346"/>
      <c r="M2027" s="347"/>
      <c r="N2027" s="347"/>
      <c r="O2027" s="132"/>
    </row>
    <row r="2028" spans="2:15" ht="26.25" customHeight="1" x14ac:dyDescent="0.25">
      <c r="B2028" s="130"/>
      <c r="C2028" s="135"/>
      <c r="D2028" s="177"/>
      <c r="E2028" s="178"/>
      <c r="F2028" s="178"/>
      <c r="G2028" s="340"/>
      <c r="H2028" s="340"/>
      <c r="I2028" s="179"/>
      <c r="J2028" s="344"/>
      <c r="K2028" s="345"/>
      <c r="L2028" s="346"/>
      <c r="M2028" s="347"/>
      <c r="N2028" s="347"/>
      <c r="O2028" s="132"/>
    </row>
    <row r="2029" spans="2:15" ht="26.25" customHeight="1" x14ac:dyDescent="0.25">
      <c r="B2029" s="130"/>
      <c r="C2029" s="135"/>
      <c r="D2029" s="177"/>
      <c r="E2029" s="178"/>
      <c r="F2029" s="178"/>
      <c r="G2029" s="340"/>
      <c r="H2029" s="340"/>
      <c r="I2029" s="179"/>
      <c r="J2029" s="344"/>
      <c r="K2029" s="345"/>
      <c r="L2029" s="346"/>
      <c r="M2029" s="347"/>
      <c r="N2029" s="347"/>
      <c r="O2029" s="132"/>
    </row>
    <row r="2030" spans="2:15" ht="26.25" customHeight="1" x14ac:dyDescent="0.25">
      <c r="B2030" s="130"/>
      <c r="C2030" s="135"/>
      <c r="D2030" s="177"/>
      <c r="E2030" s="178"/>
      <c r="F2030" s="178"/>
      <c r="G2030" s="340"/>
      <c r="H2030" s="340"/>
      <c r="I2030" s="179"/>
      <c r="J2030" s="344"/>
      <c r="K2030" s="345"/>
      <c r="L2030" s="346"/>
      <c r="M2030" s="347"/>
      <c r="N2030" s="347"/>
      <c r="O2030" s="132"/>
    </row>
    <row r="2031" spans="2:15" ht="26.25" customHeight="1" x14ac:dyDescent="0.25">
      <c r="B2031" s="130"/>
      <c r="C2031" s="135"/>
      <c r="D2031" s="177"/>
      <c r="E2031" s="178"/>
      <c r="F2031" s="178"/>
      <c r="G2031" s="340"/>
      <c r="H2031" s="340"/>
      <c r="I2031" s="179"/>
      <c r="J2031" s="344"/>
      <c r="K2031" s="345"/>
      <c r="L2031" s="346"/>
      <c r="M2031" s="347"/>
      <c r="N2031" s="347"/>
      <c r="O2031" s="132"/>
    </row>
    <row r="2032" spans="2:15" ht="26.25" customHeight="1" x14ac:dyDescent="0.25">
      <c r="B2032" s="130"/>
      <c r="C2032" s="135"/>
      <c r="D2032" s="177"/>
      <c r="E2032" s="178"/>
      <c r="F2032" s="178"/>
      <c r="G2032" s="340"/>
      <c r="H2032" s="340"/>
      <c r="I2032" s="179"/>
      <c r="J2032" s="344"/>
      <c r="K2032" s="345"/>
      <c r="L2032" s="346"/>
      <c r="M2032" s="347"/>
      <c r="N2032" s="347"/>
      <c r="O2032" s="132"/>
    </row>
    <row r="2033" spans="2:15" ht="26.25" customHeight="1" x14ac:dyDescent="0.25">
      <c r="B2033" s="130"/>
      <c r="C2033" s="135"/>
      <c r="D2033" s="177"/>
      <c r="E2033" s="178"/>
      <c r="F2033" s="178"/>
      <c r="G2033" s="340"/>
      <c r="H2033" s="340"/>
      <c r="I2033" s="179"/>
      <c r="J2033" s="344"/>
      <c r="K2033" s="345"/>
      <c r="L2033" s="346"/>
      <c r="M2033" s="347"/>
      <c r="N2033" s="347"/>
      <c r="O2033" s="132"/>
    </row>
    <row r="2034" spans="2:15" ht="26.25" customHeight="1" x14ac:dyDescent="0.25">
      <c r="B2034" s="130"/>
      <c r="C2034" s="135"/>
      <c r="D2034" s="177"/>
      <c r="E2034" s="178"/>
      <c r="F2034" s="178"/>
      <c r="G2034" s="340"/>
      <c r="H2034" s="340"/>
      <c r="I2034" s="179"/>
      <c r="J2034" s="344"/>
      <c r="K2034" s="345"/>
      <c r="L2034" s="346"/>
      <c r="M2034" s="347"/>
      <c r="N2034" s="347"/>
      <c r="O2034" s="132"/>
    </row>
    <row r="2035" spans="2:15" ht="26.25" customHeight="1" x14ac:dyDescent="0.25">
      <c r="B2035" s="130"/>
      <c r="C2035" s="135"/>
      <c r="D2035" s="177"/>
      <c r="E2035" s="178"/>
      <c r="F2035" s="178"/>
      <c r="G2035" s="340"/>
      <c r="H2035" s="340"/>
      <c r="I2035" s="179"/>
      <c r="J2035" s="344"/>
      <c r="K2035" s="345"/>
      <c r="L2035" s="346"/>
      <c r="M2035" s="347"/>
      <c r="N2035" s="347"/>
      <c r="O2035" s="132"/>
    </row>
    <row r="2036" spans="2:15" ht="26.25" customHeight="1" x14ac:dyDescent="0.25">
      <c r="B2036" s="130"/>
      <c r="C2036" s="135"/>
      <c r="D2036" s="177"/>
      <c r="E2036" s="178"/>
      <c r="F2036" s="178"/>
      <c r="G2036" s="340"/>
      <c r="H2036" s="340"/>
      <c r="I2036" s="179"/>
      <c r="J2036" s="344"/>
      <c r="K2036" s="345"/>
      <c r="L2036" s="346"/>
      <c r="M2036" s="347"/>
      <c r="N2036" s="347"/>
      <c r="O2036" s="132"/>
    </row>
    <row r="2037" spans="2:15" ht="26.25" customHeight="1" x14ac:dyDescent="0.25">
      <c r="B2037" s="130"/>
      <c r="C2037" s="135"/>
      <c r="D2037" s="177"/>
      <c r="E2037" s="178"/>
      <c r="F2037" s="178"/>
      <c r="G2037" s="340"/>
      <c r="H2037" s="340"/>
      <c r="I2037" s="179"/>
      <c r="J2037" s="344"/>
      <c r="K2037" s="345"/>
      <c r="L2037" s="346"/>
      <c r="M2037" s="347"/>
      <c r="N2037" s="347"/>
      <c r="O2037" s="132"/>
    </row>
    <row r="2038" spans="2:15" ht="26.25" customHeight="1" x14ac:dyDescent="0.25">
      <c r="B2038" s="130"/>
      <c r="C2038" s="135"/>
      <c r="D2038" s="177"/>
      <c r="E2038" s="178"/>
      <c r="F2038" s="178"/>
      <c r="G2038" s="340"/>
      <c r="H2038" s="340"/>
      <c r="I2038" s="179"/>
      <c r="J2038" s="344"/>
      <c r="K2038" s="345"/>
      <c r="L2038" s="346"/>
      <c r="M2038" s="347"/>
      <c r="N2038" s="347"/>
      <c r="O2038" s="132"/>
    </row>
    <row r="2039" spans="2:15" ht="26.25" customHeight="1" x14ac:dyDescent="0.25">
      <c r="B2039" s="130"/>
      <c r="C2039" s="135"/>
      <c r="D2039" s="177"/>
      <c r="E2039" s="178"/>
      <c r="F2039" s="178"/>
      <c r="G2039" s="340"/>
      <c r="H2039" s="340"/>
      <c r="I2039" s="179"/>
      <c r="J2039" s="344"/>
      <c r="K2039" s="345"/>
      <c r="L2039" s="346"/>
      <c r="M2039" s="347"/>
      <c r="N2039" s="347"/>
      <c r="O2039" s="132"/>
    </row>
    <row r="2040" spans="2:15" ht="26.25" customHeight="1" x14ac:dyDescent="0.25">
      <c r="B2040" s="130"/>
      <c r="C2040" s="135"/>
      <c r="D2040" s="177"/>
      <c r="E2040" s="178"/>
      <c r="F2040" s="178"/>
      <c r="G2040" s="340"/>
      <c r="H2040" s="340"/>
      <c r="I2040" s="179"/>
      <c r="J2040" s="344"/>
      <c r="K2040" s="345"/>
      <c r="L2040" s="346"/>
      <c r="M2040" s="347"/>
      <c r="N2040" s="347"/>
      <c r="O2040" s="132"/>
    </row>
    <row r="2041" spans="2:15" ht="26.25" customHeight="1" x14ac:dyDescent="0.25">
      <c r="B2041" s="130"/>
      <c r="C2041" s="135"/>
      <c r="D2041" s="177"/>
      <c r="E2041" s="178"/>
      <c r="F2041" s="178"/>
      <c r="G2041" s="340"/>
      <c r="H2041" s="340"/>
      <c r="I2041" s="179"/>
      <c r="J2041" s="344"/>
      <c r="K2041" s="345"/>
      <c r="L2041" s="346"/>
      <c r="M2041" s="347"/>
      <c r="N2041" s="347"/>
      <c r="O2041" s="132"/>
    </row>
    <row r="2042" spans="2:15" ht="26.25" customHeight="1" x14ac:dyDescent="0.25">
      <c r="B2042" s="130"/>
      <c r="C2042" s="135"/>
      <c r="D2042" s="177"/>
      <c r="E2042" s="178"/>
      <c r="F2042" s="178"/>
      <c r="G2042" s="340"/>
      <c r="H2042" s="340"/>
      <c r="I2042" s="179"/>
      <c r="J2042" s="344"/>
      <c r="K2042" s="345"/>
      <c r="L2042" s="346"/>
      <c r="M2042" s="347"/>
      <c r="N2042" s="347"/>
      <c r="O2042" s="132"/>
    </row>
    <row r="2043" spans="2:15" ht="26.25" customHeight="1" x14ac:dyDescent="0.25">
      <c r="B2043" s="130"/>
      <c r="C2043" s="135"/>
      <c r="D2043" s="177"/>
      <c r="E2043" s="178"/>
      <c r="F2043" s="178"/>
      <c r="G2043" s="340"/>
      <c r="H2043" s="340"/>
      <c r="I2043" s="179"/>
      <c r="J2043" s="344"/>
      <c r="K2043" s="345"/>
      <c r="L2043" s="346"/>
      <c r="M2043" s="347"/>
      <c r="N2043" s="347"/>
      <c r="O2043" s="132"/>
    </row>
    <row r="2044" spans="2:15" ht="26.25" customHeight="1" x14ac:dyDescent="0.25">
      <c r="B2044" s="130"/>
      <c r="C2044" s="135"/>
      <c r="D2044" s="177"/>
      <c r="E2044" s="178"/>
      <c r="F2044" s="178"/>
      <c r="G2044" s="340"/>
      <c r="H2044" s="340"/>
      <c r="I2044" s="179"/>
      <c r="J2044" s="344"/>
      <c r="K2044" s="345"/>
      <c r="L2044" s="346"/>
      <c r="M2044" s="347"/>
      <c r="N2044" s="347"/>
      <c r="O2044" s="132"/>
    </row>
    <row r="2045" spans="2:15" ht="26.25" customHeight="1" x14ac:dyDescent="0.25">
      <c r="B2045" s="130"/>
      <c r="C2045" s="135"/>
      <c r="D2045" s="177"/>
      <c r="E2045" s="178"/>
      <c r="F2045" s="178"/>
      <c r="G2045" s="340"/>
      <c r="H2045" s="340"/>
      <c r="I2045" s="179"/>
      <c r="J2045" s="344"/>
      <c r="K2045" s="345"/>
      <c r="L2045" s="346"/>
      <c r="M2045" s="347"/>
      <c r="N2045" s="347"/>
      <c r="O2045" s="132"/>
    </row>
    <row r="2046" spans="2:15" ht="26.25" customHeight="1" x14ac:dyDescent="0.25">
      <c r="B2046" s="130"/>
      <c r="C2046" s="135"/>
      <c r="D2046" s="177"/>
      <c r="E2046" s="178"/>
      <c r="F2046" s="178"/>
      <c r="G2046" s="340"/>
      <c r="H2046" s="340"/>
      <c r="I2046" s="179"/>
      <c r="J2046" s="344"/>
      <c r="K2046" s="345"/>
      <c r="L2046" s="346"/>
      <c r="M2046" s="347"/>
      <c r="N2046" s="347"/>
      <c r="O2046" s="132"/>
    </row>
    <row r="2047" spans="2:15" ht="26.25" customHeight="1" x14ac:dyDescent="0.25">
      <c r="B2047" s="130"/>
      <c r="C2047" s="135"/>
      <c r="D2047" s="177"/>
      <c r="E2047" s="178"/>
      <c r="F2047" s="178"/>
      <c r="G2047" s="340"/>
      <c r="H2047" s="340"/>
      <c r="I2047" s="179"/>
      <c r="J2047" s="344"/>
      <c r="K2047" s="345"/>
      <c r="L2047" s="346"/>
      <c r="M2047" s="347"/>
      <c r="N2047" s="347"/>
      <c r="O2047" s="132"/>
    </row>
    <row r="2048" spans="2:15" ht="26.25" customHeight="1" x14ac:dyDescent="0.25">
      <c r="B2048" s="130"/>
      <c r="C2048" s="135"/>
      <c r="D2048" s="177"/>
      <c r="E2048" s="178"/>
      <c r="F2048" s="178"/>
      <c r="G2048" s="340"/>
      <c r="H2048" s="340"/>
      <c r="I2048" s="179"/>
      <c r="J2048" s="344"/>
      <c r="K2048" s="345"/>
      <c r="L2048" s="346"/>
      <c r="M2048" s="347"/>
      <c r="N2048" s="347"/>
      <c r="O2048" s="132"/>
    </row>
    <row r="2049" spans="2:15" ht="26.25" customHeight="1" x14ac:dyDescent="0.25">
      <c r="B2049" s="130"/>
      <c r="C2049" s="135"/>
      <c r="D2049" s="177"/>
      <c r="E2049" s="178"/>
      <c r="F2049" s="178"/>
      <c r="G2049" s="340"/>
      <c r="H2049" s="340"/>
      <c r="I2049" s="179"/>
      <c r="J2049" s="344"/>
      <c r="K2049" s="345"/>
      <c r="L2049" s="346"/>
      <c r="M2049" s="347"/>
      <c r="N2049" s="347"/>
      <c r="O2049" s="132"/>
    </row>
    <row r="2050" spans="2:15" ht="26.25" customHeight="1" x14ac:dyDescent="0.25">
      <c r="B2050" s="130"/>
      <c r="C2050" s="135"/>
      <c r="D2050" s="177"/>
      <c r="E2050" s="178"/>
      <c r="F2050" s="178"/>
      <c r="G2050" s="340"/>
      <c r="H2050" s="340"/>
      <c r="I2050" s="179"/>
      <c r="J2050" s="344"/>
      <c r="K2050" s="345"/>
      <c r="L2050" s="346"/>
      <c r="M2050" s="347"/>
      <c r="N2050" s="347"/>
      <c r="O2050" s="132"/>
    </row>
    <row r="2051" spans="2:15" ht="26.25" customHeight="1" x14ac:dyDescent="0.25">
      <c r="B2051" s="130"/>
      <c r="C2051" s="135"/>
      <c r="D2051" s="177"/>
      <c r="E2051" s="178"/>
      <c r="F2051" s="178"/>
      <c r="G2051" s="340"/>
      <c r="H2051" s="340"/>
      <c r="I2051" s="179"/>
      <c r="J2051" s="344"/>
      <c r="K2051" s="345"/>
      <c r="L2051" s="346"/>
      <c r="M2051" s="347"/>
      <c r="N2051" s="347"/>
      <c r="O2051" s="132"/>
    </row>
    <row r="2052" spans="2:15" ht="26.25" customHeight="1" x14ac:dyDescent="0.25">
      <c r="B2052" s="130"/>
      <c r="C2052" s="135"/>
      <c r="D2052" s="177"/>
      <c r="E2052" s="178"/>
      <c r="F2052" s="178"/>
      <c r="G2052" s="340"/>
      <c r="H2052" s="340"/>
      <c r="I2052" s="179"/>
      <c r="J2052" s="344"/>
      <c r="K2052" s="345"/>
      <c r="L2052" s="346"/>
      <c r="M2052" s="347"/>
      <c r="N2052" s="347"/>
      <c r="O2052" s="132"/>
    </row>
    <row r="2053" spans="2:15" ht="26.25" customHeight="1" x14ac:dyDescent="0.25">
      <c r="B2053" s="130"/>
      <c r="C2053" s="135"/>
      <c r="D2053" s="177"/>
      <c r="E2053" s="178"/>
      <c r="F2053" s="178"/>
      <c r="G2053" s="340"/>
      <c r="H2053" s="340"/>
      <c r="I2053" s="179"/>
      <c r="J2053" s="344"/>
      <c r="K2053" s="345"/>
      <c r="L2053" s="346"/>
      <c r="M2053" s="347"/>
      <c r="N2053" s="347"/>
      <c r="O2053" s="132"/>
    </row>
    <row r="2054" spans="2:15" ht="26.25" customHeight="1" x14ac:dyDescent="0.25">
      <c r="B2054" s="130"/>
      <c r="C2054" s="135"/>
      <c r="D2054" s="177"/>
      <c r="E2054" s="178"/>
      <c r="F2054" s="178"/>
      <c r="G2054" s="340"/>
      <c r="H2054" s="340"/>
      <c r="I2054" s="179"/>
      <c r="J2054" s="344"/>
      <c r="K2054" s="345"/>
      <c r="L2054" s="346"/>
      <c r="M2054" s="347"/>
      <c r="N2054" s="347"/>
      <c r="O2054" s="132"/>
    </row>
    <row r="2055" spans="2:15" ht="26.25" customHeight="1" x14ac:dyDescent="0.25">
      <c r="B2055" s="130"/>
      <c r="C2055" s="135"/>
      <c r="D2055" s="177"/>
      <c r="E2055" s="178"/>
      <c r="F2055" s="178"/>
      <c r="G2055" s="340"/>
      <c r="H2055" s="340"/>
      <c r="I2055" s="179"/>
      <c r="J2055" s="344"/>
      <c r="K2055" s="345"/>
      <c r="L2055" s="346"/>
      <c r="M2055" s="347"/>
      <c r="N2055" s="347"/>
      <c r="O2055" s="132"/>
    </row>
    <row r="2056" spans="2:15" ht="26.25" customHeight="1" x14ac:dyDescent="0.25">
      <c r="B2056" s="130"/>
      <c r="C2056" s="135"/>
      <c r="D2056" s="177"/>
      <c r="E2056" s="178"/>
      <c r="F2056" s="178"/>
      <c r="G2056" s="340"/>
      <c r="H2056" s="340"/>
      <c r="I2056" s="179"/>
      <c r="J2056" s="344"/>
      <c r="K2056" s="345"/>
      <c r="L2056" s="346"/>
      <c r="M2056" s="347"/>
      <c r="N2056" s="347"/>
      <c r="O2056" s="132"/>
    </row>
    <row r="2057" spans="2:15" ht="26.25" customHeight="1" x14ac:dyDescent="0.25">
      <c r="B2057" s="130"/>
      <c r="C2057" s="135"/>
      <c r="D2057" s="177"/>
      <c r="E2057" s="178"/>
      <c r="F2057" s="178"/>
      <c r="G2057" s="340"/>
      <c r="H2057" s="340"/>
      <c r="I2057" s="179"/>
      <c r="J2057" s="344"/>
      <c r="K2057" s="345"/>
      <c r="L2057" s="346"/>
      <c r="M2057" s="347"/>
      <c r="N2057" s="347"/>
      <c r="O2057" s="132"/>
    </row>
    <row r="2058" spans="2:15" ht="26.25" customHeight="1" x14ac:dyDescent="0.25">
      <c r="B2058" s="130"/>
      <c r="C2058" s="135"/>
      <c r="D2058" s="177"/>
      <c r="E2058" s="178"/>
      <c r="F2058" s="178"/>
      <c r="G2058" s="340"/>
      <c r="H2058" s="340"/>
      <c r="I2058" s="179"/>
      <c r="J2058" s="344"/>
      <c r="K2058" s="345"/>
      <c r="L2058" s="346"/>
      <c r="M2058" s="347"/>
      <c r="N2058" s="347"/>
      <c r="O2058" s="132"/>
    </row>
    <row r="2059" spans="2:15" ht="26.25" customHeight="1" x14ac:dyDescent="0.25">
      <c r="B2059" s="130"/>
      <c r="C2059" s="135"/>
      <c r="D2059" s="177"/>
      <c r="E2059" s="178"/>
      <c r="F2059" s="178"/>
      <c r="G2059" s="340"/>
      <c r="H2059" s="340"/>
      <c r="I2059" s="179"/>
      <c r="J2059" s="344"/>
      <c r="K2059" s="345"/>
      <c r="L2059" s="346"/>
      <c r="M2059" s="347"/>
      <c r="N2059" s="347"/>
      <c r="O2059" s="132"/>
    </row>
    <row r="2060" spans="2:15" ht="26.25" customHeight="1" x14ac:dyDescent="0.25">
      <c r="B2060" s="130"/>
      <c r="C2060" s="135"/>
      <c r="D2060" s="177"/>
      <c r="E2060" s="178"/>
      <c r="F2060" s="178"/>
      <c r="G2060" s="340"/>
      <c r="H2060" s="340"/>
      <c r="I2060" s="179"/>
      <c r="J2060" s="344"/>
      <c r="K2060" s="345"/>
      <c r="L2060" s="346"/>
      <c r="M2060" s="347"/>
      <c r="N2060" s="347"/>
      <c r="O2060" s="132"/>
    </row>
    <row r="2061" spans="2:15" ht="26.25" customHeight="1" x14ac:dyDescent="0.25">
      <c r="B2061" s="130"/>
      <c r="C2061" s="135"/>
      <c r="D2061" s="177"/>
      <c r="E2061" s="178"/>
      <c r="F2061" s="178"/>
      <c r="G2061" s="340"/>
      <c r="H2061" s="340"/>
      <c r="I2061" s="179"/>
      <c r="J2061" s="344"/>
      <c r="K2061" s="345"/>
      <c r="L2061" s="346"/>
      <c r="M2061" s="347"/>
      <c r="N2061" s="347"/>
      <c r="O2061" s="132"/>
    </row>
    <row r="2062" spans="2:15" ht="26.25" customHeight="1" x14ac:dyDescent="0.25">
      <c r="B2062" s="130"/>
      <c r="C2062" s="135"/>
      <c r="D2062" s="177"/>
      <c r="E2062" s="178"/>
      <c r="F2062" s="178"/>
      <c r="G2062" s="340"/>
      <c r="H2062" s="340"/>
      <c r="I2062" s="179"/>
      <c r="J2062" s="344"/>
      <c r="K2062" s="345"/>
      <c r="L2062" s="346"/>
      <c r="M2062" s="347"/>
      <c r="N2062" s="347"/>
      <c r="O2062" s="132"/>
    </row>
    <row r="2063" spans="2:15" ht="26.25" customHeight="1" x14ac:dyDescent="0.25">
      <c r="B2063" s="130"/>
      <c r="C2063" s="135"/>
      <c r="D2063" s="177"/>
      <c r="E2063" s="178"/>
      <c r="F2063" s="178"/>
      <c r="G2063" s="340"/>
      <c r="H2063" s="340"/>
      <c r="I2063" s="179"/>
      <c r="J2063" s="344"/>
      <c r="K2063" s="345"/>
      <c r="L2063" s="346"/>
      <c r="M2063" s="347"/>
      <c r="N2063" s="347"/>
      <c r="O2063" s="132"/>
    </row>
    <row r="2064" spans="2:15" ht="26.25" customHeight="1" x14ac:dyDescent="0.25">
      <c r="B2064" s="130"/>
      <c r="C2064" s="135"/>
      <c r="D2064" s="177"/>
      <c r="E2064" s="178"/>
      <c r="F2064" s="178"/>
      <c r="G2064" s="340"/>
      <c r="H2064" s="340"/>
      <c r="I2064" s="179"/>
      <c r="J2064" s="344"/>
      <c r="K2064" s="345"/>
      <c r="L2064" s="346"/>
      <c r="M2064" s="347"/>
      <c r="N2064" s="347"/>
      <c r="O2064" s="132"/>
    </row>
    <row r="2065" spans="2:15" ht="26.25" customHeight="1" x14ac:dyDescent="0.25">
      <c r="B2065" s="130"/>
      <c r="C2065" s="135"/>
      <c r="D2065" s="177"/>
      <c r="E2065" s="178"/>
      <c r="F2065" s="178"/>
      <c r="G2065" s="340"/>
      <c r="H2065" s="340"/>
      <c r="I2065" s="179"/>
      <c r="J2065" s="344"/>
      <c r="K2065" s="345"/>
      <c r="L2065" s="346"/>
      <c r="M2065" s="347"/>
      <c r="N2065" s="347"/>
      <c r="O2065" s="132"/>
    </row>
    <row r="2066" spans="2:15" ht="26.25" customHeight="1" x14ac:dyDescent="0.25">
      <c r="B2066" s="130"/>
      <c r="C2066" s="135"/>
      <c r="D2066" s="177"/>
      <c r="E2066" s="178"/>
      <c r="F2066" s="178"/>
      <c r="G2066" s="340"/>
      <c r="H2066" s="340"/>
      <c r="I2066" s="179"/>
      <c r="J2066" s="344"/>
      <c r="K2066" s="345"/>
      <c r="L2066" s="346"/>
      <c r="M2066" s="347"/>
      <c r="N2066" s="347"/>
      <c r="O2066" s="132"/>
    </row>
    <row r="2067" spans="2:15" ht="26.25" customHeight="1" x14ac:dyDescent="0.25">
      <c r="B2067" s="130"/>
      <c r="C2067" s="135"/>
      <c r="D2067" s="177"/>
      <c r="E2067" s="178"/>
      <c r="F2067" s="178"/>
      <c r="G2067" s="340"/>
      <c r="H2067" s="340"/>
      <c r="I2067" s="179"/>
      <c r="J2067" s="344"/>
      <c r="K2067" s="345"/>
      <c r="L2067" s="346"/>
      <c r="M2067" s="347"/>
      <c r="N2067" s="347"/>
      <c r="O2067" s="132"/>
    </row>
    <row r="2068" spans="2:15" ht="26.25" customHeight="1" x14ac:dyDescent="0.25">
      <c r="B2068" s="130"/>
      <c r="C2068" s="135"/>
      <c r="D2068" s="177"/>
      <c r="E2068" s="178"/>
      <c r="F2068" s="178"/>
      <c r="G2068" s="340"/>
      <c r="H2068" s="340"/>
      <c r="I2068" s="179"/>
      <c r="J2068" s="344"/>
      <c r="K2068" s="345"/>
      <c r="L2068" s="346"/>
      <c r="M2068" s="347"/>
      <c r="N2068" s="347"/>
      <c r="O2068" s="132"/>
    </row>
    <row r="2069" spans="2:15" ht="26.25" customHeight="1" x14ac:dyDescent="0.25">
      <c r="B2069" s="130"/>
      <c r="C2069" s="135"/>
      <c r="D2069" s="177"/>
      <c r="E2069" s="178"/>
      <c r="F2069" s="178"/>
      <c r="G2069" s="340"/>
      <c r="H2069" s="340"/>
      <c r="I2069" s="179"/>
      <c r="J2069" s="344"/>
      <c r="K2069" s="345"/>
      <c r="L2069" s="346"/>
      <c r="M2069" s="347"/>
      <c r="N2069" s="347"/>
      <c r="O2069" s="132"/>
    </row>
    <row r="2070" spans="2:15" ht="26.25" customHeight="1" x14ac:dyDescent="0.25">
      <c r="B2070" s="130"/>
      <c r="C2070" s="135"/>
      <c r="D2070" s="177"/>
      <c r="E2070" s="178"/>
      <c r="F2070" s="178"/>
      <c r="G2070" s="340"/>
      <c r="H2070" s="340"/>
      <c r="I2070" s="179"/>
      <c r="J2070" s="344"/>
      <c r="K2070" s="345"/>
      <c r="L2070" s="346"/>
      <c r="M2070" s="347"/>
      <c r="N2070" s="347"/>
      <c r="O2070" s="132"/>
    </row>
    <row r="2071" spans="2:15" ht="26.25" customHeight="1" x14ac:dyDescent="0.25">
      <c r="B2071" s="130"/>
      <c r="C2071" s="135"/>
      <c r="D2071" s="177"/>
      <c r="E2071" s="178"/>
      <c r="F2071" s="178"/>
      <c r="G2071" s="340"/>
      <c r="H2071" s="340"/>
      <c r="I2071" s="179"/>
      <c r="J2071" s="344"/>
      <c r="K2071" s="345"/>
      <c r="L2071" s="346"/>
      <c r="M2071" s="347"/>
      <c r="N2071" s="347"/>
      <c r="O2071" s="132"/>
    </row>
    <row r="2072" spans="2:15" ht="26.25" customHeight="1" x14ac:dyDescent="0.25">
      <c r="B2072" s="130"/>
      <c r="C2072" s="135"/>
      <c r="D2072" s="177"/>
      <c r="E2072" s="178"/>
      <c r="F2072" s="178"/>
      <c r="G2072" s="340"/>
      <c r="H2072" s="340"/>
      <c r="I2072" s="179"/>
      <c r="J2072" s="344"/>
      <c r="K2072" s="345"/>
      <c r="L2072" s="346"/>
      <c r="M2072" s="347"/>
      <c r="N2072" s="347"/>
      <c r="O2072" s="132"/>
    </row>
    <row r="2073" spans="2:15" ht="26.25" customHeight="1" x14ac:dyDescent="0.25">
      <c r="B2073" s="130"/>
      <c r="C2073" s="135"/>
      <c r="D2073" s="177"/>
      <c r="E2073" s="178"/>
      <c r="F2073" s="178"/>
      <c r="G2073" s="340"/>
      <c r="H2073" s="340"/>
      <c r="I2073" s="179"/>
      <c r="J2073" s="344"/>
      <c r="K2073" s="345"/>
      <c r="L2073" s="346"/>
      <c r="M2073" s="347"/>
      <c r="N2073" s="347"/>
      <c r="O2073" s="132"/>
    </row>
    <row r="2074" spans="2:15" ht="26.25" customHeight="1" x14ac:dyDescent="0.25">
      <c r="B2074" s="130"/>
      <c r="C2074" s="135"/>
      <c r="D2074" s="177"/>
      <c r="E2074" s="178"/>
      <c r="F2074" s="178"/>
      <c r="G2074" s="340"/>
      <c r="H2074" s="340"/>
      <c r="I2074" s="179"/>
      <c r="J2074" s="344"/>
      <c r="K2074" s="345"/>
      <c r="L2074" s="346"/>
      <c r="M2074" s="347"/>
      <c r="N2074" s="347"/>
      <c r="O2074" s="132"/>
    </row>
    <row r="2075" spans="2:15" ht="26.25" customHeight="1" x14ac:dyDescent="0.25">
      <c r="B2075" s="130"/>
      <c r="C2075" s="135"/>
      <c r="D2075" s="177"/>
      <c r="E2075" s="178"/>
      <c r="F2075" s="178"/>
      <c r="G2075" s="340"/>
      <c r="H2075" s="340"/>
      <c r="I2075" s="179"/>
      <c r="J2075" s="344"/>
      <c r="K2075" s="345"/>
      <c r="L2075" s="346"/>
      <c r="M2075" s="347"/>
      <c r="N2075" s="347"/>
      <c r="O2075" s="132"/>
    </row>
    <row r="2076" spans="2:15" ht="26.25" customHeight="1" x14ac:dyDescent="0.25">
      <c r="B2076" s="130"/>
      <c r="C2076" s="135"/>
      <c r="D2076" s="177"/>
      <c r="E2076" s="178"/>
      <c r="F2076" s="178"/>
      <c r="G2076" s="340"/>
      <c r="H2076" s="340"/>
      <c r="I2076" s="179"/>
      <c r="J2076" s="344"/>
      <c r="K2076" s="345"/>
      <c r="L2076" s="346"/>
      <c r="M2076" s="347"/>
      <c r="N2076" s="347"/>
      <c r="O2076" s="132"/>
    </row>
    <row r="2077" spans="2:15" ht="26.25" customHeight="1" x14ac:dyDescent="0.25">
      <c r="B2077" s="130"/>
      <c r="C2077" s="135"/>
      <c r="D2077" s="177"/>
      <c r="E2077" s="178"/>
      <c r="F2077" s="178"/>
      <c r="G2077" s="340"/>
      <c r="H2077" s="340"/>
      <c r="I2077" s="179"/>
      <c r="J2077" s="344"/>
      <c r="K2077" s="345"/>
      <c r="L2077" s="346"/>
      <c r="M2077" s="347"/>
      <c r="N2077" s="347"/>
      <c r="O2077" s="132"/>
    </row>
    <row r="2078" spans="2:15" ht="26.25" customHeight="1" x14ac:dyDescent="0.25">
      <c r="B2078" s="130"/>
      <c r="C2078" s="135"/>
      <c r="D2078" s="177"/>
      <c r="E2078" s="178"/>
      <c r="F2078" s="178"/>
      <c r="G2078" s="340"/>
      <c r="H2078" s="340"/>
      <c r="I2078" s="179"/>
      <c r="J2078" s="344"/>
      <c r="K2078" s="345"/>
      <c r="L2078" s="346"/>
      <c r="M2078" s="347"/>
      <c r="N2078" s="347"/>
      <c r="O2078" s="132"/>
    </row>
    <row r="2079" spans="2:15" ht="26.25" customHeight="1" x14ac:dyDescent="0.25">
      <c r="B2079" s="130"/>
      <c r="C2079" s="135"/>
      <c r="D2079" s="177"/>
      <c r="E2079" s="178"/>
      <c r="F2079" s="178"/>
      <c r="G2079" s="340"/>
      <c r="H2079" s="340"/>
      <c r="I2079" s="179"/>
      <c r="J2079" s="344"/>
      <c r="K2079" s="345"/>
      <c r="L2079" s="346"/>
      <c r="M2079" s="347"/>
      <c r="N2079" s="347"/>
      <c r="O2079" s="132"/>
    </row>
    <row r="2080" spans="2:15" ht="26.25" customHeight="1" x14ac:dyDescent="0.25">
      <c r="B2080" s="130"/>
      <c r="C2080" s="135"/>
      <c r="D2080" s="177"/>
      <c r="E2080" s="178"/>
      <c r="F2080" s="178"/>
      <c r="G2080" s="340"/>
      <c r="H2080" s="340"/>
      <c r="I2080" s="179"/>
      <c r="J2080" s="344"/>
      <c r="K2080" s="345"/>
      <c r="L2080" s="346"/>
      <c r="M2080" s="347"/>
      <c r="N2080" s="347"/>
      <c r="O2080" s="132"/>
    </row>
    <row r="2081" spans="2:15" ht="26.25" customHeight="1" x14ac:dyDescent="0.25">
      <c r="B2081" s="130"/>
      <c r="C2081" s="135"/>
      <c r="D2081" s="177"/>
      <c r="E2081" s="178"/>
      <c r="F2081" s="178"/>
      <c r="G2081" s="340"/>
      <c r="H2081" s="340"/>
      <c r="I2081" s="179"/>
      <c r="J2081" s="344"/>
      <c r="K2081" s="345"/>
      <c r="L2081" s="346"/>
      <c r="M2081" s="347"/>
      <c r="N2081" s="347"/>
      <c r="O2081" s="132"/>
    </row>
    <row r="2082" spans="2:15" ht="26.25" customHeight="1" x14ac:dyDescent="0.25">
      <c r="B2082" s="130"/>
      <c r="C2082" s="135"/>
      <c r="D2082" s="177"/>
      <c r="E2082" s="178"/>
      <c r="F2082" s="178"/>
      <c r="G2082" s="340"/>
      <c r="H2082" s="340"/>
      <c r="I2082" s="179"/>
      <c r="J2082" s="344"/>
      <c r="K2082" s="345"/>
      <c r="L2082" s="346"/>
      <c r="M2082" s="347"/>
      <c r="N2082" s="347"/>
      <c r="O2082" s="132"/>
    </row>
    <row r="2083" spans="2:15" ht="26.25" customHeight="1" x14ac:dyDescent="0.25">
      <c r="B2083" s="130"/>
      <c r="C2083" s="135"/>
      <c r="D2083" s="177"/>
      <c r="E2083" s="178"/>
      <c r="F2083" s="178"/>
      <c r="G2083" s="340"/>
      <c r="H2083" s="340"/>
      <c r="I2083" s="179"/>
      <c r="J2083" s="344"/>
      <c r="K2083" s="345"/>
      <c r="L2083" s="346"/>
      <c r="M2083" s="347"/>
      <c r="N2083" s="347"/>
      <c r="O2083" s="132"/>
    </row>
    <row r="2084" spans="2:15" ht="26.25" customHeight="1" x14ac:dyDescent="0.25">
      <c r="B2084" s="130"/>
      <c r="C2084" s="135"/>
      <c r="D2084" s="177"/>
      <c r="E2084" s="178"/>
      <c r="F2084" s="178"/>
      <c r="G2084" s="340"/>
      <c r="H2084" s="340"/>
      <c r="I2084" s="179"/>
      <c r="J2084" s="344"/>
      <c r="K2084" s="345"/>
      <c r="L2084" s="346"/>
      <c r="M2084" s="347"/>
      <c r="N2084" s="347"/>
      <c r="O2084" s="132"/>
    </row>
    <row r="2085" spans="2:15" ht="26.25" customHeight="1" x14ac:dyDescent="0.25">
      <c r="B2085" s="130"/>
      <c r="C2085" s="135"/>
      <c r="D2085" s="177"/>
      <c r="E2085" s="178"/>
      <c r="F2085" s="178"/>
      <c r="G2085" s="340"/>
      <c r="H2085" s="340"/>
      <c r="I2085" s="179"/>
      <c r="J2085" s="344"/>
      <c r="K2085" s="345"/>
      <c r="L2085" s="346"/>
      <c r="M2085" s="347"/>
      <c r="N2085" s="347"/>
      <c r="O2085" s="132"/>
    </row>
    <row r="2086" spans="2:15" ht="26.25" customHeight="1" x14ac:dyDescent="0.25">
      <c r="B2086" s="130"/>
      <c r="C2086" s="135"/>
      <c r="D2086" s="177"/>
      <c r="E2086" s="178"/>
      <c r="F2086" s="178"/>
      <c r="G2086" s="340"/>
      <c r="H2086" s="340"/>
      <c r="I2086" s="179"/>
      <c r="J2086" s="344"/>
      <c r="K2086" s="345"/>
      <c r="L2086" s="346"/>
      <c r="M2086" s="347"/>
      <c r="N2086" s="347"/>
      <c r="O2086" s="132"/>
    </row>
    <row r="2087" spans="2:15" ht="26.25" customHeight="1" x14ac:dyDescent="0.25">
      <c r="B2087" s="130"/>
      <c r="C2087" s="135"/>
      <c r="D2087" s="177"/>
      <c r="E2087" s="178"/>
      <c r="F2087" s="178"/>
      <c r="G2087" s="340"/>
      <c r="H2087" s="340"/>
      <c r="I2087" s="179"/>
      <c r="J2087" s="344"/>
      <c r="K2087" s="345"/>
      <c r="L2087" s="346"/>
      <c r="M2087" s="347"/>
      <c r="N2087" s="347"/>
      <c r="O2087" s="132"/>
    </row>
    <row r="2088" spans="2:15" ht="26.25" customHeight="1" x14ac:dyDescent="0.25">
      <c r="B2088" s="130"/>
      <c r="C2088" s="135"/>
      <c r="D2088" s="177"/>
      <c r="E2088" s="178"/>
      <c r="F2088" s="178"/>
      <c r="G2088" s="340"/>
      <c r="H2088" s="340"/>
      <c r="I2088" s="179"/>
      <c r="J2088" s="344"/>
      <c r="K2088" s="345"/>
      <c r="L2088" s="346"/>
      <c r="M2088" s="347"/>
      <c r="N2088" s="347"/>
      <c r="O2088" s="132"/>
    </row>
    <row r="2089" spans="2:15" ht="26.25" customHeight="1" x14ac:dyDescent="0.25">
      <c r="B2089" s="130"/>
      <c r="C2089" s="135"/>
      <c r="D2089" s="177"/>
      <c r="E2089" s="178"/>
      <c r="F2089" s="178"/>
      <c r="G2089" s="340"/>
      <c r="H2089" s="340"/>
      <c r="I2089" s="179"/>
      <c r="J2089" s="344"/>
      <c r="K2089" s="345"/>
      <c r="L2089" s="346"/>
      <c r="M2089" s="347"/>
      <c r="N2089" s="347"/>
      <c r="O2089" s="132"/>
    </row>
    <row r="2090" spans="2:15" ht="26.25" customHeight="1" x14ac:dyDescent="0.25">
      <c r="B2090" s="130"/>
      <c r="C2090" s="135"/>
      <c r="D2090" s="177"/>
      <c r="E2090" s="178"/>
      <c r="F2090" s="178"/>
      <c r="G2090" s="340"/>
      <c r="H2090" s="340"/>
      <c r="I2090" s="179"/>
      <c r="J2090" s="344"/>
      <c r="K2090" s="345"/>
      <c r="L2090" s="346"/>
      <c r="M2090" s="347"/>
      <c r="N2090" s="347"/>
      <c r="O2090" s="132"/>
    </row>
    <row r="2091" spans="2:15" ht="26.25" customHeight="1" x14ac:dyDescent="0.25">
      <c r="B2091" s="130"/>
      <c r="C2091" s="135"/>
      <c r="D2091" s="177"/>
      <c r="E2091" s="178"/>
      <c r="F2091" s="178"/>
      <c r="G2091" s="340"/>
      <c r="H2091" s="340"/>
      <c r="I2091" s="179"/>
      <c r="J2091" s="344"/>
      <c r="K2091" s="345"/>
      <c r="L2091" s="346"/>
      <c r="M2091" s="347"/>
      <c r="N2091" s="347"/>
      <c r="O2091" s="132"/>
    </row>
    <row r="2092" spans="2:15" ht="26.25" customHeight="1" x14ac:dyDescent="0.25">
      <c r="B2092" s="130"/>
      <c r="C2092" s="135"/>
      <c r="D2092" s="177"/>
      <c r="E2092" s="178"/>
      <c r="F2092" s="178"/>
      <c r="G2092" s="340"/>
      <c r="H2092" s="340"/>
      <c r="I2092" s="179"/>
      <c r="J2092" s="344"/>
      <c r="K2092" s="345"/>
      <c r="L2092" s="346"/>
      <c r="M2092" s="347"/>
      <c r="N2092" s="347"/>
      <c r="O2092" s="132"/>
    </row>
    <row r="2093" spans="2:15" ht="26.25" customHeight="1" x14ac:dyDescent="0.25">
      <c r="B2093" s="130"/>
      <c r="C2093" s="135"/>
      <c r="D2093" s="177"/>
      <c r="E2093" s="178"/>
      <c r="F2093" s="178"/>
      <c r="G2093" s="340"/>
      <c r="H2093" s="340"/>
      <c r="I2093" s="179"/>
      <c r="J2093" s="344"/>
      <c r="K2093" s="345"/>
      <c r="L2093" s="346"/>
      <c r="M2093" s="347"/>
      <c r="N2093" s="347"/>
      <c r="O2093" s="132"/>
    </row>
    <row r="2094" spans="2:15" ht="26.25" customHeight="1" x14ac:dyDescent="0.25">
      <c r="B2094" s="130"/>
      <c r="C2094" s="135"/>
      <c r="D2094" s="177"/>
      <c r="E2094" s="178"/>
      <c r="F2094" s="178"/>
      <c r="G2094" s="340"/>
      <c r="H2094" s="340"/>
      <c r="I2094" s="179"/>
      <c r="J2094" s="344"/>
      <c r="K2094" s="345"/>
      <c r="L2094" s="346"/>
      <c r="M2094" s="347"/>
      <c r="N2094" s="347"/>
      <c r="O2094" s="132"/>
    </row>
    <row r="2095" spans="2:15" ht="26.25" customHeight="1" x14ac:dyDescent="0.25">
      <c r="B2095" s="130"/>
      <c r="C2095" s="135"/>
      <c r="D2095" s="177"/>
      <c r="E2095" s="178"/>
      <c r="F2095" s="178"/>
      <c r="G2095" s="340"/>
      <c r="H2095" s="340"/>
      <c r="I2095" s="179"/>
      <c r="J2095" s="344"/>
      <c r="K2095" s="345"/>
      <c r="L2095" s="346"/>
      <c r="M2095" s="347"/>
      <c r="N2095" s="347"/>
      <c r="O2095" s="132"/>
    </row>
    <row r="2096" spans="2:15" ht="26.25" customHeight="1" x14ac:dyDescent="0.25">
      <c r="B2096" s="130"/>
      <c r="C2096" s="135"/>
      <c r="D2096" s="177"/>
      <c r="E2096" s="178"/>
      <c r="F2096" s="178"/>
      <c r="G2096" s="340"/>
      <c r="H2096" s="340"/>
      <c r="I2096" s="179"/>
      <c r="J2096" s="344"/>
      <c r="K2096" s="345"/>
      <c r="L2096" s="346"/>
      <c r="M2096" s="347"/>
      <c r="N2096" s="347"/>
      <c r="O2096" s="132"/>
    </row>
    <row r="2097" spans="2:15" ht="26.25" customHeight="1" x14ac:dyDescent="0.25">
      <c r="B2097" s="130"/>
      <c r="C2097" s="135"/>
      <c r="D2097" s="177"/>
      <c r="E2097" s="178"/>
      <c r="F2097" s="178"/>
      <c r="G2097" s="340"/>
      <c r="H2097" s="340"/>
      <c r="I2097" s="179"/>
      <c r="J2097" s="344"/>
      <c r="K2097" s="345"/>
      <c r="L2097" s="346"/>
      <c r="M2097" s="347"/>
      <c r="N2097" s="347"/>
      <c r="O2097" s="132"/>
    </row>
    <row r="2098" spans="2:15" ht="26.25" customHeight="1" x14ac:dyDescent="0.25">
      <c r="B2098" s="130"/>
      <c r="C2098" s="135"/>
      <c r="D2098" s="177"/>
      <c r="E2098" s="178"/>
      <c r="F2098" s="178"/>
      <c r="G2098" s="340"/>
      <c r="H2098" s="340"/>
      <c r="I2098" s="179"/>
      <c r="J2098" s="344"/>
      <c r="K2098" s="345"/>
      <c r="L2098" s="346"/>
      <c r="M2098" s="347"/>
      <c r="N2098" s="347"/>
      <c r="O2098" s="132"/>
    </row>
    <row r="2099" spans="2:15" ht="26.25" customHeight="1" x14ac:dyDescent="0.25">
      <c r="B2099" s="130"/>
      <c r="C2099" s="135"/>
      <c r="D2099" s="177"/>
      <c r="E2099" s="178"/>
      <c r="F2099" s="178"/>
      <c r="G2099" s="340"/>
      <c r="H2099" s="340"/>
      <c r="I2099" s="179"/>
      <c r="J2099" s="344"/>
      <c r="K2099" s="345"/>
      <c r="L2099" s="346"/>
      <c r="M2099" s="347"/>
      <c r="N2099" s="347"/>
      <c r="O2099" s="132"/>
    </row>
    <row r="2100" spans="2:15" ht="26.25" customHeight="1" x14ac:dyDescent="0.25">
      <c r="B2100" s="130"/>
      <c r="C2100" s="135"/>
      <c r="D2100" s="177"/>
      <c r="E2100" s="178"/>
      <c r="F2100" s="178"/>
      <c r="G2100" s="340"/>
      <c r="H2100" s="340"/>
      <c r="I2100" s="179"/>
      <c r="J2100" s="344"/>
      <c r="K2100" s="345"/>
      <c r="L2100" s="346"/>
      <c r="M2100" s="347"/>
      <c r="N2100" s="347"/>
      <c r="O2100" s="132"/>
    </row>
    <row r="2101" spans="2:15" ht="26.25" customHeight="1" x14ac:dyDescent="0.25">
      <c r="B2101" s="130"/>
      <c r="C2101" s="135"/>
      <c r="D2101" s="177"/>
      <c r="E2101" s="178"/>
      <c r="F2101" s="178"/>
      <c r="G2101" s="340"/>
      <c r="H2101" s="340"/>
      <c r="I2101" s="179"/>
      <c r="J2101" s="344"/>
      <c r="K2101" s="345"/>
      <c r="L2101" s="346"/>
      <c r="M2101" s="347"/>
      <c r="N2101" s="347"/>
      <c r="O2101" s="132"/>
    </row>
    <row r="2102" spans="2:15" ht="26.25" customHeight="1" x14ac:dyDescent="0.25">
      <c r="B2102" s="130"/>
      <c r="C2102" s="135"/>
      <c r="D2102" s="177"/>
      <c r="E2102" s="178"/>
      <c r="F2102" s="178"/>
      <c r="G2102" s="340"/>
      <c r="H2102" s="340"/>
      <c r="I2102" s="179"/>
      <c r="J2102" s="344"/>
      <c r="K2102" s="345"/>
      <c r="L2102" s="346"/>
      <c r="M2102" s="347"/>
      <c r="N2102" s="347"/>
      <c r="O2102" s="132"/>
    </row>
    <row r="2103" spans="2:15" ht="26.25" customHeight="1" x14ac:dyDescent="0.25">
      <c r="B2103" s="130"/>
      <c r="C2103" s="135"/>
      <c r="D2103" s="177"/>
      <c r="E2103" s="178"/>
      <c r="F2103" s="178"/>
      <c r="G2103" s="340"/>
      <c r="H2103" s="340"/>
      <c r="I2103" s="179"/>
      <c r="J2103" s="344"/>
      <c r="K2103" s="345"/>
      <c r="L2103" s="346"/>
      <c r="M2103" s="347"/>
      <c r="N2103" s="347"/>
      <c r="O2103" s="132"/>
    </row>
    <row r="2104" spans="2:15" ht="26.25" customHeight="1" x14ac:dyDescent="0.25">
      <c r="B2104" s="130"/>
      <c r="C2104" s="135"/>
      <c r="D2104" s="177"/>
      <c r="E2104" s="178"/>
      <c r="F2104" s="178"/>
      <c r="G2104" s="340"/>
      <c r="H2104" s="340"/>
      <c r="I2104" s="179"/>
      <c r="J2104" s="344"/>
      <c r="K2104" s="345"/>
      <c r="L2104" s="346"/>
      <c r="M2104" s="347"/>
      <c r="N2104" s="347"/>
      <c r="O2104" s="132"/>
    </row>
    <row r="2105" spans="2:15" ht="26.25" customHeight="1" x14ac:dyDescent="0.25">
      <c r="B2105" s="130"/>
      <c r="C2105" s="135"/>
      <c r="D2105" s="177"/>
      <c r="E2105" s="178"/>
      <c r="F2105" s="178"/>
      <c r="G2105" s="340"/>
      <c r="H2105" s="340"/>
      <c r="I2105" s="179"/>
      <c r="J2105" s="344"/>
      <c r="K2105" s="345"/>
      <c r="L2105" s="346"/>
      <c r="M2105" s="347"/>
      <c r="N2105" s="347"/>
      <c r="O2105" s="132"/>
    </row>
    <row r="2106" spans="2:15" ht="26.25" customHeight="1" x14ac:dyDescent="0.25">
      <c r="B2106" s="130"/>
      <c r="C2106" s="135"/>
      <c r="D2106" s="177"/>
      <c r="E2106" s="178"/>
      <c r="F2106" s="178"/>
      <c r="G2106" s="340"/>
      <c r="H2106" s="340"/>
      <c r="I2106" s="179"/>
      <c r="J2106" s="344"/>
      <c r="K2106" s="345"/>
      <c r="L2106" s="346"/>
      <c r="M2106" s="347"/>
      <c r="N2106" s="347"/>
      <c r="O2106" s="132"/>
    </row>
    <row r="2107" spans="2:15" ht="26.25" customHeight="1" x14ac:dyDescent="0.25">
      <c r="B2107" s="130"/>
      <c r="C2107" s="135"/>
      <c r="D2107" s="177"/>
      <c r="E2107" s="178"/>
      <c r="F2107" s="178"/>
      <c r="G2107" s="340"/>
      <c r="H2107" s="340"/>
      <c r="I2107" s="179"/>
      <c r="J2107" s="344"/>
      <c r="K2107" s="345"/>
      <c r="L2107" s="346"/>
      <c r="M2107" s="347"/>
      <c r="N2107" s="347"/>
      <c r="O2107" s="132"/>
    </row>
    <row r="2108" spans="2:15" ht="26.25" customHeight="1" x14ac:dyDescent="0.25">
      <c r="B2108" s="130"/>
      <c r="C2108" s="135"/>
      <c r="D2108" s="177"/>
      <c r="E2108" s="178"/>
      <c r="F2108" s="178"/>
      <c r="G2108" s="340"/>
      <c r="H2108" s="340"/>
      <c r="I2108" s="179"/>
      <c r="J2108" s="344"/>
      <c r="K2108" s="345"/>
      <c r="L2108" s="346"/>
      <c r="M2108" s="347"/>
      <c r="N2108" s="347"/>
      <c r="O2108" s="132"/>
    </row>
    <row r="2109" spans="2:15" ht="26.25" customHeight="1" x14ac:dyDescent="0.25">
      <c r="B2109" s="130"/>
      <c r="C2109" s="135"/>
      <c r="D2109" s="177"/>
      <c r="E2109" s="178"/>
      <c r="F2109" s="178"/>
      <c r="G2109" s="340"/>
      <c r="H2109" s="340"/>
      <c r="I2109" s="179"/>
      <c r="J2109" s="344"/>
      <c r="K2109" s="345"/>
      <c r="L2109" s="346"/>
      <c r="M2109" s="347"/>
      <c r="N2109" s="347"/>
      <c r="O2109" s="132"/>
    </row>
    <row r="2110" spans="2:15" ht="26.25" customHeight="1" x14ac:dyDescent="0.25">
      <c r="B2110" s="130"/>
      <c r="C2110" s="135"/>
      <c r="D2110" s="177"/>
      <c r="E2110" s="178"/>
      <c r="F2110" s="178"/>
      <c r="G2110" s="340"/>
      <c r="H2110" s="340"/>
      <c r="I2110" s="179"/>
      <c r="J2110" s="344"/>
      <c r="K2110" s="345"/>
      <c r="L2110" s="346"/>
      <c r="M2110" s="347"/>
      <c r="N2110" s="347"/>
      <c r="O2110" s="132"/>
    </row>
    <row r="2111" spans="2:15" ht="26.25" customHeight="1" x14ac:dyDescent="0.25">
      <c r="B2111" s="130"/>
      <c r="C2111" s="135"/>
      <c r="D2111" s="177"/>
      <c r="E2111" s="178"/>
      <c r="F2111" s="178"/>
      <c r="G2111" s="340"/>
      <c r="H2111" s="340"/>
      <c r="I2111" s="179"/>
      <c r="J2111" s="344"/>
      <c r="K2111" s="345"/>
      <c r="L2111" s="346"/>
      <c r="M2111" s="347"/>
      <c r="N2111" s="347"/>
      <c r="O2111" s="132"/>
    </row>
    <row r="2112" spans="2:15" ht="26.25" customHeight="1" x14ac:dyDescent="0.25">
      <c r="B2112" s="130"/>
      <c r="C2112" s="135"/>
      <c r="D2112" s="177"/>
      <c r="E2112" s="178"/>
      <c r="F2112" s="178"/>
      <c r="G2112" s="340"/>
      <c r="H2112" s="340"/>
      <c r="I2112" s="179"/>
      <c r="J2112" s="344"/>
      <c r="K2112" s="345"/>
      <c r="L2112" s="346"/>
      <c r="M2112" s="347"/>
      <c r="N2112" s="347"/>
      <c r="O2112" s="132"/>
    </row>
    <row r="2113" spans="2:15" ht="26.25" customHeight="1" x14ac:dyDescent="0.25">
      <c r="B2113" s="130"/>
      <c r="C2113" s="135"/>
      <c r="D2113" s="177"/>
      <c r="E2113" s="178"/>
      <c r="F2113" s="178"/>
      <c r="G2113" s="340"/>
      <c r="H2113" s="340"/>
      <c r="I2113" s="179"/>
      <c r="J2113" s="344"/>
      <c r="K2113" s="345"/>
      <c r="L2113" s="346"/>
      <c r="M2113" s="347"/>
      <c r="N2113" s="347"/>
      <c r="O2113" s="132"/>
    </row>
    <row r="2114" spans="2:15" ht="26.25" customHeight="1" x14ac:dyDescent="0.25">
      <c r="B2114" s="130"/>
      <c r="C2114" s="135"/>
      <c r="D2114" s="177"/>
      <c r="E2114" s="178"/>
      <c r="F2114" s="178"/>
      <c r="G2114" s="340"/>
      <c r="H2114" s="340"/>
      <c r="I2114" s="179"/>
      <c r="J2114" s="344"/>
      <c r="K2114" s="345"/>
      <c r="L2114" s="346"/>
      <c r="M2114" s="347"/>
      <c r="N2114" s="347"/>
      <c r="O2114" s="132"/>
    </row>
    <row r="2115" spans="2:15" ht="26.25" customHeight="1" x14ac:dyDescent="0.25">
      <c r="B2115" s="130"/>
      <c r="C2115" s="135"/>
      <c r="D2115" s="177"/>
      <c r="E2115" s="178"/>
      <c r="F2115" s="178"/>
      <c r="G2115" s="340"/>
      <c r="H2115" s="340"/>
      <c r="I2115" s="179"/>
      <c r="J2115" s="344"/>
      <c r="K2115" s="345"/>
      <c r="L2115" s="346"/>
      <c r="M2115" s="347"/>
      <c r="N2115" s="347"/>
      <c r="O2115" s="132"/>
    </row>
    <row r="2116" spans="2:15" ht="26.25" customHeight="1" x14ac:dyDescent="0.25">
      <c r="B2116" s="130"/>
      <c r="C2116" s="135"/>
      <c r="D2116" s="177"/>
      <c r="E2116" s="178"/>
      <c r="F2116" s="178"/>
      <c r="G2116" s="340"/>
      <c r="H2116" s="340"/>
      <c r="I2116" s="179"/>
      <c r="J2116" s="344"/>
      <c r="K2116" s="345"/>
      <c r="L2116" s="346"/>
      <c r="M2116" s="347"/>
      <c r="N2116" s="347"/>
      <c r="O2116" s="132"/>
    </row>
    <row r="2117" spans="2:15" ht="26.25" customHeight="1" x14ac:dyDescent="0.25">
      <c r="B2117" s="130"/>
      <c r="C2117" s="135"/>
      <c r="D2117" s="177"/>
      <c r="E2117" s="178"/>
      <c r="F2117" s="178"/>
      <c r="G2117" s="340"/>
      <c r="H2117" s="340"/>
      <c r="I2117" s="179"/>
      <c r="J2117" s="344"/>
      <c r="K2117" s="345"/>
      <c r="L2117" s="346"/>
      <c r="M2117" s="347"/>
      <c r="N2117" s="347"/>
      <c r="O2117" s="132"/>
    </row>
    <row r="2118" spans="2:15" ht="26.25" customHeight="1" x14ac:dyDescent="0.25">
      <c r="B2118" s="130"/>
      <c r="C2118" s="135"/>
      <c r="D2118" s="177"/>
      <c r="E2118" s="178"/>
      <c r="F2118" s="178"/>
      <c r="G2118" s="340"/>
      <c r="H2118" s="340"/>
      <c r="I2118" s="179"/>
      <c r="J2118" s="344"/>
      <c r="K2118" s="345"/>
      <c r="L2118" s="346"/>
      <c r="M2118" s="347"/>
      <c r="N2118" s="347"/>
      <c r="O2118" s="132"/>
    </row>
    <row r="2119" spans="2:15" ht="26.25" customHeight="1" x14ac:dyDescent="0.25">
      <c r="B2119" s="130"/>
      <c r="C2119" s="135"/>
      <c r="D2119" s="177"/>
      <c r="E2119" s="178"/>
      <c r="F2119" s="178"/>
      <c r="G2119" s="340"/>
      <c r="H2119" s="340"/>
      <c r="I2119" s="179"/>
      <c r="J2119" s="344"/>
      <c r="K2119" s="345"/>
      <c r="L2119" s="346"/>
      <c r="M2119" s="347"/>
      <c r="N2119" s="347"/>
      <c r="O2119" s="132"/>
    </row>
    <row r="2120" spans="2:15" ht="26.25" customHeight="1" x14ac:dyDescent="0.25">
      <c r="B2120" s="130"/>
      <c r="C2120" s="135"/>
      <c r="D2120" s="177"/>
      <c r="E2120" s="178"/>
      <c r="F2120" s="178"/>
      <c r="G2120" s="340"/>
      <c r="H2120" s="340"/>
      <c r="I2120" s="179"/>
      <c r="J2120" s="344"/>
      <c r="K2120" s="345"/>
      <c r="L2120" s="346"/>
      <c r="M2120" s="347"/>
      <c r="N2120" s="347"/>
      <c r="O2120" s="132"/>
    </row>
    <row r="2121" spans="2:15" ht="26.25" customHeight="1" x14ac:dyDescent="0.25">
      <c r="B2121" s="130"/>
      <c r="C2121" s="135"/>
      <c r="D2121" s="177"/>
      <c r="E2121" s="178"/>
      <c r="F2121" s="178"/>
      <c r="G2121" s="340"/>
      <c r="H2121" s="340"/>
      <c r="I2121" s="179"/>
      <c r="J2121" s="344"/>
      <c r="K2121" s="345"/>
      <c r="L2121" s="346"/>
      <c r="M2121" s="347"/>
      <c r="N2121" s="347"/>
      <c r="O2121" s="132"/>
    </row>
    <row r="2122" spans="2:15" ht="26.25" customHeight="1" x14ac:dyDescent="0.25">
      <c r="B2122" s="130"/>
      <c r="C2122" s="135"/>
      <c r="D2122" s="177"/>
      <c r="E2122" s="178"/>
      <c r="F2122" s="178"/>
      <c r="G2122" s="340"/>
      <c r="H2122" s="340"/>
      <c r="I2122" s="179"/>
      <c r="J2122" s="344"/>
      <c r="K2122" s="345"/>
      <c r="L2122" s="346"/>
      <c r="M2122" s="347"/>
      <c r="N2122" s="347"/>
      <c r="O2122" s="132"/>
    </row>
    <row r="2123" spans="2:15" ht="26.25" customHeight="1" x14ac:dyDescent="0.25">
      <c r="B2123" s="130"/>
      <c r="C2123" s="135"/>
      <c r="D2123" s="177"/>
      <c r="E2123" s="178"/>
      <c r="F2123" s="178"/>
      <c r="G2123" s="340"/>
      <c r="H2123" s="340"/>
      <c r="I2123" s="179"/>
      <c r="J2123" s="344"/>
      <c r="K2123" s="345"/>
      <c r="L2123" s="346"/>
      <c r="M2123" s="347"/>
      <c r="N2123" s="347"/>
      <c r="O2123" s="132"/>
    </row>
    <row r="2124" spans="2:15" ht="26.25" customHeight="1" x14ac:dyDescent="0.25">
      <c r="B2124" s="130"/>
      <c r="C2124" s="135"/>
      <c r="D2124" s="177"/>
      <c r="E2124" s="178"/>
      <c r="F2124" s="178"/>
      <c r="G2124" s="340"/>
      <c r="H2124" s="340"/>
      <c r="I2124" s="179"/>
      <c r="J2124" s="344"/>
      <c r="K2124" s="345"/>
      <c r="L2124" s="346"/>
      <c r="M2124" s="347"/>
      <c r="N2124" s="347"/>
      <c r="O2124" s="132"/>
    </row>
    <row r="2125" spans="2:15" ht="26.25" customHeight="1" x14ac:dyDescent="0.25">
      <c r="B2125" s="130"/>
      <c r="C2125" s="135"/>
      <c r="D2125" s="177"/>
      <c r="E2125" s="178"/>
      <c r="F2125" s="178"/>
      <c r="G2125" s="340"/>
      <c r="H2125" s="340"/>
      <c r="I2125" s="179"/>
      <c r="J2125" s="344"/>
      <c r="K2125" s="345"/>
      <c r="L2125" s="346"/>
      <c r="M2125" s="347"/>
      <c r="N2125" s="347"/>
      <c r="O2125" s="132"/>
    </row>
    <row r="2126" spans="2:15" ht="26.25" customHeight="1" x14ac:dyDescent="0.25">
      <c r="B2126" s="130"/>
      <c r="C2126" s="135"/>
      <c r="D2126" s="177"/>
      <c r="E2126" s="178"/>
      <c r="F2126" s="178"/>
      <c r="G2126" s="340"/>
      <c r="H2126" s="340"/>
      <c r="I2126" s="179"/>
      <c r="J2126" s="344"/>
      <c r="K2126" s="345"/>
      <c r="L2126" s="346"/>
      <c r="M2126" s="347"/>
      <c r="N2126" s="347"/>
      <c r="O2126" s="132"/>
    </row>
    <row r="2127" spans="2:15" ht="26.25" customHeight="1" x14ac:dyDescent="0.25">
      <c r="B2127" s="130"/>
      <c r="C2127" s="135"/>
      <c r="D2127" s="177"/>
      <c r="E2127" s="178"/>
      <c r="F2127" s="178"/>
      <c r="G2127" s="340"/>
      <c r="H2127" s="340"/>
      <c r="I2127" s="179"/>
      <c r="J2127" s="344"/>
      <c r="K2127" s="345"/>
      <c r="L2127" s="346"/>
      <c r="M2127" s="347"/>
      <c r="N2127" s="347"/>
      <c r="O2127" s="132"/>
    </row>
    <row r="2128" spans="2:15" ht="26.25" customHeight="1" x14ac:dyDescent="0.25">
      <c r="B2128" s="130"/>
      <c r="C2128" s="135"/>
      <c r="D2128" s="177"/>
      <c r="E2128" s="178"/>
      <c r="F2128" s="178"/>
      <c r="G2128" s="340"/>
      <c r="H2128" s="340"/>
      <c r="I2128" s="179"/>
      <c r="J2128" s="344"/>
      <c r="K2128" s="345"/>
      <c r="L2128" s="346"/>
      <c r="M2128" s="347"/>
      <c r="N2128" s="347"/>
      <c r="O2128" s="132"/>
    </row>
    <row r="2129" spans="2:15" ht="26.25" customHeight="1" x14ac:dyDescent="0.25">
      <c r="B2129" s="130"/>
      <c r="C2129" s="135"/>
      <c r="D2129" s="177"/>
      <c r="E2129" s="178"/>
      <c r="F2129" s="178"/>
      <c r="G2129" s="340"/>
      <c r="H2129" s="340"/>
      <c r="I2129" s="179"/>
      <c r="J2129" s="344"/>
      <c r="K2129" s="345"/>
      <c r="L2129" s="346"/>
      <c r="M2129" s="347"/>
      <c r="N2129" s="347"/>
      <c r="O2129" s="132"/>
    </row>
    <row r="2130" spans="2:15" ht="26.25" customHeight="1" x14ac:dyDescent="0.25">
      <c r="B2130" s="130"/>
      <c r="C2130" s="135"/>
      <c r="D2130" s="177"/>
      <c r="E2130" s="178"/>
      <c r="F2130" s="178"/>
      <c r="G2130" s="340"/>
      <c r="H2130" s="340"/>
      <c r="I2130" s="179"/>
      <c r="J2130" s="344"/>
      <c r="K2130" s="345"/>
      <c r="L2130" s="346"/>
      <c r="M2130" s="347"/>
      <c r="N2130" s="347"/>
      <c r="O2130" s="132"/>
    </row>
    <row r="2131" spans="2:15" ht="26.25" customHeight="1" x14ac:dyDescent="0.25">
      <c r="B2131" s="130"/>
      <c r="C2131" s="135"/>
      <c r="D2131" s="177"/>
      <c r="E2131" s="178"/>
      <c r="F2131" s="178"/>
      <c r="G2131" s="340"/>
      <c r="H2131" s="340"/>
      <c r="I2131" s="179"/>
      <c r="J2131" s="344"/>
      <c r="K2131" s="345"/>
      <c r="L2131" s="346"/>
      <c r="M2131" s="347"/>
      <c r="N2131" s="347"/>
      <c r="O2131" s="132"/>
    </row>
    <row r="2132" spans="2:15" ht="26.25" customHeight="1" x14ac:dyDescent="0.25">
      <c r="B2132" s="130"/>
      <c r="C2132" s="135"/>
      <c r="D2132" s="177"/>
      <c r="E2132" s="178"/>
      <c r="F2132" s="178"/>
      <c r="G2132" s="340"/>
      <c r="H2132" s="340"/>
      <c r="I2132" s="179"/>
      <c r="J2132" s="344"/>
      <c r="K2132" s="345"/>
      <c r="L2132" s="346"/>
      <c r="M2132" s="347"/>
      <c r="N2132" s="347"/>
      <c r="O2132" s="132"/>
    </row>
    <row r="2133" spans="2:15" ht="26.25" customHeight="1" x14ac:dyDescent="0.25">
      <c r="B2133" s="130"/>
      <c r="C2133" s="135"/>
      <c r="D2133" s="177"/>
      <c r="E2133" s="178"/>
      <c r="F2133" s="178"/>
      <c r="G2133" s="340"/>
      <c r="H2133" s="340"/>
      <c r="I2133" s="179"/>
      <c r="J2133" s="344"/>
      <c r="K2133" s="345"/>
      <c r="L2133" s="346"/>
      <c r="M2133" s="347"/>
      <c r="N2133" s="347"/>
      <c r="O2133" s="132"/>
    </row>
    <row r="2134" spans="2:15" ht="26.25" customHeight="1" x14ac:dyDescent="0.25">
      <c r="B2134" s="130"/>
      <c r="C2134" s="135"/>
      <c r="D2134" s="177"/>
      <c r="E2134" s="178"/>
      <c r="F2134" s="178"/>
      <c r="G2134" s="340"/>
      <c r="H2134" s="340"/>
      <c r="I2134" s="179"/>
      <c r="J2134" s="344"/>
      <c r="K2134" s="345"/>
      <c r="L2134" s="346"/>
      <c r="M2134" s="347"/>
      <c r="N2134" s="347"/>
      <c r="O2134" s="132"/>
    </row>
    <row r="2135" spans="2:15" ht="26.25" customHeight="1" x14ac:dyDescent="0.25">
      <c r="B2135" s="130"/>
      <c r="C2135" s="135"/>
      <c r="D2135" s="177"/>
      <c r="E2135" s="178"/>
      <c r="F2135" s="178"/>
      <c r="G2135" s="340"/>
      <c r="H2135" s="340"/>
      <c r="I2135" s="179"/>
      <c r="J2135" s="344"/>
      <c r="K2135" s="345"/>
      <c r="L2135" s="346"/>
      <c r="M2135" s="347"/>
      <c r="N2135" s="347"/>
      <c r="O2135" s="132"/>
    </row>
    <row r="2136" spans="2:15" ht="26.25" customHeight="1" x14ac:dyDescent="0.25">
      <c r="B2136" s="130"/>
      <c r="C2136" s="135"/>
      <c r="D2136" s="177"/>
      <c r="E2136" s="178"/>
      <c r="F2136" s="178"/>
      <c r="G2136" s="340"/>
      <c r="H2136" s="340"/>
      <c r="I2136" s="179"/>
      <c r="J2136" s="344"/>
      <c r="K2136" s="345"/>
      <c r="L2136" s="346"/>
      <c r="M2136" s="347"/>
      <c r="N2136" s="347"/>
      <c r="O2136" s="132"/>
    </row>
    <row r="2137" spans="2:15" ht="26.25" customHeight="1" x14ac:dyDescent="0.25">
      <c r="B2137" s="130"/>
      <c r="C2137" s="135"/>
      <c r="D2137" s="177"/>
      <c r="E2137" s="178"/>
      <c r="F2137" s="178"/>
      <c r="G2137" s="340"/>
      <c r="H2137" s="340"/>
      <c r="I2137" s="179"/>
      <c r="J2137" s="344"/>
      <c r="K2137" s="345"/>
      <c r="L2137" s="346"/>
      <c r="M2137" s="347"/>
      <c r="N2137" s="347"/>
      <c r="O2137" s="132"/>
    </row>
    <row r="2138" spans="2:15" ht="26.25" customHeight="1" x14ac:dyDescent="0.25">
      <c r="B2138" s="130"/>
      <c r="C2138" s="135"/>
      <c r="D2138" s="177"/>
      <c r="E2138" s="178"/>
      <c r="F2138" s="178"/>
      <c r="G2138" s="340"/>
      <c r="H2138" s="340"/>
      <c r="I2138" s="179"/>
      <c r="J2138" s="344"/>
      <c r="K2138" s="345"/>
      <c r="L2138" s="346"/>
      <c r="M2138" s="347"/>
      <c r="N2138" s="347"/>
      <c r="O2138" s="132"/>
    </row>
    <row r="2139" spans="2:15" ht="26.25" customHeight="1" x14ac:dyDescent="0.25">
      <c r="B2139" s="130"/>
      <c r="C2139" s="135"/>
      <c r="D2139" s="177"/>
      <c r="E2139" s="178"/>
      <c r="F2139" s="178"/>
      <c r="G2139" s="340"/>
      <c r="H2139" s="340"/>
      <c r="I2139" s="179"/>
      <c r="J2139" s="344"/>
      <c r="K2139" s="345"/>
      <c r="L2139" s="346"/>
      <c r="M2139" s="347"/>
      <c r="N2139" s="347"/>
      <c r="O2139" s="132"/>
    </row>
    <row r="2140" spans="2:15" ht="26.25" customHeight="1" x14ac:dyDescent="0.25">
      <c r="B2140" s="130"/>
      <c r="C2140" s="135"/>
      <c r="D2140" s="177"/>
      <c r="E2140" s="178"/>
      <c r="F2140" s="178"/>
      <c r="G2140" s="340"/>
      <c r="H2140" s="340"/>
      <c r="I2140" s="179"/>
      <c r="J2140" s="344"/>
      <c r="K2140" s="345"/>
      <c r="L2140" s="346"/>
      <c r="M2140" s="347"/>
      <c r="N2140" s="347"/>
      <c r="O2140" s="132"/>
    </row>
    <row r="2141" spans="2:15" ht="26.25" customHeight="1" x14ac:dyDescent="0.25">
      <c r="B2141" s="130"/>
      <c r="C2141" s="135"/>
      <c r="D2141" s="177"/>
      <c r="E2141" s="178"/>
      <c r="F2141" s="178"/>
      <c r="G2141" s="340"/>
      <c r="H2141" s="340"/>
      <c r="I2141" s="179"/>
      <c r="J2141" s="344"/>
      <c r="K2141" s="345"/>
      <c r="L2141" s="346"/>
      <c r="M2141" s="347"/>
      <c r="N2141" s="347"/>
      <c r="O2141" s="132"/>
    </row>
    <row r="2142" spans="2:15" ht="26.25" customHeight="1" x14ac:dyDescent="0.25">
      <c r="B2142" s="130"/>
      <c r="C2142" s="135"/>
      <c r="D2142" s="177"/>
      <c r="E2142" s="178"/>
      <c r="F2142" s="178"/>
      <c r="G2142" s="340"/>
      <c r="H2142" s="340"/>
      <c r="I2142" s="179"/>
      <c r="J2142" s="344"/>
      <c r="K2142" s="345"/>
      <c r="L2142" s="346"/>
      <c r="M2142" s="347"/>
      <c r="N2142" s="347"/>
      <c r="O2142" s="132"/>
    </row>
    <row r="2143" spans="2:15" ht="26.25" customHeight="1" x14ac:dyDescent="0.25">
      <c r="B2143" s="130"/>
      <c r="C2143" s="135"/>
      <c r="D2143" s="177"/>
      <c r="E2143" s="178"/>
      <c r="F2143" s="178"/>
      <c r="G2143" s="340"/>
      <c r="H2143" s="340"/>
      <c r="I2143" s="179"/>
      <c r="J2143" s="344"/>
      <c r="K2143" s="345"/>
      <c r="L2143" s="346"/>
      <c r="M2143" s="347"/>
      <c r="N2143" s="347"/>
      <c r="O2143" s="132"/>
    </row>
    <row r="2144" spans="2:15" ht="26.25" customHeight="1" x14ac:dyDescent="0.25">
      <c r="B2144" s="130"/>
      <c r="C2144" s="135"/>
      <c r="D2144" s="177"/>
      <c r="E2144" s="178"/>
      <c r="F2144" s="178"/>
      <c r="G2144" s="340"/>
      <c r="H2144" s="340"/>
      <c r="I2144" s="179"/>
      <c r="J2144" s="344"/>
      <c r="K2144" s="345"/>
      <c r="L2144" s="346"/>
      <c r="M2144" s="347"/>
      <c r="N2144" s="347"/>
      <c r="O2144" s="132"/>
    </row>
    <row r="2145" spans="2:15" ht="26.25" customHeight="1" x14ac:dyDescent="0.25">
      <c r="B2145" s="130"/>
      <c r="C2145" s="135"/>
      <c r="D2145" s="177"/>
      <c r="E2145" s="178"/>
      <c r="F2145" s="178"/>
      <c r="G2145" s="340"/>
      <c r="H2145" s="340"/>
      <c r="I2145" s="179"/>
      <c r="J2145" s="344"/>
      <c r="K2145" s="345"/>
      <c r="L2145" s="346"/>
      <c r="M2145" s="347"/>
      <c r="N2145" s="347"/>
      <c r="O2145" s="132"/>
    </row>
    <row r="2146" spans="2:15" ht="26.25" customHeight="1" x14ac:dyDescent="0.25">
      <c r="B2146" s="130"/>
      <c r="C2146" s="135"/>
      <c r="D2146" s="177"/>
      <c r="E2146" s="178"/>
      <c r="F2146" s="178"/>
      <c r="G2146" s="340"/>
      <c r="H2146" s="340"/>
      <c r="I2146" s="179"/>
      <c r="J2146" s="344"/>
      <c r="K2146" s="345"/>
      <c r="L2146" s="346"/>
      <c r="M2146" s="347"/>
      <c r="N2146" s="347"/>
      <c r="O2146" s="132"/>
    </row>
    <row r="2147" spans="2:15" ht="26.25" customHeight="1" x14ac:dyDescent="0.25">
      <c r="B2147" s="130"/>
      <c r="C2147" s="135"/>
      <c r="D2147" s="177"/>
      <c r="E2147" s="178"/>
      <c r="F2147" s="178"/>
      <c r="G2147" s="340"/>
      <c r="H2147" s="340"/>
      <c r="I2147" s="179"/>
      <c r="J2147" s="344"/>
      <c r="K2147" s="345"/>
      <c r="L2147" s="346"/>
      <c r="M2147" s="347"/>
      <c r="N2147" s="347"/>
      <c r="O2147" s="132"/>
    </row>
    <row r="2148" spans="2:15" ht="26.25" customHeight="1" x14ac:dyDescent="0.25">
      <c r="B2148" s="130"/>
      <c r="C2148" s="135"/>
      <c r="D2148" s="177"/>
      <c r="E2148" s="178"/>
      <c r="F2148" s="178"/>
      <c r="G2148" s="340"/>
      <c r="H2148" s="340"/>
      <c r="I2148" s="179"/>
      <c r="J2148" s="344"/>
      <c r="K2148" s="345"/>
      <c r="L2148" s="346"/>
      <c r="M2148" s="347"/>
      <c r="N2148" s="347"/>
      <c r="O2148" s="132"/>
    </row>
    <row r="2149" spans="2:15" ht="26.25" customHeight="1" x14ac:dyDescent="0.25">
      <c r="B2149" s="130"/>
      <c r="C2149" s="135"/>
      <c r="D2149" s="177"/>
      <c r="E2149" s="178"/>
      <c r="F2149" s="178"/>
      <c r="G2149" s="340"/>
      <c r="H2149" s="340"/>
      <c r="I2149" s="179"/>
      <c r="J2149" s="344"/>
      <c r="K2149" s="345"/>
      <c r="L2149" s="346"/>
      <c r="M2149" s="347"/>
      <c r="N2149" s="347"/>
      <c r="O2149" s="132"/>
    </row>
    <row r="2150" spans="2:15" ht="26.25" customHeight="1" x14ac:dyDescent="0.25">
      <c r="B2150" s="130"/>
      <c r="C2150" s="135"/>
      <c r="D2150" s="177"/>
      <c r="E2150" s="178"/>
      <c r="F2150" s="178"/>
      <c r="G2150" s="340"/>
      <c r="H2150" s="340"/>
      <c r="I2150" s="179"/>
      <c r="J2150" s="344"/>
      <c r="K2150" s="345"/>
      <c r="L2150" s="346"/>
      <c r="M2150" s="347"/>
      <c r="N2150" s="347"/>
      <c r="O2150" s="132"/>
    </row>
    <row r="2151" spans="2:15" ht="26.25" customHeight="1" x14ac:dyDescent="0.25">
      <c r="B2151" s="130"/>
      <c r="C2151" s="135"/>
      <c r="D2151" s="177"/>
      <c r="E2151" s="178"/>
      <c r="F2151" s="178"/>
      <c r="G2151" s="340"/>
      <c r="H2151" s="340"/>
      <c r="I2151" s="179"/>
      <c r="J2151" s="344"/>
      <c r="K2151" s="345"/>
      <c r="L2151" s="346"/>
      <c r="M2151" s="347"/>
      <c r="N2151" s="347"/>
      <c r="O2151" s="132"/>
    </row>
    <row r="2152" spans="2:15" ht="26.25" customHeight="1" x14ac:dyDescent="0.25">
      <c r="B2152" s="130"/>
      <c r="C2152" s="135"/>
      <c r="D2152" s="177"/>
      <c r="E2152" s="178"/>
      <c r="F2152" s="178"/>
      <c r="G2152" s="340"/>
      <c r="H2152" s="340"/>
      <c r="I2152" s="179"/>
      <c r="J2152" s="344"/>
      <c r="K2152" s="345"/>
      <c r="L2152" s="346"/>
      <c r="M2152" s="347"/>
      <c r="N2152" s="347"/>
      <c r="O2152" s="132"/>
    </row>
    <row r="2153" spans="2:15" ht="26.25" customHeight="1" x14ac:dyDescent="0.25">
      <c r="B2153" s="130"/>
      <c r="C2153" s="135"/>
      <c r="D2153" s="177"/>
      <c r="E2153" s="178"/>
      <c r="F2153" s="178"/>
      <c r="G2153" s="340"/>
      <c r="H2153" s="340"/>
      <c r="I2153" s="179"/>
      <c r="J2153" s="344"/>
      <c r="K2153" s="345"/>
      <c r="L2153" s="346"/>
      <c r="M2153" s="347"/>
      <c r="N2153" s="347"/>
      <c r="O2153" s="132"/>
    </row>
    <row r="2154" spans="2:15" ht="26.25" customHeight="1" x14ac:dyDescent="0.25">
      <c r="B2154" s="130"/>
      <c r="C2154" s="135"/>
      <c r="D2154" s="177"/>
      <c r="E2154" s="178"/>
      <c r="F2154" s="178"/>
      <c r="G2154" s="340"/>
      <c r="H2154" s="340"/>
      <c r="I2154" s="179"/>
      <c r="J2154" s="344"/>
      <c r="K2154" s="345"/>
      <c r="L2154" s="346"/>
      <c r="M2154" s="347"/>
      <c r="N2154" s="347"/>
      <c r="O2154" s="132"/>
    </row>
    <row r="2155" spans="2:15" ht="26.25" customHeight="1" x14ac:dyDescent="0.25">
      <c r="B2155" s="130"/>
      <c r="C2155" s="135"/>
      <c r="D2155" s="177"/>
      <c r="E2155" s="178"/>
      <c r="F2155" s="178"/>
      <c r="G2155" s="340"/>
      <c r="H2155" s="340"/>
      <c r="I2155" s="179"/>
      <c r="J2155" s="344"/>
      <c r="K2155" s="345"/>
      <c r="L2155" s="346"/>
      <c r="M2155" s="347"/>
      <c r="N2155" s="347"/>
      <c r="O2155" s="132"/>
    </row>
    <row r="2156" spans="2:15" ht="26.25" customHeight="1" x14ac:dyDescent="0.25">
      <c r="B2156" s="130"/>
      <c r="C2156" s="135"/>
      <c r="D2156" s="177"/>
      <c r="E2156" s="178"/>
      <c r="F2156" s="178"/>
      <c r="G2156" s="340"/>
      <c r="H2156" s="340"/>
      <c r="I2156" s="179"/>
      <c r="J2156" s="344"/>
      <c r="K2156" s="345"/>
      <c r="L2156" s="346"/>
      <c r="M2156" s="347"/>
      <c r="N2156" s="347"/>
      <c r="O2156" s="132"/>
    </row>
    <row r="2157" spans="2:15" ht="26.25" customHeight="1" x14ac:dyDescent="0.25">
      <c r="B2157" s="130"/>
      <c r="C2157" s="135"/>
      <c r="D2157" s="177"/>
      <c r="E2157" s="178"/>
      <c r="F2157" s="178"/>
      <c r="G2157" s="340"/>
      <c r="H2157" s="340"/>
      <c r="I2157" s="179"/>
      <c r="J2157" s="344"/>
      <c r="K2157" s="345"/>
      <c r="L2157" s="346"/>
      <c r="M2157" s="347"/>
      <c r="N2157" s="347"/>
      <c r="O2157" s="132"/>
    </row>
    <row r="2158" spans="2:15" ht="26.25" customHeight="1" x14ac:dyDescent="0.25">
      <c r="B2158" s="130"/>
      <c r="C2158" s="135"/>
      <c r="D2158" s="177"/>
      <c r="E2158" s="178"/>
      <c r="F2158" s="178"/>
      <c r="G2158" s="340"/>
      <c r="H2158" s="340"/>
      <c r="I2158" s="179"/>
      <c r="J2158" s="344"/>
      <c r="K2158" s="345"/>
      <c r="L2158" s="346"/>
      <c r="M2158" s="347"/>
      <c r="N2158" s="347"/>
      <c r="O2158" s="132"/>
    </row>
    <row r="2159" spans="2:15" ht="26.25" customHeight="1" x14ac:dyDescent="0.25">
      <c r="B2159" s="130"/>
      <c r="C2159" s="135"/>
      <c r="D2159" s="177"/>
      <c r="E2159" s="178"/>
      <c r="F2159" s="178"/>
      <c r="G2159" s="340"/>
      <c r="H2159" s="340"/>
      <c r="I2159" s="179"/>
      <c r="J2159" s="344"/>
      <c r="K2159" s="345"/>
      <c r="L2159" s="346"/>
      <c r="M2159" s="347"/>
      <c r="N2159" s="347"/>
      <c r="O2159" s="132"/>
    </row>
    <row r="2160" spans="2:15" ht="26.25" customHeight="1" x14ac:dyDescent="0.25">
      <c r="B2160" s="130"/>
      <c r="C2160" s="135"/>
      <c r="D2160" s="177"/>
      <c r="E2160" s="178"/>
      <c r="F2160" s="178"/>
      <c r="G2160" s="340"/>
      <c r="H2160" s="340"/>
      <c r="I2160" s="179"/>
      <c r="J2160" s="344"/>
      <c r="K2160" s="345"/>
      <c r="L2160" s="346"/>
      <c r="M2160" s="347"/>
      <c r="N2160" s="347"/>
      <c r="O2160" s="132"/>
    </row>
    <row r="2161" spans="2:15" ht="26.25" customHeight="1" x14ac:dyDescent="0.25">
      <c r="B2161" s="130"/>
      <c r="C2161" s="135"/>
      <c r="D2161" s="177"/>
      <c r="E2161" s="178"/>
      <c r="F2161" s="178"/>
      <c r="G2161" s="340"/>
      <c r="H2161" s="340"/>
      <c r="I2161" s="179"/>
      <c r="J2161" s="344"/>
      <c r="K2161" s="345"/>
      <c r="L2161" s="346"/>
      <c r="M2161" s="347"/>
      <c r="N2161" s="347"/>
      <c r="O2161" s="132"/>
    </row>
    <row r="2162" spans="2:15" ht="26.25" customHeight="1" x14ac:dyDescent="0.25">
      <c r="B2162" s="130"/>
      <c r="C2162" s="135"/>
      <c r="D2162" s="177"/>
      <c r="E2162" s="178"/>
      <c r="F2162" s="178"/>
      <c r="G2162" s="340"/>
      <c r="H2162" s="340"/>
      <c r="I2162" s="179"/>
      <c r="J2162" s="344"/>
      <c r="K2162" s="345"/>
      <c r="L2162" s="346"/>
      <c r="M2162" s="347"/>
      <c r="N2162" s="347"/>
      <c r="O2162" s="132"/>
    </row>
    <row r="2163" spans="2:15" ht="26.25" customHeight="1" x14ac:dyDescent="0.25">
      <c r="B2163" s="130"/>
      <c r="C2163" s="135"/>
      <c r="D2163" s="177"/>
      <c r="E2163" s="178"/>
      <c r="F2163" s="178"/>
      <c r="G2163" s="340"/>
      <c r="H2163" s="340"/>
      <c r="I2163" s="179"/>
      <c r="J2163" s="344"/>
      <c r="K2163" s="345"/>
      <c r="L2163" s="346"/>
      <c r="M2163" s="347"/>
      <c r="N2163" s="347"/>
      <c r="O2163" s="132"/>
    </row>
    <row r="2164" spans="2:15" ht="26.25" customHeight="1" x14ac:dyDescent="0.25">
      <c r="B2164" s="130"/>
      <c r="C2164" s="135"/>
      <c r="D2164" s="177"/>
      <c r="E2164" s="178"/>
      <c r="F2164" s="178"/>
      <c r="G2164" s="340"/>
      <c r="H2164" s="340"/>
      <c r="I2164" s="179"/>
      <c r="J2164" s="344"/>
      <c r="K2164" s="345"/>
      <c r="L2164" s="346"/>
      <c r="M2164" s="347"/>
      <c r="N2164" s="347"/>
      <c r="O2164" s="132"/>
    </row>
    <row r="2165" spans="2:15" ht="26.25" customHeight="1" x14ac:dyDescent="0.25">
      <c r="B2165" s="130"/>
      <c r="C2165" s="135"/>
      <c r="D2165" s="177"/>
      <c r="E2165" s="178"/>
      <c r="F2165" s="178"/>
      <c r="G2165" s="340"/>
      <c r="H2165" s="340"/>
      <c r="I2165" s="179"/>
      <c r="J2165" s="344"/>
      <c r="K2165" s="345"/>
      <c r="L2165" s="346"/>
      <c r="M2165" s="347"/>
      <c r="N2165" s="347"/>
      <c r="O2165" s="132"/>
    </row>
    <row r="2166" spans="2:15" ht="26.25" customHeight="1" x14ac:dyDescent="0.25">
      <c r="B2166" s="130"/>
      <c r="C2166" s="135"/>
      <c r="D2166" s="177"/>
      <c r="E2166" s="178"/>
      <c r="F2166" s="178"/>
      <c r="G2166" s="340"/>
      <c r="H2166" s="340"/>
      <c r="I2166" s="179"/>
      <c r="J2166" s="344"/>
      <c r="K2166" s="345"/>
      <c r="L2166" s="346"/>
      <c r="M2166" s="347"/>
      <c r="N2166" s="347"/>
      <c r="O2166" s="132"/>
    </row>
    <row r="2167" spans="2:15" ht="26.25" customHeight="1" x14ac:dyDescent="0.25">
      <c r="B2167" s="130"/>
      <c r="C2167" s="135"/>
      <c r="D2167" s="177"/>
      <c r="E2167" s="178"/>
      <c r="F2167" s="178"/>
      <c r="G2167" s="340"/>
      <c r="H2167" s="340"/>
      <c r="I2167" s="179"/>
      <c r="J2167" s="344"/>
      <c r="K2167" s="345"/>
      <c r="L2167" s="346"/>
      <c r="M2167" s="347"/>
      <c r="N2167" s="347"/>
      <c r="O2167" s="132"/>
    </row>
    <row r="2168" spans="2:15" ht="26.25" customHeight="1" x14ac:dyDescent="0.25">
      <c r="B2168" s="130"/>
      <c r="C2168" s="135"/>
      <c r="D2168" s="177"/>
      <c r="E2168" s="178"/>
      <c r="F2168" s="178"/>
      <c r="G2168" s="340"/>
      <c r="H2168" s="340"/>
      <c r="I2168" s="179"/>
      <c r="J2168" s="344"/>
      <c r="K2168" s="345"/>
      <c r="L2168" s="346"/>
      <c r="M2168" s="347"/>
      <c r="N2168" s="347"/>
      <c r="O2168" s="132"/>
    </row>
    <row r="2169" spans="2:15" ht="26.25" customHeight="1" x14ac:dyDescent="0.25">
      <c r="B2169" s="130"/>
      <c r="C2169" s="135"/>
      <c r="D2169" s="177"/>
      <c r="E2169" s="178"/>
      <c r="F2169" s="178"/>
      <c r="G2169" s="340"/>
      <c r="H2169" s="340"/>
      <c r="I2169" s="179"/>
      <c r="J2169" s="344"/>
      <c r="K2169" s="345"/>
      <c r="L2169" s="346"/>
      <c r="M2169" s="347"/>
      <c r="N2169" s="347"/>
      <c r="O2169" s="132"/>
    </row>
    <row r="2170" spans="2:15" ht="26.25" customHeight="1" x14ac:dyDescent="0.25">
      <c r="B2170" s="130"/>
      <c r="C2170" s="135"/>
      <c r="D2170" s="177"/>
      <c r="E2170" s="178"/>
      <c r="F2170" s="178"/>
      <c r="G2170" s="340"/>
      <c r="H2170" s="340"/>
      <c r="I2170" s="179"/>
      <c r="J2170" s="344"/>
      <c r="K2170" s="345"/>
      <c r="L2170" s="346"/>
      <c r="M2170" s="347"/>
      <c r="N2170" s="347"/>
      <c r="O2170" s="132"/>
    </row>
    <row r="2171" spans="2:15" ht="26.25" customHeight="1" x14ac:dyDescent="0.25">
      <c r="B2171" s="130"/>
      <c r="C2171" s="135"/>
      <c r="D2171" s="177"/>
      <c r="E2171" s="178"/>
      <c r="F2171" s="178"/>
      <c r="G2171" s="340"/>
      <c r="H2171" s="340"/>
      <c r="I2171" s="179"/>
      <c r="J2171" s="344"/>
      <c r="K2171" s="345"/>
      <c r="L2171" s="346"/>
      <c r="M2171" s="347"/>
      <c r="N2171" s="347"/>
      <c r="O2171" s="132"/>
    </row>
    <row r="2172" spans="2:15" ht="26.25" customHeight="1" x14ac:dyDescent="0.25">
      <c r="B2172" s="130"/>
      <c r="C2172" s="135"/>
      <c r="D2172" s="177"/>
      <c r="E2172" s="178"/>
      <c r="F2172" s="178"/>
      <c r="G2172" s="340"/>
      <c r="H2172" s="340"/>
      <c r="I2172" s="179"/>
      <c r="J2172" s="344"/>
      <c r="K2172" s="345"/>
      <c r="L2172" s="346"/>
      <c r="M2172" s="347"/>
      <c r="N2172" s="347"/>
      <c r="O2172" s="132"/>
    </row>
    <row r="2173" spans="2:15" ht="26.25" customHeight="1" x14ac:dyDescent="0.25">
      <c r="B2173" s="130"/>
      <c r="C2173" s="135"/>
      <c r="D2173" s="177"/>
      <c r="E2173" s="178"/>
      <c r="F2173" s="178"/>
      <c r="G2173" s="340"/>
      <c r="H2173" s="340"/>
      <c r="I2173" s="179"/>
      <c r="J2173" s="344"/>
      <c r="K2173" s="345"/>
      <c r="L2173" s="346"/>
      <c r="M2173" s="347"/>
      <c r="N2173" s="347"/>
      <c r="O2173" s="132"/>
    </row>
    <row r="2174" spans="2:15" ht="26.25" customHeight="1" x14ac:dyDescent="0.25">
      <c r="B2174" s="130"/>
      <c r="C2174" s="135"/>
      <c r="D2174" s="177"/>
      <c r="E2174" s="178"/>
      <c r="F2174" s="178"/>
      <c r="G2174" s="340"/>
      <c r="H2174" s="340"/>
      <c r="I2174" s="179"/>
      <c r="J2174" s="344"/>
      <c r="K2174" s="345"/>
      <c r="L2174" s="346"/>
      <c r="M2174" s="347"/>
      <c r="N2174" s="347"/>
      <c r="O2174" s="132"/>
    </row>
    <row r="2175" spans="2:15" ht="26.25" customHeight="1" x14ac:dyDescent="0.25">
      <c r="B2175" s="130"/>
      <c r="C2175" s="135"/>
      <c r="D2175" s="177"/>
      <c r="E2175" s="178"/>
      <c r="F2175" s="178"/>
      <c r="G2175" s="340"/>
      <c r="H2175" s="340"/>
      <c r="I2175" s="179"/>
      <c r="J2175" s="344"/>
      <c r="K2175" s="345"/>
      <c r="L2175" s="346"/>
      <c r="M2175" s="347"/>
      <c r="N2175" s="347"/>
      <c r="O2175" s="132"/>
    </row>
    <row r="2176" spans="2:15" ht="26.25" customHeight="1" x14ac:dyDescent="0.25">
      <c r="B2176" s="130"/>
      <c r="C2176" s="135"/>
      <c r="D2176" s="177"/>
      <c r="E2176" s="178"/>
      <c r="F2176" s="178"/>
      <c r="G2176" s="340"/>
      <c r="H2176" s="340"/>
      <c r="I2176" s="179"/>
      <c r="J2176" s="344"/>
      <c r="K2176" s="345"/>
      <c r="L2176" s="346"/>
      <c r="M2176" s="347"/>
      <c r="N2176" s="347"/>
      <c r="O2176" s="132"/>
    </row>
    <row r="2177" spans="2:15" ht="26.25" customHeight="1" x14ac:dyDescent="0.25">
      <c r="B2177" s="130"/>
      <c r="C2177" s="135"/>
      <c r="D2177" s="177"/>
      <c r="E2177" s="178"/>
      <c r="F2177" s="178"/>
      <c r="G2177" s="340"/>
      <c r="H2177" s="340"/>
      <c r="I2177" s="179"/>
      <c r="J2177" s="344"/>
      <c r="K2177" s="345"/>
      <c r="L2177" s="346"/>
      <c r="M2177" s="347"/>
      <c r="N2177" s="347"/>
      <c r="O2177" s="132"/>
    </row>
    <row r="2178" spans="2:15" ht="26.25" customHeight="1" x14ac:dyDescent="0.25">
      <c r="B2178" s="130"/>
      <c r="C2178" s="135"/>
      <c r="D2178" s="177"/>
      <c r="E2178" s="178"/>
      <c r="F2178" s="178"/>
      <c r="G2178" s="340"/>
      <c r="H2178" s="340"/>
      <c r="I2178" s="179"/>
      <c r="J2178" s="344"/>
      <c r="K2178" s="345"/>
      <c r="L2178" s="346"/>
      <c r="M2178" s="347"/>
      <c r="N2178" s="347"/>
      <c r="O2178" s="132"/>
    </row>
    <row r="2179" spans="2:15" ht="26.25" customHeight="1" x14ac:dyDescent="0.25">
      <c r="B2179" s="130"/>
      <c r="C2179" s="135"/>
      <c r="D2179" s="177"/>
      <c r="E2179" s="178"/>
      <c r="F2179" s="178"/>
      <c r="G2179" s="340"/>
      <c r="H2179" s="340"/>
      <c r="I2179" s="179"/>
      <c r="J2179" s="344"/>
      <c r="K2179" s="345"/>
      <c r="L2179" s="346"/>
      <c r="M2179" s="347"/>
      <c r="N2179" s="347"/>
      <c r="O2179" s="132"/>
    </row>
    <row r="2180" spans="2:15" ht="26.25" customHeight="1" x14ac:dyDescent="0.25">
      <c r="B2180" s="130"/>
      <c r="C2180" s="135"/>
      <c r="D2180" s="177"/>
      <c r="E2180" s="178"/>
      <c r="F2180" s="178"/>
      <c r="G2180" s="340"/>
      <c r="H2180" s="340"/>
      <c r="I2180" s="179"/>
      <c r="J2180" s="344"/>
      <c r="K2180" s="345"/>
      <c r="L2180" s="346"/>
      <c r="M2180" s="347"/>
      <c r="N2180" s="347"/>
      <c r="O2180" s="132"/>
    </row>
    <row r="2181" spans="2:15" ht="26.25" customHeight="1" x14ac:dyDescent="0.25">
      <c r="B2181" s="130"/>
      <c r="C2181" s="135"/>
      <c r="D2181" s="177"/>
      <c r="E2181" s="178"/>
      <c r="F2181" s="178"/>
      <c r="G2181" s="340"/>
      <c r="H2181" s="340"/>
      <c r="I2181" s="179"/>
      <c r="J2181" s="344"/>
      <c r="K2181" s="345"/>
      <c r="L2181" s="346"/>
      <c r="M2181" s="347"/>
      <c r="N2181" s="347"/>
      <c r="O2181" s="132"/>
    </row>
    <row r="2182" spans="2:15" ht="26.25" customHeight="1" x14ac:dyDescent="0.25">
      <c r="B2182" s="130"/>
      <c r="C2182" s="135"/>
      <c r="D2182" s="177"/>
      <c r="E2182" s="178"/>
      <c r="F2182" s="178"/>
      <c r="G2182" s="340"/>
      <c r="H2182" s="340"/>
      <c r="I2182" s="179"/>
      <c r="J2182" s="344"/>
      <c r="K2182" s="345"/>
      <c r="L2182" s="346"/>
      <c r="M2182" s="347"/>
      <c r="N2182" s="347"/>
      <c r="O2182" s="132"/>
    </row>
    <row r="2183" spans="2:15" ht="26.25" customHeight="1" x14ac:dyDescent="0.25">
      <c r="B2183" s="130"/>
      <c r="C2183" s="135"/>
      <c r="D2183" s="177"/>
      <c r="E2183" s="178"/>
      <c r="F2183" s="178"/>
      <c r="G2183" s="340"/>
      <c r="H2183" s="340"/>
      <c r="I2183" s="179"/>
      <c r="J2183" s="344"/>
      <c r="K2183" s="345"/>
      <c r="L2183" s="346"/>
      <c r="M2183" s="347"/>
      <c r="N2183" s="347"/>
      <c r="O2183" s="132"/>
    </row>
    <row r="2184" spans="2:15" ht="26.25" customHeight="1" x14ac:dyDescent="0.25">
      <c r="B2184" s="130"/>
      <c r="C2184" s="135"/>
      <c r="D2184" s="177"/>
      <c r="E2184" s="178"/>
      <c r="F2184" s="178"/>
      <c r="G2184" s="340"/>
      <c r="H2184" s="340"/>
      <c r="I2184" s="179"/>
      <c r="J2184" s="344"/>
      <c r="K2184" s="345"/>
      <c r="L2184" s="346"/>
      <c r="M2184" s="347"/>
      <c r="N2184" s="347"/>
      <c r="O2184" s="132"/>
    </row>
    <row r="2185" spans="2:15" ht="26.25" customHeight="1" x14ac:dyDescent="0.25">
      <c r="B2185" s="130"/>
      <c r="C2185" s="135"/>
      <c r="D2185" s="177"/>
      <c r="E2185" s="178"/>
      <c r="F2185" s="178"/>
      <c r="G2185" s="340"/>
      <c r="H2185" s="340"/>
      <c r="I2185" s="179"/>
      <c r="J2185" s="344"/>
      <c r="K2185" s="345"/>
      <c r="L2185" s="346"/>
      <c r="M2185" s="347"/>
      <c r="N2185" s="347"/>
      <c r="O2185" s="132"/>
    </row>
    <row r="2186" spans="2:15" ht="26.25" customHeight="1" x14ac:dyDescent="0.25">
      <c r="B2186" s="130"/>
      <c r="C2186" s="135"/>
      <c r="D2186" s="177"/>
      <c r="E2186" s="178"/>
      <c r="F2186" s="178"/>
      <c r="G2186" s="340"/>
      <c r="H2186" s="340"/>
      <c r="I2186" s="179"/>
      <c r="J2186" s="344"/>
      <c r="K2186" s="345"/>
      <c r="L2186" s="346"/>
      <c r="M2186" s="347"/>
      <c r="N2186" s="347"/>
      <c r="O2186" s="132"/>
    </row>
    <row r="2187" spans="2:15" ht="26.25" customHeight="1" x14ac:dyDescent="0.25">
      <c r="B2187" s="130"/>
      <c r="C2187" s="135"/>
      <c r="D2187" s="177"/>
      <c r="E2187" s="178"/>
      <c r="F2187" s="178"/>
      <c r="G2187" s="340"/>
      <c r="H2187" s="340"/>
      <c r="I2187" s="179"/>
      <c r="J2187" s="344"/>
      <c r="K2187" s="345"/>
      <c r="L2187" s="346"/>
      <c r="M2187" s="347"/>
      <c r="N2187" s="347"/>
      <c r="O2187" s="132"/>
    </row>
    <row r="2188" spans="2:15" ht="26.25" customHeight="1" x14ac:dyDescent="0.25">
      <c r="B2188" s="130"/>
      <c r="C2188" s="135"/>
      <c r="D2188" s="177"/>
      <c r="E2188" s="178"/>
      <c r="F2188" s="178"/>
      <c r="G2188" s="340"/>
      <c r="H2188" s="340"/>
      <c r="I2188" s="179"/>
      <c r="J2188" s="344"/>
      <c r="K2188" s="345"/>
      <c r="L2188" s="346"/>
      <c r="M2188" s="347"/>
      <c r="N2188" s="347"/>
      <c r="O2188" s="132"/>
    </row>
    <row r="2189" spans="2:15" ht="26.25" customHeight="1" x14ac:dyDescent="0.25">
      <c r="B2189" s="130"/>
      <c r="C2189" s="135"/>
      <c r="D2189" s="177"/>
      <c r="E2189" s="178"/>
      <c r="F2189" s="178"/>
      <c r="G2189" s="340"/>
      <c r="H2189" s="340"/>
      <c r="I2189" s="179"/>
      <c r="J2189" s="344"/>
      <c r="K2189" s="345"/>
      <c r="L2189" s="346"/>
      <c r="M2189" s="347"/>
      <c r="N2189" s="347"/>
      <c r="O2189" s="132"/>
    </row>
    <row r="2190" spans="2:15" ht="26.25" customHeight="1" x14ac:dyDescent="0.25">
      <c r="B2190" s="130"/>
      <c r="C2190" s="135"/>
      <c r="D2190" s="177"/>
      <c r="E2190" s="178"/>
      <c r="F2190" s="178"/>
      <c r="G2190" s="340"/>
      <c r="H2190" s="340"/>
      <c r="I2190" s="179"/>
      <c r="J2190" s="344"/>
      <c r="K2190" s="345"/>
      <c r="L2190" s="346"/>
      <c r="M2190" s="347"/>
      <c r="N2190" s="347"/>
      <c r="O2190" s="132"/>
    </row>
    <row r="2191" spans="2:15" ht="26.25" customHeight="1" x14ac:dyDescent="0.25">
      <c r="B2191" s="130"/>
      <c r="C2191" s="135"/>
      <c r="D2191" s="177"/>
      <c r="E2191" s="178"/>
      <c r="F2191" s="178"/>
      <c r="G2191" s="340"/>
      <c r="H2191" s="340"/>
      <c r="I2191" s="179"/>
      <c r="J2191" s="344"/>
      <c r="K2191" s="345"/>
      <c r="L2191" s="346"/>
      <c r="M2191" s="347"/>
      <c r="N2191" s="347"/>
      <c r="O2191" s="132"/>
    </row>
    <row r="2192" spans="2:15" ht="26.25" customHeight="1" x14ac:dyDescent="0.25">
      <c r="B2192" s="130"/>
      <c r="C2192" s="135"/>
      <c r="D2192" s="177"/>
      <c r="E2192" s="178"/>
      <c r="F2192" s="178"/>
      <c r="G2192" s="340"/>
      <c r="H2192" s="340"/>
      <c r="I2192" s="179"/>
      <c r="J2192" s="344"/>
      <c r="K2192" s="345"/>
      <c r="L2192" s="346"/>
      <c r="M2192" s="347"/>
      <c r="N2192" s="347"/>
      <c r="O2192" s="132"/>
    </row>
    <row r="2193" spans="2:15" ht="26.25" customHeight="1" x14ac:dyDescent="0.25">
      <c r="B2193" s="130"/>
      <c r="C2193" s="135"/>
      <c r="D2193" s="177"/>
      <c r="E2193" s="178"/>
      <c r="F2193" s="178"/>
      <c r="G2193" s="340"/>
      <c r="H2193" s="340"/>
      <c r="I2193" s="179"/>
      <c r="J2193" s="344"/>
      <c r="K2193" s="345"/>
      <c r="L2193" s="346"/>
      <c r="M2193" s="347"/>
      <c r="N2193" s="347"/>
      <c r="O2193" s="132"/>
    </row>
    <row r="2194" spans="2:15" ht="26.25" customHeight="1" x14ac:dyDescent="0.25">
      <c r="B2194" s="130"/>
      <c r="C2194" s="135"/>
      <c r="D2194" s="177"/>
      <c r="E2194" s="178"/>
      <c r="F2194" s="178"/>
      <c r="G2194" s="340"/>
      <c r="H2194" s="340"/>
      <c r="I2194" s="179"/>
      <c r="J2194" s="344"/>
      <c r="K2194" s="345"/>
      <c r="L2194" s="346"/>
      <c r="M2194" s="347"/>
      <c r="N2194" s="347"/>
      <c r="O2194" s="132"/>
    </row>
    <row r="2195" spans="2:15" ht="26.25" customHeight="1" x14ac:dyDescent="0.25">
      <c r="B2195" s="130"/>
      <c r="C2195" s="135"/>
      <c r="D2195" s="177"/>
      <c r="E2195" s="178"/>
      <c r="F2195" s="178"/>
      <c r="G2195" s="340"/>
      <c r="H2195" s="340"/>
      <c r="I2195" s="179"/>
      <c r="J2195" s="344"/>
      <c r="K2195" s="345"/>
      <c r="L2195" s="346"/>
      <c r="M2195" s="347"/>
      <c r="N2195" s="347"/>
      <c r="O2195" s="132"/>
    </row>
    <row r="2196" spans="2:15" ht="26.25" customHeight="1" x14ac:dyDescent="0.25">
      <c r="B2196" s="130"/>
      <c r="C2196" s="135"/>
      <c r="D2196" s="177"/>
      <c r="E2196" s="178"/>
      <c r="F2196" s="178"/>
      <c r="G2196" s="340"/>
      <c r="H2196" s="340"/>
      <c r="I2196" s="179"/>
      <c r="J2196" s="344"/>
      <c r="K2196" s="345"/>
      <c r="L2196" s="346"/>
      <c r="M2196" s="347"/>
      <c r="N2196" s="347"/>
      <c r="O2196" s="132"/>
    </row>
    <row r="2197" spans="2:15" ht="26.25" customHeight="1" x14ac:dyDescent="0.25">
      <c r="B2197" s="130"/>
      <c r="C2197" s="135"/>
      <c r="D2197" s="177"/>
      <c r="E2197" s="178"/>
      <c r="F2197" s="178"/>
      <c r="G2197" s="340"/>
      <c r="H2197" s="340"/>
      <c r="I2197" s="179"/>
      <c r="J2197" s="344"/>
      <c r="K2197" s="345"/>
      <c r="L2197" s="346"/>
      <c r="M2197" s="347"/>
      <c r="N2197" s="347"/>
      <c r="O2197" s="132"/>
    </row>
    <row r="2198" spans="2:15" ht="26.25" customHeight="1" x14ac:dyDescent="0.25">
      <c r="B2198" s="130"/>
      <c r="C2198" s="135"/>
      <c r="D2198" s="177"/>
      <c r="E2198" s="178"/>
      <c r="F2198" s="178"/>
      <c r="G2198" s="340"/>
      <c r="H2198" s="340"/>
      <c r="I2198" s="179"/>
      <c r="J2198" s="344"/>
      <c r="K2198" s="345"/>
      <c r="L2198" s="346"/>
      <c r="M2198" s="347"/>
      <c r="N2198" s="347"/>
      <c r="O2198" s="132"/>
    </row>
    <row r="2199" spans="2:15" ht="26.25" customHeight="1" x14ac:dyDescent="0.25">
      <c r="B2199" s="130"/>
      <c r="C2199" s="135"/>
      <c r="D2199" s="177"/>
      <c r="E2199" s="178"/>
      <c r="F2199" s="178"/>
      <c r="G2199" s="340"/>
      <c r="H2199" s="340"/>
      <c r="I2199" s="179"/>
      <c r="J2199" s="344"/>
      <c r="K2199" s="345"/>
      <c r="L2199" s="346"/>
      <c r="M2199" s="347"/>
      <c r="N2199" s="347"/>
      <c r="O2199" s="132"/>
    </row>
    <row r="2200" spans="2:15" ht="26.25" customHeight="1" x14ac:dyDescent="0.25">
      <c r="B2200" s="130"/>
      <c r="C2200" s="135"/>
      <c r="D2200" s="177"/>
      <c r="E2200" s="178"/>
      <c r="F2200" s="178"/>
      <c r="G2200" s="340"/>
      <c r="H2200" s="340"/>
      <c r="I2200" s="179"/>
      <c r="J2200" s="344"/>
      <c r="K2200" s="345"/>
      <c r="L2200" s="346"/>
      <c r="M2200" s="347"/>
      <c r="N2200" s="347"/>
      <c r="O2200" s="132"/>
    </row>
    <row r="2201" spans="2:15" ht="26.25" customHeight="1" x14ac:dyDescent="0.25">
      <c r="B2201" s="130"/>
      <c r="C2201" s="135"/>
      <c r="D2201" s="177"/>
      <c r="E2201" s="178"/>
      <c r="F2201" s="178"/>
      <c r="G2201" s="340"/>
      <c r="H2201" s="340"/>
      <c r="I2201" s="179"/>
      <c r="J2201" s="344"/>
      <c r="K2201" s="345"/>
      <c r="L2201" s="346"/>
      <c r="M2201" s="347"/>
      <c r="N2201" s="347"/>
      <c r="O2201" s="132"/>
    </row>
    <row r="2202" spans="2:15" ht="26.25" customHeight="1" x14ac:dyDescent="0.25">
      <c r="B2202" s="130"/>
      <c r="C2202" s="135"/>
      <c r="D2202" s="177"/>
      <c r="E2202" s="178"/>
      <c r="F2202" s="178"/>
      <c r="G2202" s="340"/>
      <c r="H2202" s="340"/>
      <c r="I2202" s="179"/>
      <c r="J2202" s="344"/>
      <c r="K2202" s="345"/>
      <c r="L2202" s="346"/>
      <c r="M2202" s="347"/>
      <c r="N2202" s="347"/>
      <c r="O2202" s="132"/>
    </row>
    <row r="2203" spans="2:15" ht="26.25" customHeight="1" x14ac:dyDescent="0.25">
      <c r="B2203" s="130"/>
      <c r="C2203" s="135"/>
      <c r="D2203" s="177"/>
      <c r="E2203" s="178"/>
      <c r="F2203" s="178"/>
      <c r="G2203" s="340"/>
      <c r="H2203" s="340"/>
      <c r="I2203" s="179"/>
      <c r="J2203" s="344"/>
      <c r="K2203" s="345"/>
      <c r="L2203" s="346"/>
      <c r="M2203" s="347"/>
      <c r="N2203" s="347"/>
      <c r="O2203" s="132"/>
    </row>
    <row r="2204" spans="2:15" ht="26.25" customHeight="1" x14ac:dyDescent="0.25">
      <c r="B2204" s="130"/>
      <c r="C2204" s="135"/>
      <c r="D2204" s="177"/>
      <c r="E2204" s="178"/>
      <c r="F2204" s="178"/>
      <c r="G2204" s="340"/>
      <c r="H2204" s="340"/>
      <c r="I2204" s="179"/>
      <c r="J2204" s="344"/>
      <c r="K2204" s="345"/>
      <c r="L2204" s="346"/>
      <c r="M2204" s="347"/>
      <c r="N2204" s="347"/>
      <c r="O2204" s="132"/>
    </row>
    <row r="2205" spans="2:15" ht="26.25" customHeight="1" x14ac:dyDescent="0.25">
      <c r="B2205" s="130"/>
      <c r="C2205" s="135"/>
      <c r="D2205" s="177"/>
      <c r="E2205" s="178"/>
      <c r="F2205" s="178"/>
      <c r="G2205" s="340"/>
      <c r="H2205" s="340"/>
      <c r="I2205" s="179"/>
      <c r="J2205" s="344"/>
      <c r="K2205" s="345"/>
      <c r="L2205" s="346"/>
      <c r="M2205" s="347"/>
      <c r="N2205" s="347"/>
      <c r="O2205" s="132"/>
    </row>
    <row r="2206" spans="2:15" ht="26.25" customHeight="1" x14ac:dyDescent="0.25">
      <c r="B2206" s="130"/>
      <c r="C2206" s="135"/>
      <c r="D2206" s="177"/>
      <c r="E2206" s="178"/>
      <c r="F2206" s="178"/>
      <c r="G2206" s="340"/>
      <c r="H2206" s="340"/>
      <c r="I2206" s="179"/>
      <c r="J2206" s="344"/>
      <c r="K2206" s="345"/>
      <c r="L2206" s="346"/>
      <c r="M2206" s="347"/>
      <c r="N2206" s="347"/>
      <c r="O2206" s="132"/>
    </row>
    <row r="2207" spans="2:15" ht="26.25" customHeight="1" x14ac:dyDescent="0.25">
      <c r="B2207" s="130"/>
      <c r="C2207" s="135"/>
      <c r="D2207" s="177"/>
      <c r="E2207" s="178"/>
      <c r="F2207" s="178"/>
      <c r="G2207" s="340"/>
      <c r="H2207" s="340"/>
      <c r="I2207" s="179"/>
      <c r="J2207" s="344"/>
      <c r="K2207" s="345"/>
      <c r="L2207" s="346"/>
      <c r="M2207" s="347"/>
      <c r="N2207" s="347"/>
      <c r="O2207" s="132"/>
    </row>
    <row r="2208" spans="2:15" ht="26.25" customHeight="1" x14ac:dyDescent="0.25">
      <c r="B2208" s="130"/>
      <c r="C2208" s="135"/>
      <c r="D2208" s="177"/>
      <c r="E2208" s="178"/>
      <c r="F2208" s="178"/>
      <c r="G2208" s="340"/>
      <c r="H2208" s="340"/>
      <c r="I2208" s="179"/>
      <c r="J2208" s="344"/>
      <c r="K2208" s="345"/>
      <c r="L2208" s="346"/>
      <c r="M2208" s="347"/>
      <c r="N2208" s="347"/>
      <c r="O2208" s="132"/>
    </row>
    <row r="2209" spans="2:15" ht="26.25" customHeight="1" x14ac:dyDescent="0.25">
      <c r="B2209" s="130"/>
      <c r="C2209" s="135"/>
      <c r="D2209" s="177"/>
      <c r="E2209" s="178"/>
      <c r="F2209" s="178"/>
      <c r="G2209" s="340"/>
      <c r="H2209" s="340"/>
      <c r="I2209" s="179"/>
      <c r="J2209" s="344"/>
      <c r="K2209" s="345"/>
      <c r="L2209" s="346"/>
      <c r="M2209" s="347"/>
      <c r="N2209" s="347"/>
      <c r="O2209" s="132"/>
    </row>
    <row r="2210" spans="2:15" ht="26.25" customHeight="1" x14ac:dyDescent="0.25">
      <c r="B2210" s="130"/>
      <c r="C2210" s="135"/>
      <c r="D2210" s="177"/>
      <c r="E2210" s="178"/>
      <c r="F2210" s="178"/>
      <c r="G2210" s="340"/>
      <c r="H2210" s="340"/>
      <c r="I2210" s="179"/>
      <c r="J2210" s="344"/>
      <c r="K2210" s="345"/>
      <c r="L2210" s="346"/>
      <c r="M2210" s="347"/>
      <c r="N2210" s="347"/>
      <c r="O2210" s="132"/>
    </row>
    <row r="2211" spans="2:15" ht="26.25" customHeight="1" x14ac:dyDescent="0.25">
      <c r="B2211" s="130"/>
      <c r="C2211" s="135"/>
      <c r="D2211" s="177"/>
      <c r="E2211" s="178"/>
      <c r="F2211" s="178"/>
      <c r="G2211" s="340"/>
      <c r="H2211" s="340"/>
      <c r="I2211" s="179"/>
      <c r="J2211" s="344"/>
      <c r="K2211" s="345"/>
      <c r="L2211" s="346"/>
      <c r="M2211" s="347"/>
      <c r="N2211" s="347"/>
      <c r="O2211" s="132"/>
    </row>
    <row r="2212" spans="2:15" ht="26.25" customHeight="1" x14ac:dyDescent="0.25">
      <c r="B2212" s="130"/>
      <c r="C2212" s="135"/>
      <c r="D2212" s="177"/>
      <c r="E2212" s="178"/>
      <c r="F2212" s="178"/>
      <c r="G2212" s="340"/>
      <c r="H2212" s="340"/>
      <c r="I2212" s="179"/>
      <c r="J2212" s="344"/>
      <c r="K2212" s="345"/>
      <c r="L2212" s="346"/>
      <c r="M2212" s="347"/>
      <c r="N2212" s="347"/>
      <c r="O2212" s="132"/>
    </row>
    <row r="2213" spans="2:15" ht="26.25" customHeight="1" x14ac:dyDescent="0.25">
      <c r="B2213" s="130"/>
      <c r="C2213" s="135"/>
      <c r="D2213" s="177"/>
      <c r="E2213" s="178"/>
      <c r="F2213" s="178"/>
      <c r="G2213" s="340"/>
      <c r="H2213" s="340"/>
      <c r="I2213" s="179"/>
      <c r="J2213" s="344"/>
      <c r="K2213" s="345"/>
      <c r="L2213" s="346"/>
      <c r="M2213" s="347"/>
      <c r="N2213" s="347"/>
      <c r="O2213" s="132"/>
    </row>
    <row r="2214" spans="2:15" ht="26.25" customHeight="1" x14ac:dyDescent="0.25">
      <c r="B2214" s="130"/>
      <c r="C2214" s="135"/>
      <c r="D2214" s="177"/>
      <c r="E2214" s="178"/>
      <c r="F2214" s="178"/>
      <c r="G2214" s="340"/>
      <c r="H2214" s="340"/>
      <c r="I2214" s="179"/>
      <c r="J2214" s="344"/>
      <c r="K2214" s="345"/>
      <c r="L2214" s="346"/>
      <c r="M2214" s="347"/>
      <c r="N2214" s="347"/>
      <c r="O2214" s="132"/>
    </row>
    <row r="2215" spans="2:15" ht="26.25" customHeight="1" x14ac:dyDescent="0.25">
      <c r="B2215" s="130"/>
      <c r="C2215" s="135"/>
      <c r="D2215" s="177"/>
      <c r="E2215" s="178"/>
      <c r="F2215" s="178"/>
      <c r="G2215" s="340"/>
      <c r="H2215" s="340"/>
      <c r="I2215" s="179"/>
      <c r="J2215" s="344"/>
      <c r="K2215" s="345"/>
      <c r="L2215" s="346"/>
      <c r="M2215" s="347"/>
      <c r="N2215" s="347"/>
      <c r="O2215" s="132"/>
    </row>
    <row r="2216" spans="2:15" ht="26.25" customHeight="1" x14ac:dyDescent="0.25">
      <c r="B2216" s="130"/>
      <c r="C2216" s="135"/>
      <c r="D2216" s="177"/>
      <c r="E2216" s="178"/>
      <c r="F2216" s="178"/>
      <c r="G2216" s="340"/>
      <c r="H2216" s="340"/>
      <c r="I2216" s="179"/>
      <c r="J2216" s="344"/>
      <c r="K2216" s="345"/>
      <c r="L2216" s="346"/>
      <c r="M2216" s="347"/>
      <c r="N2216" s="347"/>
      <c r="O2216" s="132"/>
    </row>
    <row r="2217" spans="2:15" ht="26.25" customHeight="1" x14ac:dyDescent="0.25">
      <c r="B2217" s="130"/>
      <c r="C2217" s="135"/>
      <c r="D2217" s="177"/>
      <c r="E2217" s="178"/>
      <c r="F2217" s="178"/>
      <c r="G2217" s="340"/>
      <c r="H2217" s="340"/>
      <c r="I2217" s="179"/>
      <c r="J2217" s="344"/>
      <c r="K2217" s="345"/>
      <c r="L2217" s="346"/>
      <c r="M2217" s="347"/>
      <c r="N2217" s="347"/>
      <c r="O2217" s="132"/>
    </row>
    <row r="2218" spans="2:15" ht="26.25" customHeight="1" x14ac:dyDescent="0.25">
      <c r="B2218" s="130"/>
      <c r="C2218" s="135"/>
      <c r="D2218" s="177"/>
      <c r="E2218" s="178"/>
      <c r="F2218" s="178"/>
      <c r="G2218" s="340"/>
      <c r="H2218" s="340"/>
      <c r="I2218" s="179"/>
      <c r="J2218" s="344"/>
      <c r="K2218" s="345"/>
      <c r="L2218" s="346"/>
      <c r="M2218" s="347"/>
      <c r="N2218" s="347"/>
      <c r="O2218" s="132"/>
    </row>
    <row r="2219" spans="2:15" ht="26.25" customHeight="1" x14ac:dyDescent="0.25">
      <c r="B2219" s="130"/>
      <c r="C2219" s="135"/>
      <c r="D2219" s="177"/>
      <c r="E2219" s="178"/>
      <c r="F2219" s="178"/>
      <c r="G2219" s="340"/>
      <c r="H2219" s="340"/>
      <c r="I2219" s="179"/>
      <c r="J2219" s="344"/>
      <c r="K2219" s="345"/>
      <c r="L2219" s="346"/>
      <c r="M2219" s="347"/>
      <c r="N2219" s="347"/>
      <c r="O2219" s="132"/>
    </row>
    <row r="2220" spans="2:15" ht="26.25" customHeight="1" x14ac:dyDescent="0.25">
      <c r="B2220" s="130"/>
      <c r="C2220" s="135"/>
      <c r="D2220" s="177"/>
      <c r="E2220" s="178"/>
      <c r="F2220" s="178"/>
      <c r="G2220" s="340"/>
      <c r="H2220" s="340"/>
      <c r="I2220" s="179"/>
      <c r="J2220" s="344"/>
      <c r="K2220" s="345"/>
      <c r="L2220" s="346"/>
      <c r="M2220" s="347"/>
      <c r="N2220" s="347"/>
      <c r="O2220" s="132"/>
    </row>
    <row r="2221" spans="2:15" ht="26.25" customHeight="1" x14ac:dyDescent="0.25">
      <c r="B2221" s="130"/>
      <c r="C2221" s="135"/>
      <c r="D2221" s="177"/>
      <c r="E2221" s="178"/>
      <c r="F2221" s="178"/>
      <c r="G2221" s="340"/>
      <c r="H2221" s="340"/>
      <c r="I2221" s="179"/>
      <c r="J2221" s="344"/>
      <c r="K2221" s="345"/>
      <c r="L2221" s="346"/>
      <c r="M2221" s="347"/>
      <c r="N2221" s="347"/>
      <c r="O2221" s="132"/>
    </row>
    <row r="2222" spans="2:15" ht="26.25" customHeight="1" x14ac:dyDescent="0.25">
      <c r="B2222" s="130"/>
      <c r="C2222" s="135"/>
      <c r="D2222" s="177"/>
      <c r="E2222" s="178"/>
      <c r="F2222" s="178"/>
      <c r="G2222" s="340"/>
      <c r="H2222" s="340"/>
      <c r="I2222" s="179"/>
      <c r="J2222" s="344"/>
      <c r="K2222" s="345"/>
      <c r="L2222" s="346"/>
      <c r="M2222" s="347"/>
      <c r="N2222" s="347"/>
      <c r="O2222" s="132"/>
    </row>
    <row r="2223" spans="2:15" ht="26.25" customHeight="1" x14ac:dyDescent="0.25">
      <c r="B2223" s="130"/>
      <c r="C2223" s="135"/>
      <c r="D2223" s="177"/>
      <c r="E2223" s="178"/>
      <c r="F2223" s="178"/>
      <c r="G2223" s="340"/>
      <c r="H2223" s="340"/>
      <c r="I2223" s="179"/>
      <c r="J2223" s="344"/>
      <c r="K2223" s="345"/>
      <c r="L2223" s="346"/>
      <c r="M2223" s="347"/>
      <c r="N2223" s="347"/>
      <c r="O2223" s="132"/>
    </row>
    <row r="2224" spans="2:15" ht="26.25" customHeight="1" x14ac:dyDescent="0.25">
      <c r="B2224" s="130"/>
      <c r="C2224" s="135"/>
      <c r="D2224" s="177"/>
      <c r="E2224" s="178"/>
      <c r="F2224" s="178"/>
      <c r="G2224" s="340"/>
      <c r="H2224" s="340"/>
      <c r="I2224" s="179"/>
      <c r="J2224" s="344"/>
      <c r="K2224" s="345"/>
      <c r="L2224" s="346"/>
      <c r="M2224" s="347"/>
      <c r="N2224" s="347"/>
      <c r="O2224" s="132"/>
    </row>
    <row r="2225" spans="2:15" ht="26.25" customHeight="1" x14ac:dyDescent="0.25">
      <c r="B2225" s="130"/>
      <c r="C2225" s="135"/>
      <c r="D2225" s="177"/>
      <c r="E2225" s="178"/>
      <c r="F2225" s="178"/>
      <c r="G2225" s="340"/>
      <c r="H2225" s="340"/>
      <c r="I2225" s="179"/>
      <c r="J2225" s="344"/>
      <c r="K2225" s="345"/>
      <c r="L2225" s="346"/>
      <c r="M2225" s="347"/>
      <c r="N2225" s="347"/>
      <c r="O2225" s="132"/>
    </row>
    <row r="2226" spans="2:15" ht="26.25" customHeight="1" x14ac:dyDescent="0.25">
      <c r="B2226" s="130"/>
      <c r="C2226" s="135"/>
      <c r="D2226" s="177"/>
      <c r="E2226" s="178"/>
      <c r="F2226" s="178"/>
      <c r="G2226" s="340"/>
      <c r="H2226" s="340"/>
      <c r="I2226" s="179"/>
      <c r="J2226" s="344"/>
      <c r="K2226" s="345"/>
      <c r="L2226" s="346"/>
      <c r="M2226" s="347"/>
      <c r="N2226" s="347"/>
      <c r="O2226" s="132"/>
    </row>
    <row r="2227" spans="2:15" ht="26.25" customHeight="1" x14ac:dyDescent="0.25">
      <c r="B2227" s="130"/>
      <c r="C2227" s="135"/>
      <c r="D2227" s="177"/>
      <c r="E2227" s="178"/>
      <c r="F2227" s="178"/>
      <c r="G2227" s="340"/>
      <c r="H2227" s="340"/>
      <c r="I2227" s="179"/>
      <c r="J2227" s="344"/>
      <c r="K2227" s="345"/>
      <c r="L2227" s="346"/>
      <c r="M2227" s="347"/>
      <c r="N2227" s="347"/>
      <c r="O2227" s="132"/>
    </row>
    <row r="2228" spans="2:15" ht="26.25" customHeight="1" x14ac:dyDescent="0.25">
      <c r="B2228" s="130"/>
      <c r="C2228" s="135"/>
      <c r="D2228" s="177"/>
      <c r="E2228" s="178"/>
      <c r="F2228" s="178"/>
      <c r="G2228" s="340"/>
      <c r="H2228" s="340"/>
      <c r="I2228" s="179"/>
      <c r="J2228" s="344"/>
      <c r="K2228" s="345"/>
      <c r="L2228" s="346"/>
      <c r="M2228" s="347"/>
      <c r="N2228" s="347"/>
      <c r="O2228" s="132"/>
    </row>
    <row r="2229" spans="2:15" ht="26.25" customHeight="1" x14ac:dyDescent="0.25">
      <c r="B2229" s="130"/>
      <c r="C2229" s="135"/>
      <c r="D2229" s="177"/>
      <c r="E2229" s="178"/>
      <c r="F2229" s="178"/>
      <c r="G2229" s="340"/>
      <c r="H2229" s="340"/>
      <c r="I2229" s="179"/>
      <c r="J2229" s="344"/>
      <c r="K2229" s="345"/>
      <c r="L2229" s="346"/>
      <c r="M2229" s="347"/>
      <c r="N2229" s="347"/>
      <c r="O2229" s="132"/>
    </row>
    <row r="2230" spans="2:15" ht="26.25" customHeight="1" x14ac:dyDescent="0.25">
      <c r="B2230" s="130"/>
      <c r="C2230" s="135"/>
      <c r="D2230" s="177"/>
      <c r="E2230" s="178"/>
      <c r="F2230" s="178"/>
      <c r="G2230" s="340"/>
      <c r="H2230" s="340"/>
      <c r="I2230" s="179"/>
      <c r="J2230" s="344"/>
      <c r="K2230" s="345"/>
      <c r="L2230" s="346"/>
      <c r="M2230" s="347"/>
      <c r="N2230" s="347"/>
      <c r="O2230" s="132"/>
    </row>
    <row r="2231" spans="2:15" ht="26.25" customHeight="1" x14ac:dyDescent="0.25">
      <c r="B2231" s="130"/>
      <c r="C2231" s="135"/>
      <c r="D2231" s="177"/>
      <c r="E2231" s="178"/>
      <c r="F2231" s="178"/>
      <c r="G2231" s="340"/>
      <c r="H2231" s="340"/>
      <c r="I2231" s="179"/>
      <c r="J2231" s="344"/>
      <c r="K2231" s="345"/>
      <c r="L2231" s="346"/>
      <c r="M2231" s="347"/>
      <c r="N2231" s="347"/>
      <c r="O2231" s="132"/>
    </row>
    <row r="2232" spans="2:15" ht="26.25" customHeight="1" x14ac:dyDescent="0.25">
      <c r="B2232" s="130"/>
      <c r="C2232" s="135"/>
      <c r="D2232" s="177"/>
      <c r="E2232" s="178"/>
      <c r="F2232" s="178"/>
      <c r="G2232" s="340"/>
      <c r="H2232" s="340"/>
      <c r="I2232" s="179"/>
      <c r="J2232" s="344"/>
      <c r="K2232" s="345"/>
      <c r="L2232" s="346"/>
      <c r="M2232" s="347"/>
      <c r="N2232" s="347"/>
      <c r="O2232" s="132"/>
    </row>
    <row r="2233" spans="2:15" ht="26.25" customHeight="1" x14ac:dyDescent="0.25">
      <c r="B2233" s="130"/>
      <c r="C2233" s="135"/>
      <c r="D2233" s="177"/>
      <c r="E2233" s="178"/>
      <c r="F2233" s="178"/>
      <c r="G2233" s="340"/>
      <c r="H2233" s="340"/>
      <c r="I2233" s="179"/>
      <c r="J2233" s="344"/>
      <c r="K2233" s="345"/>
      <c r="L2233" s="346"/>
      <c r="M2233" s="347"/>
      <c r="N2233" s="347"/>
      <c r="O2233" s="132"/>
    </row>
    <row r="2234" spans="2:15" ht="26.25" customHeight="1" x14ac:dyDescent="0.25">
      <c r="B2234" s="130"/>
      <c r="C2234" s="135"/>
      <c r="D2234" s="177"/>
      <c r="E2234" s="178"/>
      <c r="F2234" s="178"/>
      <c r="G2234" s="340"/>
      <c r="H2234" s="340"/>
      <c r="I2234" s="179"/>
      <c r="J2234" s="344"/>
      <c r="K2234" s="345"/>
      <c r="L2234" s="346"/>
      <c r="M2234" s="347"/>
      <c r="N2234" s="347"/>
      <c r="O2234" s="132"/>
    </row>
    <row r="2235" spans="2:15" ht="26.25" customHeight="1" x14ac:dyDescent="0.25">
      <c r="B2235" s="130"/>
      <c r="C2235" s="135"/>
      <c r="D2235" s="177"/>
      <c r="E2235" s="178"/>
      <c r="F2235" s="178"/>
      <c r="G2235" s="340"/>
      <c r="H2235" s="340"/>
      <c r="I2235" s="179"/>
      <c r="J2235" s="344"/>
      <c r="K2235" s="345"/>
      <c r="L2235" s="346"/>
      <c r="M2235" s="347"/>
      <c r="N2235" s="347"/>
      <c r="O2235" s="132"/>
    </row>
    <row r="2236" spans="2:15" ht="26.25" customHeight="1" x14ac:dyDescent="0.25">
      <c r="B2236" s="130"/>
      <c r="C2236" s="135"/>
      <c r="D2236" s="177"/>
      <c r="E2236" s="178"/>
      <c r="F2236" s="178"/>
      <c r="G2236" s="340"/>
      <c r="H2236" s="340"/>
      <c r="I2236" s="179"/>
      <c r="J2236" s="344"/>
      <c r="K2236" s="345"/>
      <c r="L2236" s="346"/>
      <c r="M2236" s="347"/>
      <c r="N2236" s="347"/>
      <c r="O2236" s="132"/>
    </row>
    <row r="2237" spans="2:15" ht="26.25" customHeight="1" x14ac:dyDescent="0.25">
      <c r="B2237" s="130"/>
      <c r="C2237" s="135"/>
      <c r="D2237" s="177"/>
      <c r="E2237" s="178"/>
      <c r="F2237" s="178"/>
      <c r="G2237" s="340"/>
      <c r="H2237" s="340"/>
      <c r="I2237" s="179"/>
      <c r="J2237" s="344"/>
      <c r="K2237" s="345"/>
      <c r="L2237" s="346"/>
      <c r="M2237" s="347"/>
      <c r="N2237" s="347"/>
      <c r="O2237" s="132"/>
    </row>
    <row r="2238" spans="2:15" ht="26.25" customHeight="1" x14ac:dyDescent="0.25">
      <c r="B2238" s="130"/>
      <c r="C2238" s="135"/>
      <c r="D2238" s="177"/>
      <c r="E2238" s="178"/>
      <c r="F2238" s="178"/>
      <c r="G2238" s="340"/>
      <c r="H2238" s="340"/>
      <c r="I2238" s="179"/>
      <c r="J2238" s="344"/>
      <c r="K2238" s="345"/>
      <c r="L2238" s="346"/>
      <c r="M2238" s="347"/>
      <c r="N2238" s="347"/>
      <c r="O2238" s="132"/>
    </row>
    <row r="2239" spans="2:15" ht="26.25" customHeight="1" x14ac:dyDescent="0.25">
      <c r="B2239" s="130"/>
      <c r="C2239" s="135"/>
      <c r="D2239" s="177"/>
      <c r="E2239" s="178"/>
      <c r="F2239" s="178"/>
      <c r="G2239" s="340"/>
      <c r="H2239" s="340"/>
      <c r="I2239" s="179"/>
      <c r="J2239" s="344"/>
      <c r="K2239" s="345"/>
      <c r="L2239" s="346"/>
      <c r="M2239" s="347"/>
      <c r="N2239" s="347"/>
      <c r="O2239" s="132"/>
    </row>
    <row r="2240" spans="2:15" ht="26.25" customHeight="1" x14ac:dyDescent="0.25">
      <c r="B2240" s="130"/>
      <c r="C2240" s="135"/>
      <c r="D2240" s="177"/>
      <c r="E2240" s="178"/>
      <c r="F2240" s="178"/>
      <c r="G2240" s="340"/>
      <c r="H2240" s="340"/>
      <c r="I2240" s="179"/>
      <c r="J2240" s="344"/>
      <c r="K2240" s="345"/>
      <c r="L2240" s="346"/>
      <c r="M2240" s="347"/>
      <c r="N2240" s="347"/>
      <c r="O2240" s="132"/>
    </row>
    <row r="2241" spans="2:15" ht="26.25" customHeight="1" x14ac:dyDescent="0.25">
      <c r="B2241" s="130"/>
      <c r="C2241" s="135"/>
      <c r="D2241" s="177"/>
      <c r="E2241" s="178"/>
      <c r="F2241" s="178"/>
      <c r="G2241" s="340"/>
      <c r="H2241" s="340"/>
      <c r="I2241" s="179"/>
      <c r="J2241" s="344"/>
      <c r="K2241" s="345"/>
      <c r="L2241" s="346"/>
      <c r="M2241" s="347"/>
      <c r="N2241" s="347"/>
      <c r="O2241" s="132"/>
    </row>
    <row r="2242" spans="2:15" ht="26.25" customHeight="1" x14ac:dyDescent="0.25">
      <c r="B2242" s="130"/>
      <c r="C2242" s="135"/>
      <c r="D2242" s="177"/>
      <c r="E2242" s="178"/>
      <c r="F2242" s="178"/>
      <c r="G2242" s="340"/>
      <c r="H2242" s="340"/>
      <c r="I2242" s="179"/>
      <c r="J2242" s="344"/>
      <c r="K2242" s="345"/>
      <c r="L2242" s="346"/>
      <c r="M2242" s="347"/>
      <c r="N2242" s="347"/>
      <c r="O2242" s="132"/>
    </row>
    <row r="2243" spans="2:15" ht="26.25" customHeight="1" x14ac:dyDescent="0.25">
      <c r="B2243" s="130"/>
      <c r="C2243" s="135"/>
      <c r="D2243" s="177"/>
      <c r="E2243" s="178"/>
      <c r="F2243" s="178"/>
      <c r="G2243" s="340"/>
      <c r="H2243" s="340"/>
      <c r="I2243" s="179"/>
      <c r="J2243" s="344"/>
      <c r="K2243" s="345"/>
      <c r="L2243" s="346"/>
      <c r="M2243" s="347"/>
      <c r="N2243" s="347"/>
      <c r="O2243" s="132"/>
    </row>
    <row r="2244" spans="2:15" ht="26.25" customHeight="1" x14ac:dyDescent="0.25">
      <c r="B2244" s="130"/>
      <c r="C2244" s="135"/>
      <c r="D2244" s="177"/>
      <c r="E2244" s="178"/>
      <c r="F2244" s="178"/>
      <c r="G2244" s="340"/>
      <c r="H2244" s="340"/>
      <c r="I2244" s="179"/>
      <c r="J2244" s="344"/>
      <c r="K2244" s="345"/>
      <c r="L2244" s="346"/>
      <c r="M2244" s="347"/>
      <c r="N2244" s="347"/>
      <c r="O2244" s="132"/>
    </row>
    <row r="2245" spans="2:15" ht="26.25" customHeight="1" x14ac:dyDescent="0.25">
      <c r="B2245" s="130"/>
      <c r="C2245" s="135"/>
      <c r="D2245" s="177"/>
      <c r="E2245" s="178"/>
      <c r="F2245" s="178"/>
      <c r="G2245" s="340"/>
      <c r="H2245" s="340"/>
      <c r="I2245" s="179"/>
      <c r="J2245" s="344"/>
      <c r="K2245" s="345"/>
      <c r="L2245" s="346"/>
      <c r="M2245" s="347"/>
      <c r="N2245" s="347"/>
      <c r="O2245" s="132"/>
    </row>
    <row r="2246" spans="2:15" ht="26.25" customHeight="1" x14ac:dyDescent="0.25">
      <c r="B2246" s="130"/>
      <c r="C2246" s="135"/>
      <c r="D2246" s="177"/>
      <c r="E2246" s="178"/>
      <c r="F2246" s="178"/>
      <c r="G2246" s="340"/>
      <c r="H2246" s="340"/>
      <c r="I2246" s="179"/>
      <c r="J2246" s="344"/>
      <c r="K2246" s="345"/>
      <c r="L2246" s="346"/>
      <c r="M2246" s="347"/>
      <c r="N2246" s="347"/>
      <c r="O2246" s="132"/>
    </row>
    <row r="2247" spans="2:15" ht="26.25" customHeight="1" x14ac:dyDescent="0.25">
      <c r="B2247" s="130"/>
      <c r="C2247" s="135"/>
      <c r="D2247" s="177"/>
      <c r="E2247" s="178"/>
      <c r="F2247" s="178"/>
      <c r="G2247" s="340"/>
      <c r="H2247" s="340"/>
      <c r="I2247" s="179"/>
      <c r="J2247" s="344"/>
      <c r="K2247" s="345"/>
      <c r="L2247" s="346"/>
      <c r="M2247" s="347"/>
      <c r="N2247" s="347"/>
      <c r="O2247" s="132"/>
    </row>
    <row r="2248" spans="2:15" ht="26.25" customHeight="1" x14ac:dyDescent="0.25">
      <c r="B2248" s="130"/>
      <c r="C2248" s="135"/>
      <c r="D2248" s="177"/>
      <c r="E2248" s="178"/>
      <c r="F2248" s="178"/>
      <c r="G2248" s="340"/>
      <c r="H2248" s="340"/>
      <c r="I2248" s="179"/>
      <c r="J2248" s="344"/>
      <c r="K2248" s="345"/>
      <c r="L2248" s="346"/>
      <c r="M2248" s="347"/>
      <c r="N2248" s="347"/>
      <c r="O2248" s="132"/>
    </row>
    <row r="2249" spans="2:15" ht="26.25" customHeight="1" x14ac:dyDescent="0.25">
      <c r="B2249" s="130"/>
      <c r="C2249" s="135"/>
      <c r="D2249" s="177"/>
      <c r="E2249" s="178"/>
      <c r="F2249" s="178"/>
      <c r="G2249" s="340"/>
      <c r="H2249" s="340"/>
      <c r="I2249" s="179"/>
      <c r="J2249" s="344"/>
      <c r="K2249" s="345"/>
      <c r="L2249" s="346"/>
      <c r="M2249" s="347"/>
      <c r="N2249" s="347"/>
      <c r="O2249" s="132"/>
    </row>
    <row r="2250" spans="2:15" ht="26.25" customHeight="1" x14ac:dyDescent="0.25">
      <c r="B2250" s="130"/>
      <c r="C2250" s="135"/>
      <c r="D2250" s="177"/>
      <c r="E2250" s="178"/>
      <c r="F2250" s="178"/>
      <c r="G2250" s="340"/>
      <c r="H2250" s="340"/>
      <c r="I2250" s="179"/>
      <c r="J2250" s="344"/>
      <c r="K2250" s="345"/>
      <c r="L2250" s="346"/>
      <c r="M2250" s="347"/>
      <c r="N2250" s="347"/>
      <c r="O2250" s="132"/>
    </row>
    <row r="2251" spans="2:15" ht="26.25" customHeight="1" x14ac:dyDescent="0.25">
      <c r="B2251" s="130"/>
      <c r="C2251" s="135"/>
      <c r="D2251" s="177"/>
      <c r="E2251" s="178"/>
      <c r="F2251" s="178"/>
      <c r="G2251" s="340"/>
      <c r="H2251" s="340"/>
      <c r="I2251" s="179"/>
      <c r="J2251" s="344"/>
      <c r="K2251" s="345"/>
      <c r="L2251" s="346"/>
      <c r="M2251" s="347"/>
      <c r="N2251" s="347"/>
      <c r="O2251" s="132"/>
    </row>
    <row r="2252" spans="2:15" ht="26.25" customHeight="1" x14ac:dyDescent="0.25">
      <c r="B2252" s="130"/>
      <c r="C2252" s="135"/>
      <c r="D2252" s="177"/>
      <c r="E2252" s="178"/>
      <c r="F2252" s="178"/>
      <c r="G2252" s="340"/>
      <c r="H2252" s="340"/>
      <c r="I2252" s="179"/>
      <c r="J2252" s="344"/>
      <c r="K2252" s="345"/>
      <c r="L2252" s="346"/>
      <c r="M2252" s="347"/>
      <c r="N2252" s="347"/>
      <c r="O2252" s="132"/>
    </row>
    <row r="2253" spans="2:15" ht="26.25" customHeight="1" x14ac:dyDescent="0.25">
      <c r="B2253" s="130"/>
      <c r="C2253" s="135"/>
      <c r="D2253" s="177"/>
      <c r="E2253" s="178"/>
      <c r="F2253" s="178"/>
      <c r="G2253" s="340"/>
      <c r="H2253" s="340"/>
      <c r="I2253" s="179"/>
      <c r="J2253" s="344"/>
      <c r="K2253" s="345"/>
      <c r="L2253" s="346"/>
      <c r="M2253" s="347"/>
      <c r="N2253" s="347"/>
      <c r="O2253" s="132"/>
    </row>
    <row r="2254" spans="2:15" ht="26.25" customHeight="1" x14ac:dyDescent="0.25">
      <c r="B2254" s="130"/>
      <c r="C2254" s="135"/>
      <c r="D2254" s="177"/>
      <c r="E2254" s="178"/>
      <c r="F2254" s="178"/>
      <c r="G2254" s="340"/>
      <c r="H2254" s="340"/>
      <c r="I2254" s="179"/>
      <c r="J2254" s="344"/>
      <c r="K2254" s="345"/>
      <c r="L2254" s="346"/>
      <c r="M2254" s="347"/>
      <c r="N2254" s="347"/>
      <c r="O2254" s="132"/>
    </row>
    <row r="2255" spans="2:15" ht="26.25" customHeight="1" x14ac:dyDescent="0.25">
      <c r="B2255" s="130"/>
      <c r="C2255" s="135"/>
      <c r="D2255" s="177"/>
      <c r="E2255" s="178"/>
      <c r="F2255" s="178"/>
      <c r="G2255" s="340"/>
      <c r="H2255" s="340"/>
      <c r="I2255" s="179"/>
      <c r="J2255" s="344"/>
      <c r="K2255" s="345"/>
      <c r="L2255" s="346"/>
      <c r="M2255" s="347"/>
      <c r="N2255" s="347"/>
      <c r="O2255" s="132"/>
    </row>
    <row r="2256" spans="2:15" ht="26.25" customHeight="1" x14ac:dyDescent="0.25">
      <c r="B2256" s="130"/>
      <c r="C2256" s="135"/>
      <c r="D2256" s="177"/>
      <c r="E2256" s="178"/>
      <c r="F2256" s="178"/>
      <c r="G2256" s="340"/>
      <c r="H2256" s="340"/>
      <c r="I2256" s="179"/>
      <c r="J2256" s="344"/>
      <c r="K2256" s="345"/>
      <c r="L2256" s="346"/>
      <c r="M2256" s="347"/>
      <c r="N2256" s="347"/>
      <c r="O2256" s="132"/>
    </row>
    <row r="2257" spans="2:15" ht="26.25" customHeight="1" x14ac:dyDescent="0.25">
      <c r="B2257" s="130"/>
      <c r="C2257" s="135"/>
      <c r="D2257" s="177"/>
      <c r="E2257" s="178"/>
      <c r="F2257" s="178"/>
      <c r="G2257" s="340"/>
      <c r="H2257" s="340"/>
      <c r="I2257" s="179"/>
      <c r="J2257" s="344"/>
      <c r="K2257" s="345"/>
      <c r="L2257" s="346"/>
      <c r="M2257" s="347"/>
      <c r="N2257" s="347"/>
      <c r="O2257" s="132"/>
    </row>
    <row r="2258" spans="2:15" ht="26.25" customHeight="1" x14ac:dyDescent="0.25">
      <c r="B2258" s="130"/>
      <c r="C2258" s="135"/>
      <c r="D2258" s="177"/>
      <c r="E2258" s="178"/>
      <c r="F2258" s="178"/>
      <c r="G2258" s="340"/>
      <c r="H2258" s="340"/>
      <c r="I2258" s="179"/>
      <c r="J2258" s="344"/>
      <c r="K2258" s="345"/>
      <c r="L2258" s="346"/>
      <c r="M2258" s="347"/>
      <c r="N2258" s="347"/>
      <c r="O2258" s="132"/>
    </row>
    <row r="2259" spans="2:15" ht="26.25" customHeight="1" x14ac:dyDescent="0.25">
      <c r="B2259" s="130"/>
      <c r="C2259" s="135"/>
      <c r="D2259" s="177"/>
      <c r="E2259" s="178"/>
      <c r="F2259" s="178"/>
      <c r="G2259" s="340"/>
      <c r="H2259" s="340"/>
      <c r="I2259" s="179"/>
      <c r="J2259" s="344"/>
      <c r="K2259" s="345"/>
      <c r="L2259" s="346"/>
      <c r="M2259" s="347"/>
      <c r="N2259" s="347"/>
      <c r="O2259" s="132"/>
    </row>
    <row r="2260" spans="2:15" ht="26.25" customHeight="1" x14ac:dyDescent="0.25">
      <c r="B2260" s="130"/>
      <c r="C2260" s="135"/>
      <c r="D2260" s="177"/>
      <c r="E2260" s="178"/>
      <c r="F2260" s="178"/>
      <c r="G2260" s="340"/>
      <c r="H2260" s="340"/>
      <c r="I2260" s="179"/>
      <c r="J2260" s="344"/>
      <c r="K2260" s="345"/>
      <c r="L2260" s="346"/>
      <c r="M2260" s="347"/>
      <c r="N2260" s="347"/>
      <c r="O2260" s="132"/>
    </row>
    <row r="2261" spans="2:15" ht="26.25" customHeight="1" x14ac:dyDescent="0.25">
      <c r="B2261" s="130"/>
      <c r="C2261" s="135"/>
      <c r="D2261" s="177"/>
      <c r="E2261" s="178"/>
      <c r="F2261" s="178"/>
      <c r="G2261" s="340"/>
      <c r="H2261" s="340"/>
      <c r="I2261" s="179"/>
      <c r="J2261" s="344"/>
      <c r="K2261" s="345"/>
      <c r="L2261" s="346"/>
      <c r="M2261" s="347"/>
      <c r="N2261" s="347"/>
      <c r="O2261" s="132"/>
    </row>
    <row r="2262" spans="2:15" ht="26.25" customHeight="1" x14ac:dyDescent="0.25">
      <c r="B2262" s="130"/>
      <c r="C2262" s="135"/>
      <c r="D2262" s="177"/>
      <c r="E2262" s="178"/>
      <c r="F2262" s="178"/>
      <c r="G2262" s="340"/>
      <c r="H2262" s="340"/>
      <c r="I2262" s="179"/>
      <c r="J2262" s="344"/>
      <c r="K2262" s="345"/>
      <c r="L2262" s="346"/>
      <c r="M2262" s="347"/>
      <c r="N2262" s="347"/>
      <c r="O2262" s="132"/>
    </row>
    <row r="2263" spans="2:15" ht="26.25" customHeight="1" x14ac:dyDescent="0.25">
      <c r="B2263" s="130"/>
      <c r="C2263" s="135"/>
      <c r="D2263" s="177"/>
      <c r="E2263" s="178"/>
      <c r="F2263" s="178"/>
      <c r="G2263" s="340"/>
      <c r="H2263" s="340"/>
      <c r="I2263" s="179"/>
      <c r="J2263" s="344"/>
      <c r="K2263" s="345"/>
      <c r="L2263" s="346"/>
      <c r="M2263" s="347"/>
      <c r="N2263" s="347"/>
      <c r="O2263" s="132"/>
    </row>
    <row r="2264" spans="2:15" ht="26.25" customHeight="1" x14ac:dyDescent="0.25">
      <c r="B2264" s="130"/>
      <c r="C2264" s="135"/>
      <c r="D2264" s="177"/>
      <c r="E2264" s="178"/>
      <c r="F2264" s="178"/>
      <c r="G2264" s="340"/>
      <c r="H2264" s="340"/>
      <c r="I2264" s="179"/>
      <c r="J2264" s="344"/>
      <c r="K2264" s="345"/>
      <c r="L2264" s="346"/>
      <c r="M2264" s="347"/>
      <c r="N2264" s="347"/>
      <c r="O2264" s="132"/>
    </row>
    <row r="2265" spans="2:15" ht="26.25" customHeight="1" x14ac:dyDescent="0.25">
      <c r="B2265" s="130"/>
      <c r="C2265" s="135"/>
      <c r="D2265" s="177"/>
      <c r="E2265" s="178"/>
      <c r="F2265" s="178"/>
      <c r="G2265" s="340"/>
      <c r="H2265" s="340"/>
      <c r="I2265" s="179"/>
      <c r="J2265" s="344"/>
      <c r="K2265" s="345"/>
      <c r="L2265" s="346"/>
      <c r="M2265" s="347"/>
      <c r="N2265" s="347"/>
      <c r="O2265" s="132"/>
    </row>
    <row r="2266" spans="2:15" ht="26.25" customHeight="1" x14ac:dyDescent="0.25">
      <c r="B2266" s="130"/>
      <c r="C2266" s="135"/>
      <c r="D2266" s="177"/>
      <c r="E2266" s="178"/>
      <c r="F2266" s="178"/>
      <c r="G2266" s="340"/>
      <c r="H2266" s="340"/>
      <c r="I2266" s="179"/>
      <c r="J2266" s="344"/>
      <c r="K2266" s="345"/>
      <c r="L2266" s="346"/>
      <c r="M2266" s="347"/>
      <c r="N2266" s="347"/>
      <c r="O2266" s="132"/>
    </row>
    <row r="2267" spans="2:15" ht="26.25" customHeight="1" x14ac:dyDescent="0.25">
      <c r="B2267" s="130"/>
      <c r="C2267" s="135"/>
      <c r="D2267" s="177"/>
      <c r="E2267" s="178"/>
      <c r="F2267" s="178"/>
      <c r="G2267" s="340"/>
      <c r="H2267" s="340"/>
      <c r="I2267" s="179"/>
      <c r="J2267" s="344"/>
      <c r="K2267" s="345"/>
      <c r="L2267" s="346"/>
      <c r="M2267" s="347"/>
      <c r="N2267" s="347"/>
      <c r="O2267" s="132"/>
    </row>
    <row r="2268" spans="2:15" ht="26.25" customHeight="1" x14ac:dyDescent="0.25">
      <c r="B2268" s="130"/>
      <c r="C2268" s="135"/>
      <c r="D2268" s="177"/>
      <c r="E2268" s="178"/>
      <c r="F2268" s="178"/>
      <c r="G2268" s="340"/>
      <c r="H2268" s="340"/>
      <c r="I2268" s="179"/>
      <c r="J2268" s="344"/>
      <c r="K2268" s="345"/>
      <c r="L2268" s="346"/>
      <c r="M2268" s="347"/>
      <c r="N2268" s="347"/>
      <c r="O2268" s="132"/>
    </row>
    <row r="2269" spans="2:15" ht="26.25" customHeight="1" x14ac:dyDescent="0.25">
      <c r="B2269" s="130"/>
      <c r="C2269" s="135"/>
      <c r="D2269" s="177"/>
      <c r="E2269" s="178"/>
      <c r="F2269" s="178"/>
      <c r="G2269" s="340"/>
      <c r="H2269" s="340"/>
      <c r="I2269" s="179"/>
      <c r="J2269" s="344"/>
      <c r="K2269" s="345"/>
      <c r="L2269" s="346"/>
      <c r="M2269" s="347"/>
      <c r="N2269" s="347"/>
      <c r="O2269" s="132"/>
    </row>
    <row r="2270" spans="2:15" ht="26.25" customHeight="1" x14ac:dyDescent="0.25">
      <c r="B2270" s="130"/>
      <c r="C2270" s="135"/>
      <c r="D2270" s="177"/>
      <c r="E2270" s="178"/>
      <c r="F2270" s="178"/>
      <c r="G2270" s="340"/>
      <c r="H2270" s="340"/>
      <c r="I2270" s="179"/>
      <c r="J2270" s="344"/>
      <c r="K2270" s="345"/>
      <c r="L2270" s="346"/>
      <c r="M2270" s="347"/>
      <c r="N2270" s="347"/>
      <c r="O2270" s="132"/>
    </row>
    <row r="2271" spans="2:15" ht="26.25" customHeight="1" x14ac:dyDescent="0.25">
      <c r="B2271" s="130"/>
      <c r="C2271" s="135"/>
      <c r="D2271" s="177"/>
      <c r="E2271" s="178"/>
      <c r="F2271" s="178"/>
      <c r="G2271" s="340"/>
      <c r="H2271" s="340"/>
      <c r="I2271" s="179"/>
      <c r="J2271" s="344"/>
      <c r="K2271" s="345"/>
      <c r="L2271" s="346"/>
      <c r="M2271" s="347"/>
      <c r="N2271" s="347"/>
      <c r="O2271" s="132"/>
    </row>
    <row r="2272" spans="2:15" ht="26.25" customHeight="1" x14ac:dyDescent="0.25">
      <c r="B2272" s="130"/>
      <c r="C2272" s="135"/>
      <c r="D2272" s="177"/>
      <c r="E2272" s="178"/>
      <c r="F2272" s="178"/>
      <c r="G2272" s="340"/>
      <c r="H2272" s="340"/>
      <c r="I2272" s="179"/>
      <c r="J2272" s="344"/>
      <c r="K2272" s="345"/>
      <c r="L2272" s="346"/>
      <c r="M2272" s="347"/>
      <c r="N2272" s="347"/>
      <c r="O2272" s="132"/>
    </row>
    <row r="2273" spans="2:15" ht="26.25" customHeight="1" x14ac:dyDescent="0.25">
      <c r="B2273" s="130"/>
      <c r="C2273" s="135"/>
      <c r="D2273" s="177"/>
      <c r="E2273" s="178"/>
      <c r="F2273" s="178"/>
      <c r="G2273" s="340"/>
      <c r="H2273" s="340"/>
      <c r="I2273" s="179"/>
      <c r="J2273" s="344"/>
      <c r="K2273" s="345"/>
      <c r="L2273" s="346"/>
      <c r="M2273" s="347"/>
      <c r="N2273" s="347"/>
      <c r="O2273" s="132"/>
    </row>
    <row r="2274" spans="2:15" ht="26.25" customHeight="1" x14ac:dyDescent="0.25">
      <c r="B2274" s="130"/>
      <c r="C2274" s="135"/>
      <c r="D2274" s="177"/>
      <c r="E2274" s="178"/>
      <c r="F2274" s="178"/>
      <c r="G2274" s="340"/>
      <c r="H2274" s="340"/>
      <c r="I2274" s="179"/>
      <c r="J2274" s="344"/>
      <c r="K2274" s="345"/>
      <c r="L2274" s="346"/>
      <c r="M2274" s="347"/>
      <c r="N2274" s="347"/>
      <c r="O2274" s="132"/>
    </row>
    <row r="2275" spans="2:15" ht="26.25" customHeight="1" x14ac:dyDescent="0.25">
      <c r="B2275" s="130"/>
      <c r="C2275" s="135"/>
      <c r="D2275" s="177"/>
      <c r="E2275" s="178"/>
      <c r="F2275" s="178"/>
      <c r="G2275" s="340"/>
      <c r="H2275" s="340"/>
      <c r="I2275" s="179"/>
      <c r="J2275" s="344"/>
      <c r="K2275" s="345"/>
      <c r="L2275" s="346"/>
      <c r="M2275" s="347"/>
      <c r="N2275" s="347"/>
      <c r="O2275" s="132"/>
    </row>
    <row r="2276" spans="2:15" ht="26.25" customHeight="1" x14ac:dyDescent="0.25">
      <c r="B2276" s="130"/>
      <c r="C2276" s="135"/>
      <c r="D2276" s="177"/>
      <c r="E2276" s="178"/>
      <c r="F2276" s="178"/>
      <c r="G2276" s="340"/>
      <c r="H2276" s="340"/>
      <c r="I2276" s="179"/>
      <c r="J2276" s="344"/>
      <c r="K2276" s="345"/>
      <c r="L2276" s="346"/>
      <c r="M2276" s="347"/>
      <c r="N2276" s="347"/>
      <c r="O2276" s="132"/>
    </row>
    <row r="2277" spans="2:15" ht="26.25" customHeight="1" x14ac:dyDescent="0.25">
      <c r="B2277" s="130"/>
      <c r="C2277" s="135"/>
      <c r="D2277" s="177"/>
      <c r="E2277" s="178"/>
      <c r="F2277" s="178"/>
      <c r="G2277" s="340"/>
      <c r="H2277" s="340"/>
      <c r="I2277" s="179"/>
      <c r="J2277" s="344"/>
      <c r="K2277" s="345"/>
      <c r="L2277" s="346"/>
      <c r="M2277" s="347"/>
      <c r="N2277" s="347"/>
      <c r="O2277" s="132"/>
    </row>
    <row r="2278" spans="2:15" ht="26.25" customHeight="1" x14ac:dyDescent="0.25">
      <c r="B2278" s="130"/>
      <c r="C2278" s="135"/>
      <c r="D2278" s="177"/>
      <c r="E2278" s="178"/>
      <c r="F2278" s="178"/>
      <c r="G2278" s="340"/>
      <c r="H2278" s="340"/>
      <c r="I2278" s="179"/>
      <c r="J2278" s="344"/>
      <c r="K2278" s="345"/>
      <c r="L2278" s="346"/>
      <c r="M2278" s="347"/>
      <c r="N2278" s="347"/>
      <c r="O2278" s="132"/>
    </row>
    <row r="2279" spans="2:15" ht="26.25" customHeight="1" x14ac:dyDescent="0.25">
      <c r="B2279" s="130"/>
      <c r="C2279" s="135"/>
      <c r="D2279" s="177"/>
      <c r="E2279" s="178"/>
      <c r="F2279" s="178"/>
      <c r="G2279" s="340"/>
      <c r="H2279" s="340"/>
      <c r="I2279" s="179"/>
      <c r="J2279" s="344"/>
      <c r="K2279" s="345"/>
      <c r="L2279" s="346"/>
      <c r="M2279" s="347"/>
      <c r="N2279" s="347"/>
      <c r="O2279" s="132"/>
    </row>
    <row r="2280" spans="2:15" ht="26.25" customHeight="1" x14ac:dyDescent="0.25">
      <c r="B2280" s="130"/>
      <c r="C2280" s="135"/>
      <c r="D2280" s="177"/>
      <c r="E2280" s="178"/>
      <c r="F2280" s="178"/>
      <c r="G2280" s="340"/>
      <c r="H2280" s="340"/>
      <c r="I2280" s="179"/>
      <c r="J2280" s="344"/>
      <c r="K2280" s="345"/>
      <c r="L2280" s="346"/>
      <c r="M2280" s="347"/>
      <c r="N2280" s="347"/>
      <c r="O2280" s="132"/>
    </row>
    <row r="2281" spans="2:15" ht="26.25" customHeight="1" x14ac:dyDescent="0.25">
      <c r="B2281" s="130"/>
      <c r="C2281" s="135"/>
      <c r="D2281" s="177"/>
      <c r="E2281" s="178"/>
      <c r="F2281" s="178"/>
      <c r="G2281" s="340"/>
      <c r="H2281" s="340"/>
      <c r="I2281" s="179"/>
      <c r="J2281" s="344"/>
      <c r="K2281" s="345"/>
      <c r="L2281" s="346"/>
      <c r="M2281" s="347"/>
      <c r="N2281" s="347"/>
      <c r="O2281" s="132"/>
    </row>
    <row r="2282" spans="2:15" ht="26.25" customHeight="1" x14ac:dyDescent="0.25">
      <c r="B2282" s="130"/>
      <c r="C2282" s="135"/>
      <c r="D2282" s="177"/>
      <c r="E2282" s="178"/>
      <c r="F2282" s="178"/>
      <c r="G2282" s="340"/>
      <c r="H2282" s="340"/>
      <c r="I2282" s="179"/>
      <c r="J2282" s="344"/>
      <c r="K2282" s="345"/>
      <c r="L2282" s="346"/>
      <c r="M2282" s="347"/>
      <c r="N2282" s="347"/>
      <c r="O2282" s="132"/>
    </row>
    <row r="2283" spans="2:15" ht="26.25" customHeight="1" x14ac:dyDescent="0.25">
      <c r="B2283" s="130"/>
      <c r="C2283" s="135"/>
      <c r="D2283" s="177"/>
      <c r="E2283" s="178"/>
      <c r="F2283" s="178"/>
      <c r="G2283" s="340"/>
      <c r="H2283" s="340"/>
      <c r="I2283" s="179"/>
      <c r="J2283" s="344"/>
      <c r="K2283" s="345"/>
      <c r="L2283" s="346"/>
      <c r="M2283" s="347"/>
      <c r="N2283" s="347"/>
      <c r="O2283" s="132"/>
    </row>
    <row r="2284" spans="2:15" ht="26.25" customHeight="1" x14ac:dyDescent="0.25">
      <c r="B2284" s="130"/>
      <c r="C2284" s="135"/>
      <c r="D2284" s="177"/>
      <c r="E2284" s="178"/>
      <c r="F2284" s="178"/>
      <c r="G2284" s="340"/>
      <c r="H2284" s="340"/>
      <c r="I2284" s="179"/>
      <c r="J2284" s="344"/>
      <c r="K2284" s="345"/>
      <c r="L2284" s="346"/>
      <c r="M2284" s="347"/>
      <c r="N2284" s="347"/>
      <c r="O2284" s="132"/>
    </row>
    <row r="2285" spans="2:15" ht="26.25" customHeight="1" x14ac:dyDescent="0.25">
      <c r="B2285" s="130"/>
      <c r="C2285" s="135"/>
      <c r="D2285" s="177"/>
      <c r="E2285" s="178"/>
      <c r="F2285" s="178"/>
      <c r="G2285" s="340"/>
      <c r="H2285" s="340"/>
      <c r="I2285" s="179"/>
      <c r="J2285" s="344"/>
      <c r="K2285" s="345"/>
      <c r="L2285" s="346"/>
      <c r="M2285" s="347"/>
      <c r="N2285" s="347"/>
      <c r="O2285" s="132"/>
    </row>
    <row r="2286" spans="2:15" ht="26.25" customHeight="1" x14ac:dyDescent="0.25">
      <c r="B2286" s="130"/>
      <c r="C2286" s="135"/>
      <c r="D2286" s="177"/>
      <c r="E2286" s="178"/>
      <c r="F2286" s="178"/>
      <c r="G2286" s="340"/>
      <c r="H2286" s="340"/>
      <c r="I2286" s="179"/>
      <c r="J2286" s="344"/>
      <c r="K2286" s="345"/>
      <c r="L2286" s="346"/>
      <c r="M2286" s="347"/>
      <c r="N2286" s="347"/>
      <c r="O2286" s="132"/>
    </row>
    <row r="2287" spans="2:15" ht="26.25" customHeight="1" x14ac:dyDescent="0.25">
      <c r="B2287" s="130"/>
      <c r="C2287" s="135"/>
      <c r="D2287" s="177"/>
      <c r="E2287" s="178"/>
      <c r="F2287" s="178"/>
      <c r="G2287" s="340"/>
      <c r="H2287" s="340"/>
      <c r="I2287" s="179"/>
      <c r="J2287" s="344"/>
      <c r="K2287" s="345"/>
      <c r="L2287" s="346"/>
      <c r="M2287" s="347"/>
      <c r="N2287" s="347"/>
      <c r="O2287" s="132"/>
    </row>
    <row r="2288" spans="2:15" ht="26.25" customHeight="1" x14ac:dyDescent="0.25">
      <c r="B2288" s="130"/>
      <c r="C2288" s="135"/>
      <c r="D2288" s="177"/>
      <c r="E2288" s="178"/>
      <c r="F2288" s="178"/>
      <c r="G2288" s="340"/>
      <c r="H2288" s="340"/>
      <c r="I2288" s="179"/>
      <c r="J2288" s="344"/>
      <c r="K2288" s="345"/>
      <c r="L2288" s="346"/>
      <c r="M2288" s="347"/>
      <c r="N2288" s="347"/>
      <c r="O2288" s="132"/>
    </row>
    <row r="2289" spans="2:15" ht="26.25" customHeight="1" x14ac:dyDescent="0.25">
      <c r="B2289" s="130"/>
      <c r="C2289" s="135"/>
      <c r="D2289" s="177"/>
      <c r="E2289" s="178"/>
      <c r="F2289" s="178"/>
      <c r="G2289" s="340"/>
      <c r="H2289" s="340"/>
      <c r="I2289" s="179"/>
      <c r="J2289" s="344"/>
      <c r="K2289" s="345"/>
      <c r="L2289" s="346"/>
      <c r="M2289" s="347"/>
      <c r="N2289" s="347"/>
      <c r="O2289" s="132"/>
    </row>
    <row r="2290" spans="2:15" ht="26.25" customHeight="1" x14ac:dyDescent="0.25">
      <c r="B2290" s="130"/>
      <c r="C2290" s="135"/>
      <c r="D2290" s="177"/>
      <c r="E2290" s="178"/>
      <c r="F2290" s="178"/>
      <c r="G2290" s="340"/>
      <c r="H2290" s="340"/>
      <c r="I2290" s="179"/>
      <c r="J2290" s="344"/>
      <c r="K2290" s="345"/>
      <c r="L2290" s="346"/>
      <c r="M2290" s="347"/>
      <c r="N2290" s="347"/>
      <c r="O2290" s="132"/>
    </row>
    <row r="2291" spans="2:15" ht="26.25" customHeight="1" x14ac:dyDescent="0.25">
      <c r="B2291" s="130"/>
      <c r="C2291" s="135"/>
      <c r="D2291" s="177"/>
      <c r="E2291" s="178"/>
      <c r="F2291" s="178"/>
      <c r="G2291" s="340"/>
      <c r="H2291" s="340"/>
      <c r="I2291" s="179"/>
      <c r="J2291" s="344"/>
      <c r="K2291" s="345"/>
      <c r="L2291" s="346"/>
      <c r="M2291" s="347"/>
      <c r="N2291" s="347"/>
      <c r="O2291" s="132"/>
    </row>
    <row r="2292" spans="2:15" ht="26.25" customHeight="1" x14ac:dyDescent="0.25">
      <c r="B2292" s="130"/>
      <c r="C2292" s="135"/>
      <c r="D2292" s="177"/>
      <c r="E2292" s="178"/>
      <c r="F2292" s="178"/>
      <c r="G2292" s="340"/>
      <c r="H2292" s="340"/>
      <c r="I2292" s="179"/>
      <c r="J2292" s="344"/>
      <c r="K2292" s="345"/>
      <c r="L2292" s="346"/>
      <c r="M2292" s="347"/>
      <c r="N2292" s="347"/>
      <c r="O2292" s="132"/>
    </row>
    <row r="2293" spans="2:15" ht="26.25" customHeight="1" x14ac:dyDescent="0.25">
      <c r="B2293" s="130"/>
      <c r="C2293" s="135"/>
      <c r="D2293" s="177"/>
      <c r="E2293" s="178"/>
      <c r="F2293" s="178"/>
      <c r="G2293" s="340"/>
      <c r="H2293" s="340"/>
      <c r="I2293" s="179"/>
      <c r="J2293" s="344"/>
      <c r="K2293" s="345"/>
      <c r="L2293" s="346"/>
      <c r="M2293" s="347"/>
      <c r="N2293" s="347"/>
      <c r="O2293" s="132"/>
    </row>
    <row r="2294" spans="2:15" ht="26.25" customHeight="1" x14ac:dyDescent="0.25">
      <c r="B2294" s="130"/>
      <c r="C2294" s="135"/>
      <c r="D2294" s="177"/>
      <c r="E2294" s="178"/>
      <c r="F2294" s="178"/>
      <c r="G2294" s="340"/>
      <c r="H2294" s="340"/>
      <c r="I2294" s="179"/>
      <c r="J2294" s="344"/>
      <c r="K2294" s="345"/>
      <c r="L2294" s="346"/>
      <c r="M2294" s="347"/>
      <c r="N2294" s="347"/>
      <c r="O2294" s="132"/>
    </row>
    <row r="2295" spans="2:15" ht="26.25" customHeight="1" x14ac:dyDescent="0.25">
      <c r="B2295" s="130"/>
      <c r="C2295" s="135"/>
      <c r="D2295" s="177"/>
      <c r="E2295" s="178"/>
      <c r="F2295" s="178"/>
      <c r="G2295" s="340"/>
      <c r="H2295" s="340"/>
      <c r="I2295" s="179"/>
      <c r="J2295" s="344"/>
      <c r="K2295" s="345"/>
      <c r="L2295" s="346"/>
      <c r="M2295" s="347"/>
      <c r="N2295" s="347"/>
      <c r="O2295" s="132"/>
    </row>
    <row r="2296" spans="2:15" ht="26.25" customHeight="1" x14ac:dyDescent="0.25">
      <c r="B2296" s="130"/>
      <c r="C2296" s="135"/>
      <c r="D2296" s="177"/>
      <c r="E2296" s="178"/>
      <c r="F2296" s="178"/>
      <c r="G2296" s="340"/>
      <c r="H2296" s="340"/>
      <c r="I2296" s="179"/>
      <c r="J2296" s="344"/>
      <c r="K2296" s="345"/>
      <c r="L2296" s="346"/>
      <c r="M2296" s="347"/>
      <c r="N2296" s="347"/>
      <c r="O2296" s="132"/>
    </row>
    <row r="2297" spans="2:15" ht="26.25" customHeight="1" x14ac:dyDescent="0.25">
      <c r="B2297" s="130"/>
      <c r="C2297" s="135"/>
      <c r="D2297" s="177"/>
      <c r="E2297" s="178"/>
      <c r="F2297" s="178"/>
      <c r="G2297" s="340"/>
      <c r="H2297" s="340"/>
      <c r="I2297" s="179"/>
      <c r="J2297" s="344"/>
      <c r="K2297" s="345"/>
      <c r="L2297" s="346"/>
      <c r="M2297" s="347"/>
      <c r="N2297" s="347"/>
      <c r="O2297" s="132"/>
    </row>
    <row r="2298" spans="2:15" ht="26.25" customHeight="1" x14ac:dyDescent="0.25">
      <c r="B2298" s="130"/>
      <c r="C2298" s="135"/>
      <c r="D2298" s="177"/>
      <c r="E2298" s="178"/>
      <c r="F2298" s="178"/>
      <c r="G2298" s="340"/>
      <c r="H2298" s="340"/>
      <c r="I2298" s="179"/>
      <c r="J2298" s="344"/>
      <c r="K2298" s="345"/>
      <c r="L2298" s="346"/>
      <c r="M2298" s="347"/>
      <c r="N2298" s="347"/>
      <c r="O2298" s="132"/>
    </row>
    <row r="2299" spans="2:15" ht="26.25" customHeight="1" x14ac:dyDescent="0.25">
      <c r="B2299" s="130"/>
      <c r="C2299" s="135"/>
      <c r="D2299" s="177"/>
      <c r="E2299" s="178"/>
      <c r="F2299" s="178"/>
      <c r="G2299" s="340"/>
      <c r="H2299" s="340"/>
      <c r="I2299" s="179"/>
      <c r="J2299" s="344"/>
      <c r="K2299" s="345"/>
      <c r="L2299" s="346"/>
      <c r="M2299" s="347"/>
      <c r="N2299" s="347"/>
      <c r="O2299" s="132"/>
    </row>
    <row r="2300" spans="2:15" ht="26.25" customHeight="1" x14ac:dyDescent="0.25">
      <c r="B2300" s="130"/>
      <c r="C2300" s="135"/>
      <c r="D2300" s="177"/>
      <c r="E2300" s="178"/>
      <c r="F2300" s="178"/>
      <c r="G2300" s="340"/>
      <c r="H2300" s="340"/>
      <c r="I2300" s="179"/>
      <c r="J2300" s="344"/>
      <c r="K2300" s="345"/>
      <c r="L2300" s="346"/>
      <c r="M2300" s="347"/>
      <c r="N2300" s="347"/>
      <c r="O2300" s="132"/>
    </row>
    <row r="2301" spans="2:15" ht="26.25" customHeight="1" x14ac:dyDescent="0.25">
      <c r="B2301" s="130"/>
      <c r="C2301" s="135"/>
      <c r="D2301" s="177"/>
      <c r="E2301" s="178"/>
      <c r="F2301" s="178"/>
      <c r="G2301" s="340"/>
      <c r="H2301" s="340"/>
      <c r="I2301" s="179"/>
      <c r="J2301" s="344"/>
      <c r="K2301" s="345"/>
      <c r="L2301" s="346"/>
      <c r="M2301" s="347"/>
      <c r="N2301" s="347"/>
      <c r="O2301" s="132"/>
    </row>
    <row r="2302" spans="2:15" ht="26.25" customHeight="1" x14ac:dyDescent="0.25">
      <c r="B2302" s="130"/>
      <c r="C2302" s="135"/>
      <c r="D2302" s="177"/>
      <c r="E2302" s="178"/>
      <c r="F2302" s="178"/>
      <c r="G2302" s="340"/>
      <c r="H2302" s="340"/>
      <c r="I2302" s="179"/>
      <c r="J2302" s="344"/>
      <c r="K2302" s="345"/>
      <c r="L2302" s="346"/>
      <c r="M2302" s="347"/>
      <c r="N2302" s="347"/>
      <c r="O2302" s="132"/>
    </row>
    <row r="2303" spans="2:15" ht="26.25" customHeight="1" x14ac:dyDescent="0.25">
      <c r="B2303" s="130"/>
      <c r="C2303" s="135"/>
      <c r="D2303" s="177"/>
      <c r="E2303" s="178"/>
      <c r="F2303" s="178"/>
      <c r="G2303" s="340"/>
      <c r="H2303" s="340"/>
      <c r="I2303" s="179"/>
      <c r="J2303" s="344"/>
      <c r="K2303" s="345"/>
      <c r="L2303" s="346"/>
      <c r="M2303" s="347"/>
      <c r="N2303" s="347"/>
      <c r="O2303" s="132"/>
    </row>
    <row r="2304" spans="2:15" ht="26.25" customHeight="1" x14ac:dyDescent="0.25">
      <c r="B2304" s="130"/>
      <c r="C2304" s="135"/>
      <c r="D2304" s="177"/>
      <c r="E2304" s="178"/>
      <c r="F2304" s="178"/>
      <c r="G2304" s="340"/>
      <c r="H2304" s="340"/>
      <c r="I2304" s="179"/>
      <c r="J2304" s="344"/>
      <c r="K2304" s="345"/>
      <c r="L2304" s="346"/>
      <c r="M2304" s="347"/>
      <c r="N2304" s="347"/>
      <c r="O2304" s="132"/>
    </row>
    <row r="2305" spans="2:15" ht="26.25" customHeight="1" x14ac:dyDescent="0.25">
      <c r="B2305" s="130"/>
      <c r="C2305" s="135"/>
      <c r="D2305" s="177"/>
      <c r="E2305" s="178"/>
      <c r="F2305" s="178"/>
      <c r="G2305" s="340"/>
      <c r="H2305" s="340"/>
      <c r="I2305" s="179"/>
      <c r="J2305" s="344"/>
      <c r="K2305" s="345"/>
      <c r="L2305" s="346"/>
      <c r="M2305" s="347"/>
      <c r="N2305" s="347"/>
      <c r="O2305" s="132"/>
    </row>
    <row r="2306" spans="2:15" ht="26.25" customHeight="1" x14ac:dyDescent="0.25">
      <c r="B2306" s="130"/>
      <c r="C2306" s="135"/>
      <c r="D2306" s="177"/>
      <c r="E2306" s="178"/>
      <c r="F2306" s="178"/>
      <c r="G2306" s="340"/>
      <c r="H2306" s="340"/>
      <c r="I2306" s="179"/>
      <c r="J2306" s="344"/>
      <c r="K2306" s="345"/>
      <c r="L2306" s="346"/>
      <c r="M2306" s="347"/>
      <c r="N2306" s="347"/>
      <c r="O2306" s="132"/>
    </row>
    <row r="2307" spans="2:15" ht="26.25" customHeight="1" x14ac:dyDescent="0.25">
      <c r="B2307" s="130"/>
      <c r="C2307" s="135"/>
      <c r="D2307" s="177"/>
      <c r="E2307" s="178"/>
      <c r="F2307" s="178"/>
      <c r="G2307" s="340"/>
      <c r="H2307" s="340"/>
      <c r="I2307" s="179"/>
      <c r="J2307" s="344"/>
      <c r="K2307" s="345"/>
      <c r="L2307" s="346"/>
      <c r="M2307" s="347"/>
      <c r="N2307" s="347"/>
      <c r="O2307" s="132"/>
    </row>
    <row r="2308" spans="2:15" ht="26.25" customHeight="1" x14ac:dyDescent="0.25">
      <c r="B2308" s="130"/>
      <c r="C2308" s="135"/>
      <c r="D2308" s="177"/>
      <c r="E2308" s="178"/>
      <c r="F2308" s="178"/>
      <c r="G2308" s="340"/>
      <c r="H2308" s="340"/>
      <c r="I2308" s="179"/>
      <c r="J2308" s="344"/>
      <c r="K2308" s="345"/>
      <c r="L2308" s="346"/>
      <c r="M2308" s="347"/>
      <c r="N2308" s="347"/>
      <c r="O2308" s="132"/>
    </row>
    <row r="2309" spans="2:15" ht="26.25" customHeight="1" x14ac:dyDescent="0.25">
      <c r="B2309" s="130"/>
      <c r="C2309" s="135"/>
      <c r="D2309" s="177"/>
      <c r="E2309" s="178"/>
      <c r="F2309" s="178"/>
      <c r="G2309" s="340"/>
      <c r="H2309" s="340"/>
      <c r="I2309" s="179"/>
      <c r="J2309" s="344"/>
      <c r="K2309" s="345"/>
      <c r="L2309" s="346"/>
      <c r="M2309" s="347"/>
      <c r="N2309" s="347"/>
      <c r="O2309" s="132"/>
    </row>
    <row r="2310" spans="2:15" ht="26.25" customHeight="1" x14ac:dyDescent="0.25">
      <c r="B2310" s="130"/>
      <c r="C2310" s="135"/>
      <c r="D2310" s="177"/>
      <c r="E2310" s="178"/>
      <c r="F2310" s="178"/>
      <c r="G2310" s="340"/>
      <c r="H2310" s="340"/>
      <c r="I2310" s="179"/>
      <c r="J2310" s="344"/>
      <c r="K2310" s="345"/>
      <c r="L2310" s="346"/>
      <c r="M2310" s="347"/>
      <c r="N2310" s="347"/>
      <c r="O2310" s="132"/>
    </row>
    <row r="2311" spans="2:15" ht="26.25" customHeight="1" x14ac:dyDescent="0.25">
      <c r="B2311" s="130"/>
      <c r="C2311" s="135"/>
      <c r="D2311" s="177"/>
      <c r="E2311" s="178"/>
      <c r="F2311" s="178"/>
      <c r="G2311" s="340"/>
      <c r="H2311" s="340"/>
      <c r="I2311" s="179"/>
      <c r="J2311" s="344"/>
      <c r="K2311" s="345"/>
      <c r="L2311" s="346"/>
      <c r="M2311" s="347"/>
      <c r="N2311" s="347"/>
      <c r="O2311" s="132"/>
    </row>
    <row r="2312" spans="2:15" ht="26.25" customHeight="1" x14ac:dyDescent="0.25">
      <c r="B2312" s="130"/>
      <c r="C2312" s="135"/>
      <c r="D2312" s="177"/>
      <c r="E2312" s="178"/>
      <c r="F2312" s="178"/>
      <c r="G2312" s="340"/>
      <c r="H2312" s="340"/>
      <c r="I2312" s="179"/>
      <c r="J2312" s="344"/>
      <c r="K2312" s="345"/>
      <c r="L2312" s="346"/>
      <c r="M2312" s="347"/>
      <c r="N2312" s="347"/>
      <c r="O2312" s="132"/>
    </row>
    <row r="2313" spans="2:15" ht="26.25" customHeight="1" x14ac:dyDescent="0.25">
      <c r="B2313" s="130"/>
      <c r="C2313" s="135"/>
      <c r="D2313" s="177"/>
      <c r="E2313" s="178"/>
      <c r="F2313" s="178"/>
      <c r="G2313" s="340"/>
      <c r="H2313" s="340"/>
      <c r="I2313" s="179"/>
      <c r="J2313" s="344"/>
      <c r="K2313" s="345"/>
      <c r="L2313" s="346"/>
      <c r="M2313" s="347"/>
      <c r="N2313" s="347"/>
      <c r="O2313" s="132"/>
    </row>
    <row r="2314" spans="2:15" ht="26.25" customHeight="1" x14ac:dyDescent="0.25">
      <c r="B2314" s="130"/>
      <c r="C2314" s="135"/>
      <c r="D2314" s="177"/>
      <c r="E2314" s="178"/>
      <c r="F2314" s="178"/>
      <c r="G2314" s="340"/>
      <c r="H2314" s="340"/>
      <c r="I2314" s="179"/>
      <c r="J2314" s="344"/>
      <c r="K2314" s="345"/>
      <c r="L2314" s="346"/>
      <c r="M2314" s="347"/>
      <c r="N2314" s="347"/>
      <c r="O2314" s="132"/>
    </row>
    <row r="2315" spans="2:15" ht="26.25" customHeight="1" x14ac:dyDescent="0.25">
      <c r="B2315" s="130"/>
      <c r="C2315" s="135"/>
      <c r="D2315" s="177"/>
      <c r="E2315" s="178"/>
      <c r="F2315" s="178"/>
      <c r="G2315" s="340"/>
      <c r="H2315" s="340"/>
      <c r="I2315" s="179"/>
      <c r="J2315" s="344"/>
      <c r="K2315" s="345"/>
      <c r="L2315" s="346"/>
      <c r="M2315" s="347"/>
      <c r="N2315" s="347"/>
      <c r="O2315" s="132"/>
    </row>
    <row r="2316" spans="2:15" ht="26.25" customHeight="1" x14ac:dyDescent="0.25">
      <c r="B2316" s="130"/>
      <c r="C2316" s="135"/>
      <c r="D2316" s="177"/>
      <c r="E2316" s="178"/>
      <c r="F2316" s="178"/>
      <c r="G2316" s="340"/>
      <c r="H2316" s="340"/>
      <c r="I2316" s="179"/>
      <c r="J2316" s="344"/>
      <c r="K2316" s="345"/>
      <c r="L2316" s="346"/>
      <c r="M2316" s="347"/>
      <c r="N2316" s="347"/>
      <c r="O2316" s="132"/>
    </row>
    <row r="2317" spans="2:15" ht="26.25" customHeight="1" x14ac:dyDescent="0.25">
      <c r="B2317" s="130"/>
      <c r="C2317" s="135"/>
      <c r="D2317" s="177"/>
      <c r="E2317" s="178"/>
      <c r="F2317" s="178"/>
      <c r="G2317" s="340"/>
      <c r="H2317" s="340"/>
      <c r="I2317" s="179"/>
      <c r="J2317" s="344"/>
      <c r="K2317" s="345"/>
      <c r="L2317" s="346"/>
      <c r="M2317" s="347"/>
      <c r="N2317" s="347"/>
      <c r="O2317" s="132"/>
    </row>
    <row r="2318" spans="2:15" ht="26.25" customHeight="1" x14ac:dyDescent="0.25">
      <c r="B2318" s="130"/>
      <c r="C2318" s="135"/>
      <c r="D2318" s="177"/>
      <c r="E2318" s="178"/>
      <c r="F2318" s="178"/>
      <c r="G2318" s="340"/>
      <c r="H2318" s="340"/>
      <c r="I2318" s="179"/>
      <c r="J2318" s="344"/>
      <c r="K2318" s="345"/>
      <c r="L2318" s="346"/>
      <c r="M2318" s="347"/>
      <c r="N2318" s="347"/>
      <c r="O2318" s="132"/>
    </row>
    <row r="2319" spans="2:15" ht="26.25" customHeight="1" x14ac:dyDescent="0.25">
      <c r="B2319" s="130"/>
      <c r="C2319" s="135"/>
      <c r="D2319" s="177"/>
      <c r="E2319" s="178"/>
      <c r="F2319" s="178"/>
      <c r="G2319" s="340"/>
      <c r="H2319" s="340"/>
      <c r="I2319" s="179"/>
      <c r="J2319" s="344"/>
      <c r="K2319" s="345"/>
      <c r="L2319" s="346"/>
      <c r="M2319" s="347"/>
      <c r="N2319" s="347"/>
      <c r="O2319" s="132"/>
    </row>
    <row r="2320" spans="2:15" ht="26.25" customHeight="1" x14ac:dyDescent="0.25">
      <c r="B2320" s="130"/>
      <c r="C2320" s="135"/>
      <c r="D2320" s="177"/>
      <c r="E2320" s="178"/>
      <c r="F2320" s="178"/>
      <c r="G2320" s="340"/>
      <c r="H2320" s="340"/>
      <c r="I2320" s="179"/>
      <c r="J2320" s="344"/>
      <c r="K2320" s="345"/>
      <c r="L2320" s="346"/>
      <c r="M2320" s="347"/>
      <c r="N2320" s="347"/>
      <c r="O2320" s="132"/>
    </row>
    <row r="2321" spans="2:15" ht="26.25" customHeight="1" x14ac:dyDescent="0.25">
      <c r="B2321" s="130"/>
      <c r="C2321" s="135"/>
      <c r="D2321" s="177"/>
      <c r="E2321" s="178"/>
      <c r="F2321" s="178"/>
      <c r="G2321" s="340"/>
      <c r="H2321" s="340"/>
      <c r="I2321" s="179"/>
      <c r="J2321" s="344"/>
      <c r="K2321" s="345"/>
      <c r="L2321" s="346"/>
      <c r="M2321" s="347"/>
      <c r="N2321" s="347"/>
      <c r="O2321" s="132"/>
    </row>
    <row r="2322" spans="2:15" ht="26.25" customHeight="1" x14ac:dyDescent="0.25">
      <c r="B2322" s="130"/>
      <c r="C2322" s="135"/>
      <c r="D2322" s="177"/>
      <c r="E2322" s="178"/>
      <c r="F2322" s="178"/>
      <c r="G2322" s="340"/>
      <c r="H2322" s="340"/>
      <c r="I2322" s="179"/>
      <c r="J2322" s="344"/>
      <c r="K2322" s="345"/>
      <c r="L2322" s="346"/>
      <c r="M2322" s="347"/>
      <c r="N2322" s="347"/>
      <c r="O2322" s="132"/>
    </row>
    <row r="2323" spans="2:15" ht="26.25" customHeight="1" x14ac:dyDescent="0.25">
      <c r="B2323" s="130"/>
      <c r="C2323" s="135"/>
      <c r="D2323" s="177"/>
      <c r="E2323" s="178"/>
      <c r="F2323" s="178"/>
      <c r="G2323" s="340"/>
      <c r="H2323" s="340"/>
      <c r="I2323" s="179"/>
      <c r="J2323" s="344"/>
      <c r="K2323" s="345"/>
      <c r="L2323" s="346"/>
      <c r="M2323" s="347"/>
      <c r="N2323" s="347"/>
      <c r="O2323" s="132"/>
    </row>
    <row r="2324" spans="2:15" ht="26.25" customHeight="1" x14ac:dyDescent="0.25">
      <c r="B2324" s="130"/>
      <c r="C2324" s="135"/>
      <c r="D2324" s="177"/>
      <c r="E2324" s="178"/>
      <c r="F2324" s="178"/>
      <c r="G2324" s="340"/>
      <c r="H2324" s="340"/>
      <c r="I2324" s="179"/>
      <c r="J2324" s="344"/>
      <c r="K2324" s="345"/>
      <c r="L2324" s="346"/>
      <c r="M2324" s="347"/>
      <c r="N2324" s="347"/>
      <c r="O2324" s="132"/>
    </row>
    <row r="2325" spans="2:15" ht="26.25" customHeight="1" x14ac:dyDescent="0.25">
      <c r="B2325" s="130"/>
      <c r="C2325" s="135"/>
      <c r="D2325" s="177"/>
      <c r="E2325" s="178"/>
      <c r="F2325" s="178"/>
      <c r="G2325" s="340"/>
      <c r="H2325" s="340"/>
      <c r="I2325" s="179"/>
      <c r="J2325" s="344"/>
      <c r="K2325" s="345"/>
      <c r="L2325" s="346"/>
      <c r="M2325" s="347"/>
      <c r="N2325" s="347"/>
      <c r="O2325" s="132"/>
    </row>
    <row r="2326" spans="2:15" ht="26.25" customHeight="1" x14ac:dyDescent="0.25">
      <c r="B2326" s="130"/>
      <c r="C2326" s="135"/>
      <c r="D2326" s="177"/>
      <c r="E2326" s="178"/>
      <c r="F2326" s="178"/>
      <c r="G2326" s="340"/>
      <c r="H2326" s="340"/>
      <c r="I2326" s="179"/>
      <c r="J2326" s="344"/>
      <c r="K2326" s="345"/>
      <c r="L2326" s="346"/>
      <c r="M2326" s="347"/>
      <c r="N2326" s="347"/>
      <c r="O2326" s="132"/>
    </row>
    <row r="2327" spans="2:15" ht="26.25" customHeight="1" x14ac:dyDescent="0.25">
      <c r="B2327" s="130"/>
      <c r="C2327" s="135"/>
      <c r="D2327" s="177"/>
      <c r="E2327" s="178"/>
      <c r="F2327" s="178"/>
      <c r="G2327" s="340"/>
      <c r="H2327" s="340"/>
      <c r="I2327" s="179"/>
      <c r="J2327" s="344"/>
      <c r="K2327" s="345"/>
      <c r="L2327" s="346"/>
      <c r="M2327" s="347"/>
      <c r="N2327" s="347"/>
      <c r="O2327" s="132"/>
    </row>
    <row r="2328" spans="2:15" ht="26.25" customHeight="1" x14ac:dyDescent="0.25">
      <c r="B2328" s="130"/>
      <c r="C2328" s="135"/>
      <c r="D2328" s="177"/>
      <c r="E2328" s="178"/>
      <c r="F2328" s="178"/>
      <c r="G2328" s="340"/>
      <c r="H2328" s="340"/>
      <c r="I2328" s="179"/>
      <c r="J2328" s="344"/>
      <c r="K2328" s="345"/>
      <c r="L2328" s="346"/>
      <c r="M2328" s="347"/>
      <c r="N2328" s="347"/>
      <c r="O2328" s="132"/>
    </row>
    <row r="2329" spans="2:15" ht="26.25" customHeight="1" x14ac:dyDescent="0.25">
      <c r="B2329" s="130"/>
      <c r="C2329" s="135"/>
      <c r="D2329" s="177"/>
      <c r="E2329" s="178"/>
      <c r="F2329" s="178"/>
      <c r="G2329" s="340"/>
      <c r="H2329" s="340"/>
      <c r="I2329" s="179"/>
      <c r="J2329" s="344"/>
      <c r="K2329" s="345"/>
      <c r="L2329" s="346"/>
      <c r="M2329" s="347"/>
      <c r="N2329" s="347"/>
      <c r="O2329" s="132"/>
    </row>
    <row r="2330" spans="2:15" ht="26.25" customHeight="1" x14ac:dyDescent="0.25">
      <c r="B2330" s="130"/>
      <c r="C2330" s="135"/>
      <c r="D2330" s="177"/>
      <c r="E2330" s="178"/>
      <c r="F2330" s="178"/>
      <c r="G2330" s="340"/>
      <c r="H2330" s="340"/>
      <c r="I2330" s="179"/>
      <c r="J2330" s="344"/>
      <c r="K2330" s="345"/>
      <c r="L2330" s="346"/>
      <c r="M2330" s="347"/>
      <c r="N2330" s="347"/>
      <c r="O2330" s="132"/>
    </row>
    <row r="2331" spans="2:15" ht="26.25" customHeight="1" x14ac:dyDescent="0.25">
      <c r="B2331" s="130"/>
      <c r="C2331" s="135"/>
      <c r="D2331" s="177"/>
      <c r="E2331" s="178"/>
      <c r="F2331" s="178"/>
      <c r="G2331" s="340"/>
      <c r="H2331" s="340"/>
      <c r="I2331" s="179"/>
      <c r="J2331" s="344"/>
      <c r="K2331" s="345"/>
      <c r="L2331" s="346"/>
      <c r="M2331" s="347"/>
      <c r="N2331" s="347"/>
      <c r="O2331" s="132"/>
    </row>
    <row r="2332" spans="2:15" ht="26.25" customHeight="1" x14ac:dyDescent="0.25">
      <c r="B2332" s="130"/>
      <c r="C2332" s="135"/>
      <c r="D2332" s="177"/>
      <c r="E2332" s="178"/>
      <c r="F2332" s="178"/>
      <c r="G2332" s="340"/>
      <c r="H2332" s="340"/>
      <c r="I2332" s="179"/>
      <c r="J2332" s="344"/>
      <c r="K2332" s="345"/>
      <c r="L2332" s="346"/>
      <c r="M2332" s="347"/>
      <c r="N2332" s="347"/>
      <c r="O2332" s="132"/>
    </row>
    <row r="2333" spans="2:15" ht="26.25" customHeight="1" x14ac:dyDescent="0.25">
      <c r="B2333" s="130"/>
      <c r="C2333" s="135"/>
      <c r="D2333" s="177"/>
      <c r="E2333" s="178"/>
      <c r="F2333" s="178"/>
      <c r="G2333" s="340"/>
      <c r="H2333" s="340"/>
      <c r="I2333" s="179"/>
      <c r="J2333" s="344"/>
      <c r="K2333" s="345"/>
      <c r="L2333" s="346"/>
      <c r="M2333" s="347"/>
      <c r="N2333" s="347"/>
      <c r="O2333" s="132"/>
    </row>
    <row r="2334" spans="2:15" ht="26.25" customHeight="1" x14ac:dyDescent="0.25">
      <c r="B2334" s="130"/>
      <c r="C2334" s="135"/>
      <c r="D2334" s="177"/>
      <c r="E2334" s="178"/>
      <c r="F2334" s="178"/>
      <c r="G2334" s="340"/>
      <c r="H2334" s="340"/>
      <c r="I2334" s="179"/>
      <c r="J2334" s="344"/>
      <c r="K2334" s="345"/>
      <c r="L2334" s="346"/>
      <c r="M2334" s="347"/>
      <c r="N2334" s="347"/>
      <c r="O2334" s="132"/>
    </row>
    <row r="2335" spans="2:15" ht="26.25" customHeight="1" x14ac:dyDescent="0.25">
      <c r="B2335" s="130"/>
      <c r="C2335" s="135"/>
      <c r="D2335" s="177"/>
      <c r="E2335" s="178"/>
      <c r="F2335" s="178"/>
      <c r="G2335" s="340"/>
      <c r="H2335" s="340"/>
      <c r="I2335" s="179"/>
      <c r="J2335" s="344"/>
      <c r="K2335" s="345"/>
      <c r="L2335" s="346"/>
      <c r="M2335" s="347"/>
      <c r="N2335" s="347"/>
      <c r="O2335" s="132"/>
    </row>
    <row r="2336" spans="2:15" ht="26.25" customHeight="1" x14ac:dyDescent="0.25">
      <c r="B2336" s="130"/>
      <c r="C2336" s="135"/>
      <c r="D2336" s="177"/>
      <c r="E2336" s="178"/>
      <c r="F2336" s="178"/>
      <c r="G2336" s="340"/>
      <c r="H2336" s="340"/>
      <c r="I2336" s="179"/>
      <c r="J2336" s="344"/>
      <c r="K2336" s="345"/>
      <c r="L2336" s="346"/>
      <c r="M2336" s="347"/>
      <c r="N2336" s="347"/>
      <c r="O2336" s="132"/>
    </row>
    <row r="2337" spans="2:15" ht="26.25" customHeight="1" x14ac:dyDescent="0.25">
      <c r="B2337" s="130"/>
      <c r="C2337" s="135"/>
      <c r="D2337" s="177"/>
      <c r="E2337" s="178"/>
      <c r="F2337" s="178"/>
      <c r="G2337" s="340"/>
      <c r="H2337" s="340"/>
      <c r="I2337" s="179"/>
      <c r="J2337" s="344"/>
      <c r="K2337" s="345"/>
      <c r="L2337" s="346"/>
      <c r="M2337" s="347"/>
      <c r="N2337" s="347"/>
      <c r="O2337" s="132"/>
    </row>
    <row r="2338" spans="2:15" ht="26.25" customHeight="1" x14ac:dyDescent="0.25">
      <c r="B2338" s="130"/>
      <c r="C2338" s="135"/>
      <c r="D2338" s="177"/>
      <c r="E2338" s="178"/>
      <c r="F2338" s="178"/>
      <c r="G2338" s="340"/>
      <c r="H2338" s="340"/>
      <c r="I2338" s="179"/>
      <c r="J2338" s="344"/>
      <c r="K2338" s="345"/>
      <c r="L2338" s="346"/>
      <c r="M2338" s="347"/>
      <c r="N2338" s="347"/>
      <c r="O2338" s="132"/>
    </row>
    <row r="2339" spans="2:15" ht="26.25" customHeight="1" x14ac:dyDescent="0.25">
      <c r="B2339" s="130"/>
      <c r="C2339" s="135"/>
      <c r="D2339" s="177"/>
      <c r="E2339" s="178"/>
      <c r="F2339" s="178"/>
      <c r="G2339" s="340"/>
      <c r="H2339" s="340"/>
      <c r="I2339" s="179"/>
      <c r="J2339" s="344"/>
      <c r="K2339" s="345"/>
      <c r="L2339" s="346"/>
      <c r="M2339" s="347"/>
      <c r="N2339" s="347"/>
      <c r="O2339" s="132"/>
    </row>
    <row r="2340" spans="2:15" ht="26.25" customHeight="1" x14ac:dyDescent="0.25">
      <c r="B2340" s="130"/>
      <c r="C2340" s="135"/>
      <c r="D2340" s="177"/>
      <c r="E2340" s="178"/>
      <c r="F2340" s="178"/>
      <c r="G2340" s="340"/>
      <c r="H2340" s="340"/>
      <c r="I2340" s="179"/>
      <c r="J2340" s="344"/>
      <c r="K2340" s="345"/>
      <c r="L2340" s="346"/>
      <c r="M2340" s="347"/>
      <c r="N2340" s="347"/>
      <c r="O2340" s="132"/>
    </row>
    <row r="2341" spans="2:15" ht="26.25" customHeight="1" x14ac:dyDescent="0.25">
      <c r="B2341" s="130"/>
      <c r="C2341" s="135"/>
      <c r="D2341" s="177"/>
      <c r="E2341" s="178"/>
      <c r="F2341" s="178"/>
      <c r="G2341" s="340"/>
      <c r="H2341" s="340"/>
      <c r="I2341" s="179"/>
      <c r="J2341" s="344"/>
      <c r="K2341" s="345"/>
      <c r="L2341" s="346"/>
      <c r="M2341" s="347"/>
      <c r="N2341" s="347"/>
      <c r="O2341" s="132"/>
    </row>
    <row r="2342" spans="2:15" ht="26.25" customHeight="1" x14ac:dyDescent="0.25">
      <c r="B2342" s="130"/>
      <c r="C2342" s="135"/>
      <c r="D2342" s="177"/>
      <c r="E2342" s="178"/>
      <c r="F2342" s="178"/>
      <c r="G2342" s="340"/>
      <c r="H2342" s="340"/>
      <c r="I2342" s="179"/>
      <c r="J2342" s="344"/>
      <c r="K2342" s="345"/>
      <c r="L2342" s="346"/>
      <c r="M2342" s="347"/>
      <c r="N2342" s="347"/>
      <c r="O2342" s="132"/>
    </row>
    <row r="2343" spans="2:15" ht="26.25" customHeight="1" x14ac:dyDescent="0.25">
      <c r="B2343" s="130"/>
      <c r="C2343" s="135"/>
      <c r="D2343" s="177"/>
      <c r="E2343" s="178"/>
      <c r="F2343" s="178"/>
      <c r="G2343" s="340"/>
      <c r="H2343" s="340"/>
      <c r="I2343" s="179"/>
      <c r="J2343" s="344"/>
      <c r="K2343" s="345"/>
      <c r="L2343" s="346"/>
      <c r="M2343" s="347"/>
      <c r="N2343" s="347"/>
      <c r="O2343" s="132"/>
    </row>
    <row r="2344" spans="2:15" ht="26.25" customHeight="1" x14ac:dyDescent="0.25">
      <c r="B2344" s="130"/>
      <c r="C2344" s="135"/>
      <c r="D2344" s="177"/>
      <c r="E2344" s="178"/>
      <c r="F2344" s="178"/>
      <c r="G2344" s="340"/>
      <c r="H2344" s="340"/>
      <c r="I2344" s="179"/>
      <c r="J2344" s="344"/>
      <c r="K2344" s="345"/>
      <c r="L2344" s="346"/>
      <c r="M2344" s="347"/>
      <c r="N2344" s="347"/>
      <c r="O2344" s="132"/>
    </row>
    <row r="2345" spans="2:15" ht="26.25" customHeight="1" x14ac:dyDescent="0.25">
      <c r="B2345" s="130"/>
      <c r="C2345" s="135"/>
      <c r="D2345" s="177"/>
      <c r="E2345" s="178"/>
      <c r="F2345" s="178"/>
      <c r="G2345" s="340"/>
      <c r="H2345" s="340"/>
      <c r="I2345" s="179"/>
      <c r="J2345" s="344"/>
      <c r="K2345" s="345"/>
      <c r="L2345" s="346"/>
      <c r="M2345" s="347"/>
      <c r="N2345" s="347"/>
      <c r="O2345" s="132"/>
    </row>
    <row r="2346" spans="2:15" ht="26.25" customHeight="1" x14ac:dyDescent="0.25">
      <c r="B2346" s="130"/>
      <c r="C2346" s="135"/>
      <c r="D2346" s="177"/>
      <c r="E2346" s="178"/>
      <c r="F2346" s="178"/>
      <c r="G2346" s="340"/>
      <c r="H2346" s="340"/>
      <c r="I2346" s="179"/>
      <c r="J2346" s="344"/>
      <c r="K2346" s="345"/>
      <c r="L2346" s="346"/>
      <c r="M2346" s="347"/>
      <c r="N2346" s="347"/>
      <c r="O2346" s="132"/>
    </row>
    <row r="2347" spans="2:15" ht="26.25" customHeight="1" x14ac:dyDescent="0.25">
      <c r="B2347" s="130"/>
      <c r="C2347" s="135"/>
      <c r="D2347" s="177"/>
      <c r="E2347" s="178"/>
      <c r="F2347" s="178"/>
      <c r="G2347" s="340"/>
      <c r="H2347" s="340"/>
      <c r="I2347" s="179"/>
      <c r="J2347" s="344"/>
      <c r="K2347" s="345"/>
      <c r="L2347" s="346"/>
      <c r="M2347" s="347"/>
      <c r="N2347" s="347"/>
      <c r="O2347" s="132"/>
    </row>
    <row r="2348" spans="2:15" ht="26.25" customHeight="1" x14ac:dyDescent="0.25">
      <c r="B2348" s="130"/>
      <c r="C2348" s="135"/>
      <c r="D2348" s="177"/>
      <c r="E2348" s="178"/>
      <c r="F2348" s="178"/>
      <c r="G2348" s="340"/>
      <c r="H2348" s="340"/>
      <c r="I2348" s="179"/>
      <c r="J2348" s="344"/>
      <c r="K2348" s="345"/>
      <c r="L2348" s="346"/>
      <c r="M2348" s="347"/>
      <c r="N2348" s="347"/>
      <c r="O2348" s="132"/>
    </row>
    <row r="2349" spans="2:15" ht="26.25" customHeight="1" x14ac:dyDescent="0.25">
      <c r="B2349" s="130"/>
      <c r="C2349" s="135"/>
      <c r="D2349" s="177"/>
      <c r="E2349" s="178"/>
      <c r="F2349" s="178"/>
      <c r="G2349" s="340"/>
      <c r="H2349" s="340"/>
      <c r="I2349" s="179"/>
      <c r="J2349" s="344"/>
      <c r="K2349" s="345"/>
      <c r="L2349" s="346"/>
      <c r="M2349" s="347"/>
      <c r="N2349" s="347"/>
      <c r="O2349" s="132"/>
    </row>
    <row r="2350" spans="2:15" ht="26.25" customHeight="1" x14ac:dyDescent="0.25">
      <c r="B2350" s="130"/>
      <c r="C2350" s="135"/>
      <c r="D2350" s="177"/>
      <c r="E2350" s="178"/>
      <c r="F2350" s="178"/>
      <c r="G2350" s="340"/>
      <c r="H2350" s="340"/>
      <c r="I2350" s="179"/>
      <c r="J2350" s="344"/>
      <c r="K2350" s="345"/>
      <c r="L2350" s="346"/>
      <c r="M2350" s="347"/>
      <c r="N2350" s="347"/>
      <c r="O2350" s="132"/>
    </row>
    <row r="2351" spans="2:15" ht="26.25" customHeight="1" x14ac:dyDescent="0.25">
      <c r="B2351" s="130"/>
      <c r="C2351" s="135"/>
      <c r="D2351" s="177"/>
      <c r="E2351" s="178"/>
      <c r="F2351" s="178"/>
      <c r="G2351" s="340"/>
      <c r="H2351" s="340"/>
      <c r="I2351" s="179"/>
      <c r="J2351" s="344"/>
      <c r="K2351" s="345"/>
      <c r="L2351" s="346"/>
      <c r="M2351" s="347"/>
      <c r="N2351" s="347"/>
      <c r="O2351" s="132"/>
    </row>
    <row r="2352" spans="2:15" ht="26.25" customHeight="1" x14ac:dyDescent="0.25">
      <c r="B2352" s="130"/>
      <c r="C2352" s="135"/>
      <c r="D2352" s="177"/>
      <c r="E2352" s="178"/>
      <c r="F2352" s="178"/>
      <c r="G2352" s="340"/>
      <c r="H2352" s="340"/>
      <c r="I2352" s="179"/>
      <c r="J2352" s="344"/>
      <c r="K2352" s="345"/>
      <c r="L2352" s="346"/>
      <c r="M2352" s="347"/>
      <c r="N2352" s="347"/>
      <c r="O2352" s="132"/>
    </row>
    <row r="2353" spans="2:15" ht="26.25" customHeight="1" x14ac:dyDescent="0.25">
      <c r="B2353" s="130"/>
      <c r="C2353" s="135"/>
      <c r="D2353" s="177"/>
      <c r="E2353" s="178"/>
      <c r="F2353" s="178"/>
      <c r="G2353" s="340"/>
      <c r="H2353" s="340"/>
      <c r="I2353" s="179"/>
      <c r="J2353" s="344"/>
      <c r="K2353" s="345"/>
      <c r="L2353" s="346"/>
      <c r="M2353" s="347"/>
      <c r="N2353" s="347"/>
      <c r="O2353" s="132"/>
    </row>
    <row r="2354" spans="2:15" ht="26.25" customHeight="1" x14ac:dyDescent="0.25">
      <c r="B2354" s="130"/>
      <c r="C2354" s="135"/>
      <c r="D2354" s="177"/>
      <c r="E2354" s="178"/>
      <c r="F2354" s="178"/>
      <c r="G2354" s="340"/>
      <c r="H2354" s="340"/>
      <c r="I2354" s="179"/>
      <c r="J2354" s="344"/>
      <c r="K2354" s="345"/>
      <c r="L2354" s="346"/>
      <c r="M2354" s="347"/>
      <c r="N2354" s="347"/>
      <c r="O2354" s="132"/>
    </row>
    <row r="2355" spans="2:15" ht="26.25" customHeight="1" x14ac:dyDescent="0.25">
      <c r="B2355" s="130"/>
      <c r="C2355" s="135"/>
      <c r="D2355" s="177"/>
      <c r="E2355" s="178"/>
      <c r="F2355" s="178"/>
      <c r="G2355" s="340"/>
      <c r="H2355" s="340"/>
      <c r="I2355" s="179"/>
      <c r="J2355" s="344"/>
      <c r="K2355" s="345"/>
      <c r="L2355" s="346"/>
      <c r="M2355" s="347"/>
      <c r="N2355" s="347"/>
      <c r="O2355" s="132"/>
    </row>
    <row r="2356" spans="2:15" ht="26.25" customHeight="1" x14ac:dyDescent="0.25">
      <c r="B2356" s="130"/>
      <c r="C2356" s="135"/>
      <c r="D2356" s="177"/>
      <c r="E2356" s="178"/>
      <c r="F2356" s="178"/>
      <c r="G2356" s="340"/>
      <c r="H2356" s="340"/>
      <c r="I2356" s="179"/>
      <c r="J2356" s="344"/>
      <c r="K2356" s="345"/>
      <c r="L2356" s="346"/>
      <c r="M2356" s="347"/>
      <c r="N2356" s="347"/>
      <c r="O2356" s="132"/>
    </row>
    <row r="2357" spans="2:15" ht="26.25" customHeight="1" x14ac:dyDescent="0.25">
      <c r="B2357" s="130"/>
      <c r="C2357" s="135"/>
      <c r="D2357" s="177"/>
      <c r="E2357" s="178"/>
      <c r="F2357" s="178"/>
      <c r="G2357" s="340"/>
      <c r="H2357" s="340"/>
      <c r="I2357" s="179"/>
      <c r="J2357" s="344"/>
      <c r="K2357" s="345"/>
      <c r="L2357" s="346"/>
      <c r="M2357" s="347"/>
      <c r="N2357" s="347"/>
      <c r="O2357" s="132"/>
    </row>
    <row r="2358" spans="2:15" ht="26.25" customHeight="1" x14ac:dyDescent="0.25">
      <c r="B2358" s="130"/>
      <c r="C2358" s="135"/>
      <c r="D2358" s="177"/>
      <c r="E2358" s="178"/>
      <c r="F2358" s="178"/>
      <c r="G2358" s="340"/>
      <c r="H2358" s="340"/>
      <c r="I2358" s="179"/>
      <c r="J2358" s="344"/>
      <c r="K2358" s="345"/>
      <c r="L2358" s="346"/>
      <c r="M2358" s="347"/>
      <c r="N2358" s="347"/>
      <c r="O2358" s="132"/>
    </row>
    <row r="2359" spans="2:15" ht="26.25" customHeight="1" x14ac:dyDescent="0.25">
      <c r="B2359" s="130"/>
      <c r="C2359" s="135"/>
      <c r="D2359" s="177"/>
      <c r="E2359" s="178"/>
      <c r="F2359" s="178"/>
      <c r="G2359" s="340"/>
      <c r="H2359" s="340"/>
      <c r="I2359" s="179"/>
      <c r="J2359" s="344"/>
      <c r="K2359" s="345"/>
      <c r="L2359" s="346"/>
      <c r="M2359" s="347"/>
      <c r="N2359" s="347"/>
      <c r="O2359" s="132"/>
    </row>
    <row r="2360" spans="2:15" ht="26.25" customHeight="1" x14ac:dyDescent="0.25">
      <c r="B2360" s="130"/>
      <c r="C2360" s="135"/>
      <c r="D2360" s="177"/>
      <c r="E2360" s="178"/>
      <c r="F2360" s="178"/>
      <c r="G2360" s="340"/>
      <c r="H2360" s="340"/>
      <c r="I2360" s="179"/>
      <c r="J2360" s="344"/>
      <c r="K2360" s="345"/>
      <c r="L2360" s="346"/>
      <c r="M2360" s="347"/>
      <c r="N2360" s="347"/>
      <c r="O2360" s="132"/>
    </row>
    <row r="2361" spans="2:15" ht="26.25" customHeight="1" x14ac:dyDescent="0.25">
      <c r="B2361" s="130"/>
      <c r="C2361" s="135"/>
      <c r="D2361" s="177"/>
      <c r="E2361" s="178"/>
      <c r="F2361" s="178"/>
      <c r="G2361" s="340"/>
      <c r="H2361" s="340"/>
      <c r="I2361" s="179"/>
      <c r="J2361" s="344"/>
      <c r="K2361" s="345"/>
      <c r="L2361" s="346"/>
      <c r="M2361" s="347"/>
      <c r="N2361" s="347"/>
      <c r="O2361" s="132"/>
    </row>
    <row r="2362" spans="2:15" ht="26.25" customHeight="1" x14ac:dyDescent="0.25">
      <c r="B2362" s="130"/>
      <c r="C2362" s="135"/>
      <c r="D2362" s="177"/>
      <c r="E2362" s="178"/>
      <c r="F2362" s="178"/>
      <c r="G2362" s="340"/>
      <c r="H2362" s="340"/>
      <c r="I2362" s="179"/>
      <c r="J2362" s="344"/>
      <c r="K2362" s="345"/>
      <c r="L2362" s="346"/>
      <c r="M2362" s="347"/>
      <c r="N2362" s="347"/>
      <c r="O2362" s="132"/>
    </row>
    <row r="2363" spans="2:15" ht="26.25" customHeight="1" x14ac:dyDescent="0.25">
      <c r="B2363" s="130"/>
      <c r="C2363" s="135"/>
      <c r="D2363" s="177"/>
      <c r="E2363" s="178"/>
      <c r="F2363" s="178"/>
      <c r="G2363" s="340"/>
      <c r="H2363" s="340"/>
      <c r="I2363" s="179"/>
      <c r="J2363" s="344"/>
      <c r="K2363" s="345"/>
      <c r="L2363" s="346"/>
      <c r="M2363" s="347"/>
      <c r="N2363" s="347"/>
      <c r="O2363" s="132"/>
    </row>
    <row r="2364" spans="2:15" ht="26.25" customHeight="1" x14ac:dyDescent="0.25">
      <c r="B2364" s="130"/>
      <c r="C2364" s="135"/>
      <c r="D2364" s="177"/>
      <c r="E2364" s="178"/>
      <c r="F2364" s="178"/>
      <c r="G2364" s="340"/>
      <c r="H2364" s="340"/>
      <c r="I2364" s="179"/>
      <c r="J2364" s="344"/>
      <c r="K2364" s="345"/>
      <c r="L2364" s="346"/>
      <c r="M2364" s="347"/>
      <c r="N2364" s="347"/>
      <c r="O2364" s="132"/>
    </row>
    <row r="2365" spans="2:15" ht="26.25" customHeight="1" x14ac:dyDescent="0.25">
      <c r="B2365" s="130"/>
      <c r="C2365" s="135"/>
      <c r="D2365" s="177"/>
      <c r="E2365" s="178"/>
      <c r="F2365" s="178"/>
      <c r="G2365" s="340"/>
      <c r="H2365" s="340"/>
      <c r="I2365" s="179"/>
      <c r="J2365" s="344"/>
      <c r="K2365" s="345"/>
      <c r="L2365" s="346"/>
      <c r="M2365" s="347"/>
      <c r="N2365" s="347"/>
      <c r="O2365" s="132"/>
    </row>
    <row r="2366" spans="2:15" ht="26.25" customHeight="1" x14ac:dyDescent="0.25">
      <c r="B2366" s="130"/>
      <c r="C2366" s="135"/>
      <c r="D2366" s="177"/>
      <c r="E2366" s="178"/>
      <c r="F2366" s="178"/>
      <c r="G2366" s="340"/>
      <c r="H2366" s="340"/>
      <c r="I2366" s="179"/>
      <c r="J2366" s="344"/>
      <c r="K2366" s="345"/>
      <c r="L2366" s="346"/>
      <c r="M2366" s="347"/>
      <c r="N2366" s="347"/>
      <c r="O2366" s="132"/>
    </row>
    <row r="2367" spans="2:15" ht="26.25" customHeight="1" x14ac:dyDescent="0.25">
      <c r="B2367" s="130"/>
      <c r="C2367" s="135"/>
      <c r="D2367" s="177"/>
      <c r="E2367" s="178"/>
      <c r="F2367" s="178"/>
      <c r="G2367" s="340"/>
      <c r="H2367" s="340"/>
      <c r="I2367" s="179"/>
      <c r="J2367" s="344"/>
      <c r="K2367" s="345"/>
      <c r="L2367" s="346"/>
      <c r="M2367" s="347"/>
      <c r="N2367" s="347"/>
      <c r="O2367" s="132"/>
    </row>
    <row r="2368" spans="2:15" ht="26.25" customHeight="1" x14ac:dyDescent="0.25">
      <c r="B2368" s="130"/>
      <c r="C2368" s="135"/>
      <c r="D2368" s="177"/>
      <c r="E2368" s="178"/>
      <c r="F2368" s="178"/>
      <c r="G2368" s="340"/>
      <c r="H2368" s="340"/>
      <c r="I2368" s="179"/>
      <c r="J2368" s="344"/>
      <c r="K2368" s="345"/>
      <c r="L2368" s="346"/>
      <c r="M2368" s="347"/>
      <c r="N2368" s="347"/>
      <c r="O2368" s="132"/>
    </row>
    <row r="2369" spans="2:15" ht="26.25" customHeight="1" x14ac:dyDescent="0.25">
      <c r="B2369" s="130"/>
      <c r="C2369" s="135"/>
      <c r="D2369" s="177"/>
      <c r="E2369" s="178"/>
      <c r="F2369" s="178"/>
      <c r="G2369" s="340"/>
      <c r="H2369" s="340"/>
      <c r="I2369" s="179"/>
      <c r="J2369" s="344"/>
      <c r="K2369" s="345"/>
      <c r="L2369" s="346"/>
      <c r="M2369" s="347"/>
      <c r="N2369" s="347"/>
      <c r="O2369" s="132"/>
    </row>
    <row r="2370" spans="2:15" ht="26.25" customHeight="1" x14ac:dyDescent="0.25">
      <c r="B2370" s="130"/>
      <c r="C2370" s="135"/>
      <c r="D2370" s="177"/>
      <c r="E2370" s="178"/>
      <c r="F2370" s="178"/>
      <c r="G2370" s="340"/>
      <c r="H2370" s="340"/>
      <c r="I2370" s="179"/>
      <c r="J2370" s="344"/>
      <c r="K2370" s="345"/>
      <c r="L2370" s="346"/>
      <c r="M2370" s="347"/>
      <c r="N2370" s="347"/>
      <c r="O2370" s="132"/>
    </row>
    <row r="2371" spans="2:15" ht="26.25" customHeight="1" x14ac:dyDescent="0.25">
      <c r="B2371" s="130"/>
      <c r="C2371" s="135"/>
      <c r="D2371" s="177"/>
      <c r="E2371" s="178"/>
      <c r="F2371" s="178"/>
      <c r="G2371" s="340"/>
      <c r="H2371" s="340"/>
      <c r="I2371" s="179"/>
      <c r="J2371" s="344"/>
      <c r="K2371" s="345"/>
      <c r="L2371" s="346"/>
      <c r="M2371" s="347"/>
      <c r="N2371" s="347"/>
      <c r="O2371" s="132"/>
    </row>
    <row r="2372" spans="2:15" ht="26.25" customHeight="1" x14ac:dyDescent="0.25">
      <c r="B2372" s="130"/>
      <c r="C2372" s="135"/>
      <c r="D2372" s="177"/>
      <c r="E2372" s="178"/>
      <c r="F2372" s="178"/>
      <c r="G2372" s="340"/>
      <c r="H2372" s="340"/>
      <c r="I2372" s="179"/>
      <c r="J2372" s="344"/>
      <c r="K2372" s="345"/>
      <c r="L2372" s="346"/>
      <c r="M2372" s="347"/>
      <c r="N2372" s="347"/>
      <c r="O2372" s="132"/>
    </row>
    <row r="2373" spans="2:15" ht="26.25" customHeight="1" x14ac:dyDescent="0.25">
      <c r="B2373" s="130"/>
      <c r="C2373" s="135"/>
      <c r="D2373" s="177"/>
      <c r="E2373" s="178"/>
      <c r="F2373" s="178"/>
      <c r="G2373" s="340"/>
      <c r="H2373" s="340"/>
      <c r="I2373" s="179"/>
      <c r="J2373" s="344"/>
      <c r="K2373" s="345"/>
      <c r="L2373" s="346"/>
      <c r="M2373" s="347"/>
      <c r="N2373" s="347"/>
      <c r="O2373" s="132"/>
    </row>
    <row r="2374" spans="2:15" ht="26.25" customHeight="1" x14ac:dyDescent="0.25">
      <c r="B2374" s="130"/>
      <c r="C2374" s="135"/>
      <c r="D2374" s="177"/>
      <c r="E2374" s="178"/>
      <c r="F2374" s="178"/>
      <c r="G2374" s="340"/>
      <c r="H2374" s="340"/>
      <c r="I2374" s="179"/>
      <c r="J2374" s="344"/>
      <c r="K2374" s="345"/>
      <c r="L2374" s="346"/>
      <c r="M2374" s="347"/>
      <c r="N2374" s="347"/>
      <c r="O2374" s="132"/>
    </row>
    <row r="2375" spans="2:15" ht="26.25" customHeight="1" x14ac:dyDescent="0.25">
      <c r="B2375" s="130"/>
      <c r="C2375" s="135"/>
      <c r="D2375" s="177"/>
      <c r="E2375" s="178"/>
      <c r="F2375" s="178"/>
      <c r="G2375" s="340"/>
      <c r="H2375" s="340"/>
      <c r="I2375" s="179"/>
      <c r="J2375" s="344"/>
      <c r="K2375" s="345"/>
      <c r="L2375" s="346"/>
      <c r="M2375" s="347"/>
      <c r="N2375" s="347"/>
      <c r="O2375" s="132"/>
    </row>
    <row r="2376" spans="2:15" ht="26.25" customHeight="1" x14ac:dyDescent="0.25">
      <c r="B2376" s="130"/>
      <c r="C2376" s="135"/>
      <c r="D2376" s="177"/>
      <c r="E2376" s="178"/>
      <c r="F2376" s="178"/>
      <c r="G2376" s="340"/>
      <c r="H2376" s="340"/>
      <c r="I2376" s="179"/>
      <c r="J2376" s="344"/>
      <c r="K2376" s="345"/>
      <c r="L2376" s="346"/>
      <c r="M2376" s="347"/>
      <c r="N2376" s="347"/>
      <c r="O2376" s="132"/>
    </row>
    <row r="2377" spans="2:15" ht="26.25" customHeight="1" x14ac:dyDescent="0.25">
      <c r="B2377" s="130"/>
      <c r="C2377" s="135"/>
      <c r="D2377" s="177"/>
      <c r="E2377" s="178"/>
      <c r="F2377" s="178"/>
      <c r="G2377" s="340"/>
      <c r="H2377" s="340"/>
      <c r="I2377" s="179"/>
      <c r="J2377" s="344"/>
      <c r="K2377" s="345"/>
      <c r="L2377" s="346"/>
      <c r="M2377" s="347"/>
      <c r="N2377" s="347"/>
      <c r="O2377" s="132"/>
    </row>
    <row r="2378" spans="2:15" ht="26.25" customHeight="1" x14ac:dyDescent="0.25">
      <c r="B2378" s="130"/>
      <c r="C2378" s="135"/>
      <c r="D2378" s="177"/>
      <c r="E2378" s="178"/>
      <c r="F2378" s="178"/>
      <c r="G2378" s="340"/>
      <c r="H2378" s="340"/>
      <c r="I2378" s="179"/>
      <c r="J2378" s="344"/>
      <c r="K2378" s="345"/>
      <c r="L2378" s="346"/>
      <c r="M2378" s="347"/>
      <c r="N2378" s="347"/>
      <c r="O2378" s="132"/>
    </row>
    <row r="2379" spans="2:15" ht="26.25" customHeight="1" x14ac:dyDescent="0.25">
      <c r="B2379" s="130"/>
      <c r="C2379" s="135"/>
      <c r="D2379" s="177"/>
      <c r="E2379" s="178"/>
      <c r="F2379" s="178"/>
      <c r="G2379" s="340"/>
      <c r="H2379" s="340"/>
      <c r="I2379" s="179"/>
      <c r="J2379" s="344"/>
      <c r="K2379" s="345"/>
      <c r="L2379" s="346"/>
      <c r="M2379" s="347"/>
      <c r="N2379" s="347"/>
      <c r="O2379" s="132"/>
    </row>
    <row r="2380" spans="2:15" ht="26.25" customHeight="1" x14ac:dyDescent="0.25">
      <c r="B2380" s="130"/>
      <c r="C2380" s="135"/>
      <c r="D2380" s="177"/>
      <c r="E2380" s="178"/>
      <c r="F2380" s="178"/>
      <c r="G2380" s="340"/>
      <c r="H2380" s="340"/>
      <c r="I2380" s="179"/>
      <c r="J2380" s="344"/>
      <c r="K2380" s="345"/>
      <c r="L2380" s="346"/>
      <c r="M2380" s="347"/>
      <c r="N2380" s="347"/>
      <c r="O2380" s="132"/>
    </row>
    <row r="2381" spans="2:15" ht="26.25" customHeight="1" x14ac:dyDescent="0.25">
      <c r="B2381" s="130"/>
      <c r="C2381" s="135"/>
      <c r="D2381" s="177"/>
      <c r="E2381" s="178"/>
      <c r="F2381" s="178"/>
      <c r="G2381" s="340"/>
      <c r="H2381" s="340"/>
      <c r="I2381" s="179"/>
      <c r="J2381" s="344"/>
      <c r="K2381" s="345"/>
      <c r="L2381" s="346"/>
      <c r="M2381" s="347"/>
      <c r="N2381" s="347"/>
      <c r="O2381" s="132"/>
    </row>
    <row r="2382" spans="2:15" ht="26.25" customHeight="1" x14ac:dyDescent="0.25">
      <c r="B2382" s="130"/>
      <c r="C2382" s="135"/>
      <c r="D2382" s="177"/>
      <c r="E2382" s="178"/>
      <c r="F2382" s="178"/>
      <c r="G2382" s="340"/>
      <c r="H2382" s="340"/>
      <c r="I2382" s="179"/>
      <c r="J2382" s="344"/>
      <c r="K2382" s="345"/>
      <c r="L2382" s="346"/>
      <c r="M2382" s="347"/>
      <c r="N2382" s="347"/>
      <c r="O2382" s="132"/>
    </row>
    <row r="2383" spans="2:15" ht="26.25" customHeight="1" x14ac:dyDescent="0.25">
      <c r="B2383" s="130"/>
      <c r="C2383" s="135"/>
      <c r="D2383" s="177"/>
      <c r="E2383" s="178"/>
      <c r="F2383" s="178"/>
      <c r="G2383" s="340"/>
      <c r="H2383" s="340"/>
      <c r="I2383" s="179"/>
      <c r="J2383" s="344"/>
      <c r="K2383" s="345"/>
      <c r="L2383" s="346"/>
      <c r="M2383" s="347"/>
      <c r="N2383" s="347"/>
      <c r="O2383" s="132"/>
    </row>
    <row r="2384" spans="2:15" ht="26.25" customHeight="1" x14ac:dyDescent="0.25">
      <c r="B2384" s="130"/>
      <c r="C2384" s="135"/>
      <c r="D2384" s="177"/>
      <c r="E2384" s="178"/>
      <c r="F2384" s="178"/>
      <c r="G2384" s="340"/>
      <c r="H2384" s="340"/>
      <c r="I2384" s="179"/>
      <c r="J2384" s="344"/>
      <c r="K2384" s="345"/>
      <c r="L2384" s="346"/>
      <c r="M2384" s="347"/>
      <c r="N2384" s="347"/>
      <c r="O2384" s="132"/>
    </row>
    <row r="2385" spans="2:15" ht="26.25" customHeight="1" x14ac:dyDescent="0.25">
      <c r="B2385" s="130"/>
      <c r="C2385" s="135"/>
      <c r="D2385" s="177"/>
      <c r="E2385" s="178"/>
      <c r="F2385" s="178"/>
      <c r="G2385" s="340"/>
      <c r="H2385" s="340"/>
      <c r="I2385" s="179"/>
      <c r="J2385" s="344"/>
      <c r="K2385" s="345"/>
      <c r="L2385" s="346"/>
      <c r="M2385" s="347"/>
      <c r="N2385" s="347"/>
      <c r="O2385" s="132"/>
    </row>
    <row r="2386" spans="2:15" ht="26.25" customHeight="1" x14ac:dyDescent="0.25">
      <c r="B2386" s="130"/>
      <c r="C2386" s="135"/>
      <c r="D2386" s="177"/>
      <c r="E2386" s="178"/>
      <c r="F2386" s="178"/>
      <c r="G2386" s="340"/>
      <c r="H2386" s="340"/>
      <c r="I2386" s="179"/>
      <c r="J2386" s="344"/>
      <c r="K2386" s="345"/>
      <c r="L2386" s="346"/>
      <c r="M2386" s="347"/>
      <c r="N2386" s="347"/>
      <c r="O2386" s="132"/>
    </row>
    <row r="2387" spans="2:15" ht="26.25" customHeight="1" x14ac:dyDescent="0.25">
      <c r="B2387" s="130"/>
      <c r="C2387" s="135"/>
      <c r="D2387" s="177"/>
      <c r="E2387" s="178"/>
      <c r="F2387" s="178"/>
      <c r="G2387" s="340"/>
      <c r="H2387" s="340"/>
      <c r="I2387" s="179"/>
      <c r="J2387" s="344"/>
      <c r="K2387" s="345"/>
      <c r="L2387" s="346"/>
      <c r="M2387" s="347"/>
      <c r="N2387" s="347"/>
      <c r="O2387" s="132"/>
    </row>
    <row r="2388" spans="2:15" ht="26.25" customHeight="1" x14ac:dyDescent="0.25">
      <c r="B2388" s="130"/>
      <c r="C2388" s="135"/>
      <c r="D2388" s="177"/>
      <c r="E2388" s="178"/>
      <c r="F2388" s="178"/>
      <c r="G2388" s="340"/>
      <c r="H2388" s="340"/>
      <c r="I2388" s="179"/>
      <c r="J2388" s="344"/>
      <c r="K2388" s="345"/>
      <c r="L2388" s="346"/>
      <c r="M2388" s="347"/>
      <c r="N2388" s="347"/>
      <c r="O2388" s="132"/>
    </row>
    <row r="2389" spans="2:15" ht="26.25" customHeight="1" x14ac:dyDescent="0.25">
      <c r="B2389" s="130"/>
      <c r="C2389" s="135"/>
      <c r="D2389" s="177"/>
      <c r="E2389" s="178"/>
      <c r="F2389" s="178"/>
      <c r="G2389" s="340"/>
      <c r="H2389" s="340"/>
      <c r="I2389" s="179"/>
      <c r="J2389" s="344"/>
      <c r="K2389" s="345"/>
      <c r="L2389" s="346"/>
      <c r="M2389" s="347"/>
      <c r="N2389" s="347"/>
      <c r="O2389" s="132"/>
    </row>
    <row r="2390" spans="2:15" ht="26.25" customHeight="1" x14ac:dyDescent="0.25">
      <c r="B2390" s="130"/>
      <c r="C2390" s="135"/>
      <c r="D2390" s="177"/>
      <c r="E2390" s="178"/>
      <c r="F2390" s="178"/>
      <c r="G2390" s="340"/>
      <c r="H2390" s="340"/>
      <c r="I2390" s="179"/>
      <c r="J2390" s="344"/>
      <c r="K2390" s="345"/>
      <c r="L2390" s="346"/>
      <c r="M2390" s="347"/>
      <c r="N2390" s="347"/>
      <c r="O2390" s="132"/>
    </row>
    <row r="2391" spans="2:15" ht="26.25" customHeight="1" x14ac:dyDescent="0.25">
      <c r="B2391" s="130"/>
      <c r="C2391" s="135"/>
      <c r="D2391" s="177"/>
      <c r="E2391" s="178"/>
      <c r="F2391" s="178"/>
      <c r="G2391" s="340"/>
      <c r="H2391" s="340"/>
      <c r="I2391" s="179"/>
      <c r="J2391" s="344"/>
      <c r="K2391" s="345"/>
      <c r="L2391" s="346"/>
      <c r="M2391" s="347"/>
      <c r="N2391" s="347"/>
      <c r="O2391" s="132"/>
    </row>
    <row r="2392" spans="2:15" ht="26.25" customHeight="1" x14ac:dyDescent="0.25">
      <c r="B2392" s="130"/>
      <c r="C2392" s="135"/>
      <c r="D2392" s="177"/>
      <c r="E2392" s="178"/>
      <c r="F2392" s="178"/>
      <c r="G2392" s="340"/>
      <c r="H2392" s="340"/>
      <c r="I2392" s="179"/>
      <c r="J2392" s="344"/>
      <c r="K2392" s="345"/>
      <c r="L2392" s="346"/>
      <c r="M2392" s="347"/>
      <c r="N2392" s="347"/>
      <c r="O2392" s="132"/>
    </row>
    <row r="2393" spans="2:15" ht="26.25" customHeight="1" x14ac:dyDescent="0.25">
      <c r="B2393" s="130"/>
      <c r="C2393" s="135"/>
      <c r="D2393" s="177"/>
      <c r="E2393" s="178"/>
      <c r="F2393" s="178"/>
      <c r="G2393" s="340"/>
      <c r="H2393" s="340"/>
      <c r="I2393" s="179"/>
      <c r="J2393" s="344"/>
      <c r="K2393" s="345"/>
      <c r="L2393" s="346"/>
      <c r="M2393" s="347"/>
      <c r="N2393" s="347"/>
      <c r="O2393" s="132"/>
    </row>
    <row r="2394" spans="2:15" ht="26.25" customHeight="1" x14ac:dyDescent="0.25">
      <c r="B2394" s="130"/>
      <c r="C2394" s="135"/>
      <c r="D2394" s="177"/>
      <c r="E2394" s="178"/>
      <c r="F2394" s="178"/>
      <c r="G2394" s="340"/>
      <c r="H2394" s="340"/>
      <c r="I2394" s="179"/>
      <c r="J2394" s="344"/>
      <c r="K2394" s="345"/>
      <c r="L2394" s="346"/>
      <c r="M2394" s="347"/>
      <c r="N2394" s="347"/>
      <c r="O2394" s="132"/>
    </row>
    <row r="2395" spans="2:15" ht="26.25" customHeight="1" x14ac:dyDescent="0.25">
      <c r="B2395" s="130"/>
      <c r="C2395" s="135"/>
      <c r="D2395" s="177"/>
      <c r="E2395" s="178"/>
      <c r="F2395" s="178"/>
      <c r="G2395" s="340"/>
      <c r="H2395" s="340"/>
      <c r="I2395" s="179"/>
      <c r="J2395" s="344"/>
      <c r="K2395" s="345"/>
      <c r="L2395" s="346"/>
      <c r="M2395" s="347"/>
      <c r="N2395" s="347"/>
      <c r="O2395" s="132"/>
    </row>
    <row r="2396" spans="2:15" ht="26.25" customHeight="1" x14ac:dyDescent="0.25">
      <c r="B2396" s="130"/>
      <c r="C2396" s="135"/>
      <c r="D2396" s="177"/>
      <c r="E2396" s="178"/>
      <c r="F2396" s="178"/>
      <c r="G2396" s="340"/>
      <c r="H2396" s="340"/>
      <c r="I2396" s="179"/>
      <c r="J2396" s="344"/>
      <c r="K2396" s="345"/>
      <c r="L2396" s="346"/>
      <c r="M2396" s="347"/>
      <c r="N2396" s="347"/>
      <c r="O2396" s="132"/>
    </row>
    <row r="2397" spans="2:15" ht="26.25" customHeight="1" x14ac:dyDescent="0.25">
      <c r="B2397" s="130"/>
      <c r="C2397" s="135"/>
      <c r="D2397" s="177"/>
      <c r="E2397" s="178"/>
      <c r="F2397" s="178"/>
      <c r="G2397" s="340"/>
      <c r="H2397" s="340"/>
      <c r="I2397" s="179"/>
      <c r="J2397" s="344"/>
      <c r="K2397" s="345"/>
      <c r="L2397" s="346"/>
      <c r="M2397" s="347"/>
      <c r="N2397" s="347"/>
      <c r="O2397" s="132"/>
    </row>
    <row r="2398" spans="2:15" ht="26.25" customHeight="1" x14ac:dyDescent="0.25">
      <c r="B2398" s="130"/>
      <c r="C2398" s="135"/>
      <c r="D2398" s="177"/>
      <c r="E2398" s="178"/>
      <c r="F2398" s="178"/>
      <c r="G2398" s="340"/>
      <c r="H2398" s="340"/>
      <c r="I2398" s="179"/>
      <c r="J2398" s="344"/>
      <c r="K2398" s="345"/>
      <c r="L2398" s="346"/>
      <c r="M2398" s="347"/>
      <c r="N2398" s="347"/>
      <c r="O2398" s="132"/>
    </row>
    <row r="2399" spans="2:15" ht="26.25" customHeight="1" x14ac:dyDescent="0.25">
      <c r="B2399" s="130"/>
      <c r="C2399" s="135"/>
      <c r="D2399" s="177"/>
      <c r="E2399" s="178"/>
      <c r="F2399" s="178"/>
      <c r="G2399" s="340"/>
      <c r="H2399" s="340"/>
      <c r="I2399" s="179"/>
      <c r="J2399" s="344"/>
      <c r="K2399" s="345"/>
      <c r="L2399" s="346"/>
      <c r="M2399" s="347"/>
      <c r="N2399" s="347"/>
      <c r="O2399" s="132"/>
    </row>
    <row r="2400" spans="2:15" ht="26.25" customHeight="1" x14ac:dyDescent="0.25">
      <c r="B2400" s="130"/>
      <c r="C2400" s="135"/>
      <c r="D2400" s="177"/>
      <c r="E2400" s="178"/>
      <c r="F2400" s="178"/>
      <c r="G2400" s="340"/>
      <c r="H2400" s="340"/>
      <c r="I2400" s="179"/>
      <c r="J2400" s="344"/>
      <c r="K2400" s="345"/>
      <c r="L2400" s="346"/>
      <c r="M2400" s="347"/>
      <c r="N2400" s="347"/>
      <c r="O2400" s="132"/>
    </row>
    <row r="2401" spans="2:15" ht="26.25" customHeight="1" x14ac:dyDescent="0.25">
      <c r="B2401" s="130"/>
      <c r="C2401" s="135"/>
      <c r="D2401" s="177"/>
      <c r="E2401" s="178"/>
      <c r="F2401" s="178"/>
      <c r="G2401" s="340"/>
      <c r="H2401" s="340"/>
      <c r="I2401" s="179"/>
      <c r="J2401" s="344"/>
      <c r="K2401" s="345"/>
      <c r="L2401" s="346"/>
      <c r="M2401" s="347"/>
      <c r="N2401" s="347"/>
      <c r="O2401" s="132"/>
    </row>
    <row r="2402" spans="2:15" ht="26.25" customHeight="1" x14ac:dyDescent="0.25">
      <c r="B2402" s="130"/>
      <c r="C2402" s="135"/>
      <c r="D2402" s="177"/>
      <c r="E2402" s="178"/>
      <c r="F2402" s="178"/>
      <c r="G2402" s="340"/>
      <c r="H2402" s="340"/>
      <c r="I2402" s="179"/>
      <c r="J2402" s="344"/>
      <c r="K2402" s="345"/>
      <c r="L2402" s="346"/>
      <c r="M2402" s="347"/>
      <c r="N2402" s="347"/>
      <c r="O2402" s="132"/>
    </row>
    <row r="2403" spans="2:15" ht="26.25" customHeight="1" x14ac:dyDescent="0.25">
      <c r="B2403" s="130"/>
      <c r="C2403" s="135"/>
      <c r="D2403" s="177"/>
      <c r="E2403" s="178"/>
      <c r="F2403" s="178"/>
      <c r="G2403" s="340"/>
      <c r="H2403" s="340"/>
      <c r="I2403" s="179"/>
      <c r="J2403" s="344"/>
      <c r="K2403" s="345"/>
      <c r="L2403" s="346"/>
      <c r="M2403" s="347"/>
      <c r="N2403" s="347"/>
      <c r="O2403" s="132"/>
    </row>
    <row r="2404" spans="2:15" ht="26.25" customHeight="1" x14ac:dyDescent="0.25">
      <c r="B2404" s="130"/>
      <c r="C2404" s="135"/>
      <c r="D2404" s="177"/>
      <c r="E2404" s="178"/>
      <c r="F2404" s="178"/>
      <c r="G2404" s="340"/>
      <c r="H2404" s="340"/>
      <c r="I2404" s="179"/>
      <c r="J2404" s="344"/>
      <c r="K2404" s="345"/>
      <c r="L2404" s="346"/>
      <c r="M2404" s="347"/>
      <c r="N2404" s="347"/>
      <c r="O2404" s="132"/>
    </row>
    <row r="2405" spans="2:15" ht="26.25" customHeight="1" x14ac:dyDescent="0.25">
      <c r="B2405" s="130"/>
      <c r="C2405" s="135"/>
      <c r="D2405" s="177"/>
      <c r="E2405" s="178"/>
      <c r="F2405" s="178"/>
      <c r="G2405" s="340"/>
      <c r="H2405" s="340"/>
      <c r="I2405" s="179"/>
      <c r="J2405" s="344"/>
      <c r="K2405" s="345"/>
      <c r="L2405" s="346"/>
      <c r="M2405" s="347"/>
      <c r="N2405" s="347"/>
      <c r="O2405" s="132"/>
    </row>
    <row r="2406" spans="2:15" ht="26.25" customHeight="1" x14ac:dyDescent="0.25">
      <c r="B2406" s="130"/>
      <c r="C2406" s="135"/>
      <c r="D2406" s="177"/>
      <c r="E2406" s="178"/>
      <c r="F2406" s="178"/>
      <c r="G2406" s="340"/>
      <c r="H2406" s="340"/>
      <c r="I2406" s="179"/>
      <c r="J2406" s="344"/>
      <c r="K2406" s="345"/>
      <c r="L2406" s="346"/>
      <c r="M2406" s="347"/>
      <c r="N2406" s="347"/>
      <c r="O2406" s="132"/>
    </row>
    <row r="2407" spans="2:15" ht="26.25" customHeight="1" x14ac:dyDescent="0.25">
      <c r="B2407" s="130"/>
      <c r="C2407" s="135"/>
      <c r="D2407" s="177"/>
      <c r="E2407" s="178"/>
      <c r="F2407" s="178"/>
      <c r="G2407" s="340"/>
      <c r="H2407" s="340"/>
      <c r="I2407" s="179"/>
      <c r="J2407" s="344"/>
      <c r="K2407" s="345"/>
      <c r="L2407" s="346"/>
      <c r="M2407" s="347"/>
      <c r="N2407" s="347"/>
      <c r="O2407" s="132"/>
    </row>
    <row r="2408" spans="2:15" ht="26.25" customHeight="1" x14ac:dyDescent="0.25">
      <c r="B2408" s="130"/>
      <c r="C2408" s="135"/>
      <c r="D2408" s="177"/>
      <c r="E2408" s="178"/>
      <c r="F2408" s="178"/>
      <c r="G2408" s="340"/>
      <c r="H2408" s="340"/>
      <c r="I2408" s="179"/>
      <c r="J2408" s="344"/>
      <c r="K2408" s="345"/>
      <c r="L2408" s="346"/>
      <c r="M2408" s="347"/>
      <c r="N2408" s="347"/>
      <c r="O2408" s="132"/>
    </row>
    <row r="2409" spans="2:15" ht="26.25" customHeight="1" x14ac:dyDescent="0.25">
      <c r="B2409" s="130"/>
      <c r="C2409" s="135"/>
      <c r="D2409" s="177"/>
      <c r="E2409" s="178"/>
      <c r="F2409" s="178"/>
      <c r="G2409" s="340"/>
      <c r="H2409" s="340"/>
      <c r="I2409" s="179"/>
      <c r="J2409" s="344"/>
      <c r="K2409" s="345"/>
      <c r="L2409" s="346"/>
      <c r="M2409" s="347"/>
      <c r="N2409" s="347"/>
      <c r="O2409" s="132"/>
    </row>
    <row r="2410" spans="2:15" ht="26.25" customHeight="1" x14ac:dyDescent="0.25">
      <c r="B2410" s="130"/>
      <c r="C2410" s="135"/>
      <c r="D2410" s="177"/>
      <c r="E2410" s="178"/>
      <c r="F2410" s="178"/>
      <c r="G2410" s="340"/>
      <c r="H2410" s="340"/>
      <c r="I2410" s="179"/>
      <c r="J2410" s="344"/>
      <c r="K2410" s="345"/>
      <c r="L2410" s="346"/>
      <c r="M2410" s="347"/>
      <c r="N2410" s="347"/>
      <c r="O2410" s="132"/>
    </row>
    <row r="2411" spans="2:15" ht="26.25" customHeight="1" x14ac:dyDescent="0.25">
      <c r="B2411" s="130"/>
      <c r="C2411" s="135"/>
      <c r="D2411" s="177"/>
      <c r="E2411" s="178"/>
      <c r="F2411" s="178"/>
      <c r="G2411" s="340"/>
      <c r="H2411" s="340"/>
      <c r="I2411" s="179"/>
      <c r="J2411" s="344"/>
      <c r="K2411" s="345"/>
      <c r="L2411" s="346"/>
      <c r="M2411" s="347"/>
      <c r="N2411" s="347"/>
      <c r="O2411" s="132"/>
    </row>
    <row r="2412" spans="2:15" ht="26.25" customHeight="1" x14ac:dyDescent="0.25">
      <c r="B2412" s="130"/>
      <c r="C2412" s="135"/>
      <c r="D2412" s="177"/>
      <c r="E2412" s="178"/>
      <c r="F2412" s="178"/>
      <c r="G2412" s="340"/>
      <c r="H2412" s="340"/>
      <c r="I2412" s="179"/>
      <c r="J2412" s="344"/>
      <c r="K2412" s="345"/>
      <c r="L2412" s="346"/>
      <c r="M2412" s="347"/>
      <c r="N2412" s="347"/>
      <c r="O2412" s="132"/>
    </row>
    <row r="2413" spans="2:15" ht="26.25" customHeight="1" x14ac:dyDescent="0.25">
      <c r="B2413" s="130"/>
      <c r="C2413" s="135"/>
      <c r="D2413" s="177"/>
      <c r="E2413" s="178"/>
      <c r="F2413" s="178"/>
      <c r="G2413" s="340"/>
      <c r="H2413" s="340"/>
      <c r="I2413" s="179"/>
      <c r="J2413" s="344"/>
      <c r="K2413" s="345"/>
      <c r="L2413" s="346"/>
      <c r="M2413" s="347"/>
      <c r="N2413" s="347"/>
      <c r="O2413" s="132"/>
    </row>
    <row r="2414" spans="2:15" ht="26.25" customHeight="1" x14ac:dyDescent="0.25">
      <c r="B2414" s="130"/>
      <c r="C2414" s="135"/>
      <c r="D2414" s="177"/>
      <c r="E2414" s="178"/>
      <c r="F2414" s="178"/>
      <c r="G2414" s="340"/>
      <c r="H2414" s="340"/>
      <c r="I2414" s="179"/>
      <c r="J2414" s="344"/>
      <c r="K2414" s="345"/>
      <c r="L2414" s="346"/>
      <c r="M2414" s="347"/>
      <c r="N2414" s="347"/>
      <c r="O2414" s="132"/>
    </row>
    <row r="2415" spans="2:15" ht="26.25" customHeight="1" x14ac:dyDescent="0.25">
      <c r="B2415" s="130"/>
      <c r="C2415" s="135"/>
      <c r="D2415" s="177"/>
      <c r="E2415" s="178"/>
      <c r="F2415" s="178"/>
      <c r="G2415" s="340"/>
      <c r="H2415" s="340"/>
      <c r="I2415" s="179"/>
      <c r="J2415" s="344"/>
      <c r="K2415" s="345"/>
      <c r="L2415" s="346"/>
      <c r="M2415" s="347"/>
      <c r="N2415" s="347"/>
      <c r="O2415" s="132"/>
    </row>
    <row r="2416" spans="2:15" ht="26.25" customHeight="1" x14ac:dyDescent="0.25">
      <c r="B2416" s="130"/>
      <c r="C2416" s="135"/>
      <c r="D2416" s="177"/>
      <c r="E2416" s="178"/>
      <c r="F2416" s="178"/>
      <c r="G2416" s="340"/>
      <c r="H2416" s="340"/>
      <c r="I2416" s="179"/>
      <c r="J2416" s="344"/>
      <c r="K2416" s="345"/>
      <c r="L2416" s="346"/>
      <c r="M2416" s="347"/>
      <c r="N2416" s="347"/>
      <c r="O2416" s="132"/>
    </row>
    <row r="2417" spans="2:15" ht="26.25" customHeight="1" x14ac:dyDescent="0.25">
      <c r="B2417" s="130"/>
      <c r="C2417" s="135"/>
      <c r="D2417" s="177"/>
      <c r="E2417" s="178"/>
      <c r="F2417" s="178"/>
      <c r="G2417" s="340"/>
      <c r="H2417" s="340"/>
      <c r="I2417" s="179"/>
      <c r="J2417" s="344"/>
      <c r="K2417" s="345"/>
      <c r="L2417" s="346"/>
      <c r="M2417" s="347"/>
      <c r="N2417" s="347"/>
      <c r="O2417" s="132"/>
    </row>
    <row r="2418" spans="2:15" ht="26.25" customHeight="1" x14ac:dyDescent="0.25">
      <c r="B2418" s="130"/>
      <c r="C2418" s="135"/>
      <c r="D2418" s="177"/>
      <c r="E2418" s="178"/>
      <c r="F2418" s="178"/>
      <c r="G2418" s="340"/>
      <c r="H2418" s="340"/>
      <c r="I2418" s="179"/>
      <c r="J2418" s="344"/>
      <c r="K2418" s="345"/>
      <c r="L2418" s="346"/>
      <c r="M2418" s="347"/>
      <c r="N2418" s="347"/>
      <c r="O2418" s="132"/>
    </row>
    <row r="2419" spans="2:15" ht="26.25" customHeight="1" x14ac:dyDescent="0.25">
      <c r="B2419" s="130"/>
      <c r="C2419" s="135"/>
      <c r="D2419" s="177"/>
      <c r="E2419" s="178"/>
      <c r="F2419" s="178"/>
      <c r="G2419" s="340"/>
      <c r="H2419" s="340"/>
      <c r="I2419" s="179"/>
      <c r="J2419" s="344"/>
      <c r="K2419" s="345"/>
      <c r="L2419" s="346"/>
      <c r="M2419" s="347"/>
      <c r="N2419" s="347"/>
      <c r="O2419" s="132"/>
    </row>
    <row r="2420" spans="2:15" ht="26.25" customHeight="1" x14ac:dyDescent="0.25">
      <c r="B2420" s="130"/>
      <c r="C2420" s="135"/>
      <c r="D2420" s="177"/>
      <c r="E2420" s="178"/>
      <c r="F2420" s="178"/>
      <c r="G2420" s="340"/>
      <c r="H2420" s="340"/>
      <c r="I2420" s="179"/>
      <c r="J2420" s="344"/>
      <c r="K2420" s="345"/>
      <c r="L2420" s="346"/>
      <c r="M2420" s="347"/>
      <c r="N2420" s="347"/>
      <c r="O2420" s="132"/>
    </row>
    <row r="2421" spans="2:15" ht="26.25" customHeight="1" x14ac:dyDescent="0.25">
      <c r="B2421" s="130"/>
      <c r="C2421" s="135"/>
      <c r="D2421" s="177"/>
      <c r="E2421" s="178"/>
      <c r="F2421" s="178"/>
      <c r="G2421" s="340"/>
      <c r="H2421" s="340"/>
      <c r="I2421" s="179"/>
      <c r="J2421" s="344"/>
      <c r="K2421" s="345"/>
      <c r="L2421" s="346"/>
      <c r="M2421" s="347"/>
      <c r="N2421" s="347"/>
      <c r="O2421" s="132"/>
    </row>
    <row r="2422" spans="2:15" ht="26.25" customHeight="1" x14ac:dyDescent="0.25">
      <c r="B2422" s="130"/>
      <c r="C2422" s="135"/>
      <c r="D2422" s="177"/>
      <c r="E2422" s="178"/>
      <c r="F2422" s="178"/>
      <c r="G2422" s="340"/>
      <c r="H2422" s="340"/>
      <c r="I2422" s="179"/>
      <c r="J2422" s="344"/>
      <c r="K2422" s="345"/>
      <c r="L2422" s="346"/>
      <c r="M2422" s="347"/>
      <c r="N2422" s="347"/>
      <c r="O2422" s="132"/>
    </row>
    <row r="2423" spans="2:15" ht="26.25" customHeight="1" x14ac:dyDescent="0.25">
      <c r="B2423" s="130"/>
      <c r="C2423" s="135"/>
      <c r="D2423" s="177"/>
      <c r="E2423" s="178"/>
      <c r="F2423" s="178"/>
      <c r="G2423" s="340"/>
      <c r="H2423" s="340"/>
      <c r="I2423" s="179"/>
      <c r="J2423" s="344"/>
      <c r="K2423" s="345"/>
      <c r="L2423" s="346"/>
      <c r="M2423" s="347"/>
      <c r="N2423" s="347"/>
      <c r="O2423" s="132"/>
    </row>
    <row r="2424" spans="2:15" ht="26.25" customHeight="1" x14ac:dyDescent="0.25">
      <c r="B2424" s="130"/>
      <c r="C2424" s="135"/>
      <c r="D2424" s="177"/>
      <c r="E2424" s="178"/>
      <c r="F2424" s="178"/>
      <c r="G2424" s="340"/>
      <c r="H2424" s="340"/>
      <c r="I2424" s="179"/>
      <c r="J2424" s="344"/>
      <c r="K2424" s="345"/>
      <c r="L2424" s="346"/>
      <c r="M2424" s="347"/>
      <c r="N2424" s="347"/>
      <c r="O2424" s="132"/>
    </row>
    <row r="2425" spans="2:15" ht="26.25" customHeight="1" x14ac:dyDescent="0.25">
      <c r="B2425" s="130"/>
      <c r="C2425" s="135"/>
      <c r="D2425" s="177"/>
      <c r="E2425" s="178"/>
      <c r="F2425" s="178"/>
      <c r="G2425" s="340"/>
      <c r="H2425" s="340"/>
      <c r="I2425" s="179"/>
      <c r="J2425" s="344"/>
      <c r="K2425" s="345"/>
      <c r="L2425" s="346"/>
      <c r="M2425" s="347"/>
      <c r="N2425" s="347"/>
      <c r="O2425" s="132"/>
    </row>
    <row r="2426" spans="2:15" ht="26.25" customHeight="1" x14ac:dyDescent="0.25">
      <c r="B2426" s="130"/>
      <c r="C2426" s="135"/>
      <c r="D2426" s="177"/>
      <c r="E2426" s="178"/>
      <c r="F2426" s="178"/>
      <c r="G2426" s="340"/>
      <c r="H2426" s="340"/>
      <c r="I2426" s="179"/>
      <c r="J2426" s="344"/>
      <c r="K2426" s="345"/>
      <c r="L2426" s="346"/>
      <c r="M2426" s="347"/>
      <c r="N2426" s="347"/>
      <c r="O2426" s="132"/>
    </row>
    <row r="2427" spans="2:15" ht="26.25" customHeight="1" x14ac:dyDescent="0.25">
      <c r="B2427" s="130"/>
      <c r="C2427" s="135"/>
      <c r="D2427" s="177"/>
      <c r="E2427" s="178"/>
      <c r="F2427" s="178"/>
      <c r="G2427" s="340"/>
      <c r="H2427" s="340"/>
      <c r="I2427" s="179"/>
      <c r="J2427" s="344"/>
      <c r="K2427" s="345"/>
      <c r="L2427" s="346"/>
      <c r="M2427" s="347"/>
      <c r="N2427" s="347"/>
      <c r="O2427" s="132"/>
    </row>
    <row r="2428" spans="2:15" ht="26.25" customHeight="1" x14ac:dyDescent="0.25">
      <c r="B2428" s="130"/>
      <c r="C2428" s="135"/>
      <c r="D2428" s="177"/>
      <c r="E2428" s="178"/>
      <c r="F2428" s="178"/>
      <c r="G2428" s="340"/>
      <c r="H2428" s="340"/>
      <c r="I2428" s="179"/>
      <c r="J2428" s="344"/>
      <c r="K2428" s="345"/>
      <c r="L2428" s="346"/>
      <c r="M2428" s="347"/>
      <c r="N2428" s="347"/>
      <c r="O2428" s="132"/>
    </row>
    <row r="2429" spans="2:15" ht="26.25" customHeight="1" x14ac:dyDescent="0.25">
      <c r="B2429" s="130"/>
      <c r="C2429" s="135"/>
      <c r="D2429" s="177"/>
      <c r="E2429" s="178"/>
      <c r="F2429" s="178"/>
      <c r="G2429" s="340"/>
      <c r="H2429" s="340"/>
      <c r="I2429" s="179"/>
      <c r="J2429" s="344"/>
      <c r="K2429" s="345"/>
      <c r="L2429" s="346"/>
      <c r="M2429" s="347"/>
      <c r="N2429" s="347"/>
      <c r="O2429" s="132"/>
    </row>
    <row r="2430" spans="2:15" ht="26.25" customHeight="1" x14ac:dyDescent="0.25">
      <c r="B2430" s="130"/>
      <c r="C2430" s="135"/>
      <c r="D2430" s="177"/>
      <c r="E2430" s="178"/>
      <c r="F2430" s="178"/>
      <c r="G2430" s="340"/>
      <c r="H2430" s="340"/>
      <c r="I2430" s="179"/>
      <c r="J2430" s="344"/>
      <c r="K2430" s="345"/>
      <c r="L2430" s="346"/>
      <c r="M2430" s="347"/>
      <c r="N2430" s="347"/>
      <c r="O2430" s="132"/>
    </row>
    <row r="2431" spans="2:15" ht="26.25" customHeight="1" x14ac:dyDescent="0.25">
      <c r="B2431" s="130"/>
      <c r="C2431" s="135"/>
      <c r="D2431" s="177"/>
      <c r="E2431" s="178"/>
      <c r="F2431" s="178"/>
      <c r="G2431" s="340"/>
      <c r="H2431" s="340"/>
      <c r="I2431" s="179"/>
      <c r="J2431" s="344"/>
      <c r="K2431" s="345"/>
      <c r="L2431" s="346"/>
      <c r="M2431" s="347"/>
      <c r="N2431" s="347"/>
      <c r="O2431" s="132"/>
    </row>
    <row r="2432" spans="2:15" ht="26.25" customHeight="1" x14ac:dyDescent="0.25">
      <c r="B2432" s="130"/>
      <c r="C2432" s="135"/>
      <c r="D2432" s="177"/>
      <c r="E2432" s="178"/>
      <c r="F2432" s="178"/>
      <c r="G2432" s="340"/>
      <c r="H2432" s="340"/>
      <c r="I2432" s="179"/>
      <c r="J2432" s="344"/>
      <c r="K2432" s="345"/>
      <c r="L2432" s="346"/>
      <c r="M2432" s="347"/>
      <c r="N2432" s="347"/>
      <c r="O2432" s="132"/>
    </row>
    <row r="2433" spans="2:15" ht="26.25" customHeight="1" x14ac:dyDescent="0.25">
      <c r="B2433" s="130"/>
      <c r="C2433" s="135"/>
      <c r="D2433" s="177"/>
      <c r="E2433" s="178"/>
      <c r="F2433" s="178"/>
      <c r="G2433" s="340"/>
      <c r="H2433" s="340"/>
      <c r="I2433" s="179"/>
      <c r="J2433" s="344"/>
      <c r="K2433" s="345"/>
      <c r="L2433" s="346"/>
      <c r="M2433" s="347"/>
      <c r="N2433" s="347"/>
      <c r="O2433" s="132"/>
    </row>
    <row r="2434" spans="2:15" ht="26.25" customHeight="1" x14ac:dyDescent="0.25">
      <c r="B2434" s="130"/>
      <c r="C2434" s="135"/>
      <c r="D2434" s="177"/>
      <c r="E2434" s="178"/>
      <c r="F2434" s="178"/>
      <c r="G2434" s="340"/>
      <c r="H2434" s="340"/>
      <c r="I2434" s="179"/>
      <c r="J2434" s="344"/>
      <c r="K2434" s="345"/>
      <c r="L2434" s="346"/>
      <c r="M2434" s="347"/>
      <c r="N2434" s="347"/>
      <c r="O2434" s="132"/>
    </row>
    <row r="2435" spans="2:15" ht="26.25" customHeight="1" x14ac:dyDescent="0.25">
      <c r="B2435" s="130"/>
      <c r="C2435" s="135"/>
      <c r="D2435" s="177"/>
      <c r="E2435" s="178"/>
      <c r="F2435" s="178"/>
      <c r="G2435" s="340"/>
      <c r="H2435" s="340"/>
      <c r="I2435" s="179"/>
      <c r="J2435" s="344"/>
      <c r="K2435" s="345"/>
      <c r="L2435" s="346"/>
      <c r="M2435" s="347"/>
      <c r="N2435" s="347"/>
      <c r="O2435" s="132"/>
    </row>
    <row r="2436" spans="2:15" ht="26.25" customHeight="1" x14ac:dyDescent="0.25">
      <c r="B2436" s="130"/>
      <c r="C2436" s="135"/>
      <c r="D2436" s="177"/>
      <c r="E2436" s="178"/>
      <c r="F2436" s="178"/>
      <c r="G2436" s="340"/>
      <c r="H2436" s="340"/>
      <c r="I2436" s="179"/>
      <c r="J2436" s="344"/>
      <c r="K2436" s="345"/>
      <c r="L2436" s="346"/>
      <c r="M2436" s="347"/>
      <c r="N2436" s="347"/>
      <c r="O2436" s="132"/>
    </row>
    <row r="2437" spans="2:15" ht="26.25" customHeight="1" x14ac:dyDescent="0.25">
      <c r="B2437" s="130"/>
      <c r="C2437" s="135"/>
      <c r="D2437" s="177"/>
      <c r="E2437" s="178"/>
      <c r="F2437" s="178"/>
      <c r="G2437" s="340"/>
      <c r="H2437" s="340"/>
      <c r="I2437" s="179"/>
      <c r="J2437" s="344"/>
      <c r="K2437" s="345"/>
      <c r="L2437" s="346"/>
      <c r="M2437" s="347"/>
      <c r="N2437" s="347"/>
      <c r="O2437" s="132"/>
    </row>
    <row r="2438" spans="2:15" ht="26.25" customHeight="1" x14ac:dyDescent="0.25">
      <c r="B2438" s="130"/>
      <c r="C2438" s="135"/>
      <c r="D2438" s="177"/>
      <c r="E2438" s="178"/>
      <c r="F2438" s="178"/>
      <c r="G2438" s="340"/>
      <c r="H2438" s="340"/>
      <c r="I2438" s="179"/>
      <c r="J2438" s="344"/>
      <c r="K2438" s="345"/>
      <c r="L2438" s="346"/>
      <c r="M2438" s="347"/>
      <c r="N2438" s="347"/>
      <c r="O2438" s="132"/>
    </row>
    <row r="2439" spans="2:15" ht="26.25" customHeight="1" x14ac:dyDescent="0.25">
      <c r="B2439" s="130"/>
      <c r="C2439" s="135"/>
      <c r="D2439" s="177"/>
      <c r="E2439" s="178"/>
      <c r="F2439" s="178"/>
      <c r="G2439" s="340"/>
      <c r="H2439" s="340"/>
      <c r="I2439" s="179"/>
      <c r="J2439" s="344"/>
      <c r="K2439" s="345"/>
      <c r="L2439" s="346"/>
      <c r="M2439" s="347"/>
      <c r="N2439" s="347"/>
      <c r="O2439" s="132"/>
    </row>
    <row r="2440" spans="2:15" ht="26.25" customHeight="1" x14ac:dyDescent="0.25">
      <c r="B2440" s="130"/>
      <c r="C2440" s="135"/>
      <c r="D2440" s="177"/>
      <c r="E2440" s="178"/>
      <c r="F2440" s="178"/>
      <c r="G2440" s="340"/>
      <c r="H2440" s="340"/>
      <c r="I2440" s="179"/>
      <c r="J2440" s="344"/>
      <c r="K2440" s="345"/>
      <c r="L2440" s="346"/>
      <c r="M2440" s="347"/>
      <c r="N2440" s="347"/>
      <c r="O2440" s="132"/>
    </row>
    <row r="2441" spans="2:15" ht="26.25" customHeight="1" x14ac:dyDescent="0.25">
      <c r="B2441" s="130"/>
      <c r="C2441" s="135"/>
      <c r="D2441" s="177"/>
      <c r="E2441" s="178"/>
      <c r="F2441" s="178"/>
      <c r="G2441" s="340"/>
      <c r="H2441" s="340"/>
      <c r="I2441" s="179"/>
      <c r="J2441" s="344"/>
      <c r="K2441" s="345"/>
      <c r="L2441" s="346"/>
      <c r="M2441" s="347"/>
      <c r="N2441" s="347"/>
      <c r="O2441" s="132"/>
    </row>
    <row r="2442" spans="2:15" ht="26.25" customHeight="1" x14ac:dyDescent="0.25">
      <c r="B2442" s="130"/>
      <c r="C2442" s="135"/>
      <c r="D2442" s="177"/>
      <c r="E2442" s="178"/>
      <c r="F2442" s="178"/>
      <c r="G2442" s="340"/>
      <c r="H2442" s="340"/>
      <c r="I2442" s="179"/>
      <c r="J2442" s="344"/>
      <c r="K2442" s="345"/>
      <c r="L2442" s="346"/>
      <c r="M2442" s="347"/>
      <c r="N2442" s="347"/>
      <c r="O2442" s="132"/>
    </row>
    <row r="2443" spans="2:15" ht="26.25" customHeight="1" x14ac:dyDescent="0.25">
      <c r="B2443" s="130"/>
      <c r="C2443" s="135"/>
      <c r="D2443" s="177"/>
      <c r="E2443" s="178"/>
      <c r="F2443" s="178"/>
      <c r="G2443" s="340"/>
      <c r="H2443" s="340"/>
      <c r="I2443" s="179"/>
      <c r="J2443" s="344"/>
      <c r="K2443" s="345"/>
      <c r="L2443" s="346"/>
      <c r="M2443" s="347"/>
      <c r="N2443" s="347"/>
      <c r="O2443" s="132"/>
    </row>
    <row r="2444" spans="2:15" ht="26.25" customHeight="1" x14ac:dyDescent="0.25">
      <c r="B2444" s="130"/>
      <c r="C2444" s="135"/>
      <c r="D2444" s="177"/>
      <c r="E2444" s="178"/>
      <c r="F2444" s="178"/>
      <c r="G2444" s="340"/>
      <c r="H2444" s="340"/>
      <c r="I2444" s="179"/>
      <c r="J2444" s="344"/>
      <c r="K2444" s="345"/>
      <c r="L2444" s="346"/>
      <c r="M2444" s="347"/>
      <c r="N2444" s="347"/>
      <c r="O2444" s="132"/>
    </row>
    <row r="2445" spans="2:15" ht="26.25" customHeight="1" x14ac:dyDescent="0.25">
      <c r="B2445" s="130"/>
      <c r="C2445" s="135"/>
      <c r="D2445" s="177"/>
      <c r="E2445" s="178"/>
      <c r="F2445" s="178"/>
      <c r="G2445" s="340"/>
      <c r="H2445" s="340"/>
      <c r="I2445" s="179"/>
      <c r="J2445" s="344"/>
      <c r="K2445" s="345"/>
      <c r="L2445" s="346"/>
      <c r="M2445" s="347"/>
      <c r="N2445" s="347"/>
      <c r="O2445" s="132"/>
    </row>
    <row r="2446" spans="2:15" ht="26.25" customHeight="1" x14ac:dyDescent="0.25">
      <c r="B2446" s="130"/>
      <c r="C2446" s="135"/>
      <c r="D2446" s="177"/>
      <c r="E2446" s="178"/>
      <c r="F2446" s="178"/>
      <c r="G2446" s="340"/>
      <c r="H2446" s="340"/>
      <c r="I2446" s="179"/>
      <c r="J2446" s="344"/>
      <c r="K2446" s="345"/>
      <c r="L2446" s="346"/>
      <c r="M2446" s="347"/>
      <c r="N2446" s="347"/>
      <c r="O2446" s="132"/>
    </row>
    <row r="2447" spans="2:15" ht="26.25" customHeight="1" x14ac:dyDescent="0.25">
      <c r="B2447" s="130"/>
      <c r="C2447" s="135"/>
      <c r="D2447" s="177"/>
      <c r="E2447" s="178"/>
      <c r="F2447" s="178"/>
      <c r="G2447" s="340"/>
      <c r="H2447" s="340"/>
      <c r="I2447" s="179"/>
      <c r="J2447" s="344"/>
      <c r="K2447" s="345"/>
      <c r="L2447" s="346"/>
      <c r="M2447" s="347"/>
      <c r="N2447" s="347"/>
      <c r="O2447" s="132"/>
    </row>
    <row r="2448" spans="2:15" ht="26.25" customHeight="1" x14ac:dyDescent="0.25">
      <c r="B2448" s="130"/>
      <c r="C2448" s="135"/>
      <c r="D2448" s="177"/>
      <c r="E2448" s="178"/>
      <c r="F2448" s="178"/>
      <c r="G2448" s="340"/>
      <c r="H2448" s="340"/>
      <c r="I2448" s="179"/>
      <c r="J2448" s="344"/>
      <c r="K2448" s="345"/>
      <c r="L2448" s="346"/>
      <c r="M2448" s="347"/>
      <c r="N2448" s="347"/>
      <c r="O2448" s="132"/>
    </row>
    <row r="2449" spans="2:15" ht="26.25" customHeight="1" x14ac:dyDescent="0.25">
      <c r="B2449" s="130"/>
      <c r="C2449" s="135"/>
      <c r="D2449" s="177"/>
      <c r="E2449" s="178"/>
      <c r="F2449" s="178"/>
      <c r="G2449" s="340"/>
      <c r="H2449" s="340"/>
      <c r="I2449" s="179"/>
      <c r="J2449" s="344"/>
      <c r="K2449" s="345"/>
      <c r="L2449" s="346"/>
      <c r="M2449" s="347"/>
      <c r="N2449" s="347"/>
      <c r="O2449" s="132"/>
    </row>
    <row r="2450" spans="2:15" ht="26.25" customHeight="1" x14ac:dyDescent="0.25">
      <c r="B2450" s="130"/>
      <c r="C2450" s="135"/>
      <c r="D2450" s="177"/>
      <c r="E2450" s="178"/>
      <c r="F2450" s="178"/>
      <c r="G2450" s="340"/>
      <c r="H2450" s="340"/>
      <c r="I2450" s="179"/>
      <c r="J2450" s="344"/>
      <c r="K2450" s="345"/>
      <c r="L2450" s="346"/>
      <c r="M2450" s="347"/>
      <c r="N2450" s="347"/>
      <c r="O2450" s="132"/>
    </row>
    <row r="2451" spans="2:15" ht="26.25" customHeight="1" x14ac:dyDescent="0.25">
      <c r="B2451" s="130"/>
      <c r="C2451" s="135"/>
      <c r="D2451" s="177"/>
      <c r="E2451" s="178"/>
      <c r="F2451" s="178"/>
      <c r="G2451" s="340"/>
      <c r="H2451" s="340"/>
      <c r="I2451" s="179"/>
      <c r="J2451" s="344"/>
      <c r="K2451" s="345"/>
      <c r="L2451" s="346"/>
      <c r="M2451" s="347"/>
      <c r="N2451" s="347"/>
      <c r="O2451" s="132"/>
    </row>
    <row r="2452" spans="2:15" ht="26.25" customHeight="1" x14ac:dyDescent="0.25">
      <c r="B2452" s="130"/>
      <c r="C2452" s="135"/>
      <c r="D2452" s="177"/>
      <c r="E2452" s="178"/>
      <c r="F2452" s="178"/>
      <c r="G2452" s="340"/>
      <c r="H2452" s="340"/>
      <c r="I2452" s="179"/>
      <c r="J2452" s="344"/>
      <c r="K2452" s="345"/>
      <c r="L2452" s="346"/>
      <c r="M2452" s="347"/>
      <c r="N2452" s="347"/>
      <c r="O2452" s="132"/>
    </row>
    <row r="2453" spans="2:15" ht="26.25" customHeight="1" x14ac:dyDescent="0.25">
      <c r="B2453" s="130"/>
      <c r="C2453" s="135"/>
      <c r="D2453" s="177"/>
      <c r="E2453" s="178"/>
      <c r="F2453" s="178"/>
      <c r="G2453" s="340"/>
      <c r="H2453" s="340"/>
      <c r="I2453" s="179"/>
      <c r="J2453" s="344"/>
      <c r="K2453" s="345"/>
      <c r="L2453" s="346"/>
      <c r="M2453" s="347"/>
      <c r="N2453" s="347"/>
      <c r="O2453" s="132"/>
    </row>
    <row r="2454" spans="2:15" ht="26.25" customHeight="1" x14ac:dyDescent="0.25">
      <c r="B2454" s="130"/>
      <c r="C2454" s="135"/>
      <c r="D2454" s="177"/>
      <c r="E2454" s="178"/>
      <c r="F2454" s="178"/>
      <c r="G2454" s="340"/>
      <c r="H2454" s="340"/>
      <c r="I2454" s="179"/>
      <c r="J2454" s="344"/>
      <c r="K2454" s="345"/>
      <c r="L2454" s="346"/>
      <c r="M2454" s="347"/>
      <c r="N2454" s="347"/>
      <c r="O2454" s="132"/>
    </row>
    <row r="2455" spans="2:15" ht="26.25" customHeight="1" x14ac:dyDescent="0.25">
      <c r="B2455" s="130"/>
      <c r="C2455" s="135"/>
      <c r="D2455" s="177"/>
      <c r="E2455" s="178"/>
      <c r="F2455" s="178"/>
      <c r="G2455" s="340"/>
      <c r="H2455" s="340"/>
      <c r="I2455" s="179"/>
      <c r="J2455" s="344"/>
      <c r="K2455" s="345"/>
      <c r="L2455" s="346"/>
      <c r="M2455" s="347"/>
      <c r="N2455" s="347"/>
      <c r="O2455" s="132"/>
    </row>
    <row r="2456" spans="2:15" ht="26.25" customHeight="1" x14ac:dyDescent="0.25">
      <c r="B2456" s="130"/>
      <c r="C2456" s="135"/>
      <c r="D2456" s="177"/>
      <c r="E2456" s="178"/>
      <c r="F2456" s="178"/>
      <c r="G2456" s="340"/>
      <c r="H2456" s="340"/>
      <c r="I2456" s="179"/>
      <c r="J2456" s="344"/>
      <c r="K2456" s="345"/>
      <c r="L2456" s="346"/>
      <c r="M2456" s="347"/>
      <c r="N2456" s="347"/>
      <c r="O2456" s="132"/>
    </row>
    <row r="2457" spans="2:15" ht="26.25" customHeight="1" x14ac:dyDescent="0.25">
      <c r="B2457" s="130"/>
      <c r="C2457" s="135"/>
      <c r="D2457" s="177"/>
      <c r="E2457" s="178"/>
      <c r="F2457" s="178"/>
      <c r="G2457" s="340"/>
      <c r="H2457" s="340"/>
      <c r="I2457" s="179"/>
      <c r="J2457" s="344"/>
      <c r="K2457" s="345"/>
      <c r="L2457" s="346"/>
      <c r="M2457" s="347"/>
      <c r="N2457" s="347"/>
      <c r="O2457" s="132"/>
    </row>
    <row r="2458" spans="2:15" ht="26.25" customHeight="1" x14ac:dyDescent="0.25">
      <c r="B2458" s="130"/>
      <c r="C2458" s="135"/>
      <c r="D2458" s="177"/>
      <c r="E2458" s="178"/>
      <c r="F2458" s="178"/>
      <c r="G2458" s="340"/>
      <c r="H2458" s="340"/>
      <c r="I2458" s="179"/>
      <c r="J2458" s="344"/>
      <c r="K2458" s="345"/>
      <c r="L2458" s="346"/>
      <c r="M2458" s="347"/>
      <c r="N2458" s="347"/>
      <c r="O2458" s="132"/>
    </row>
    <row r="2459" spans="2:15" ht="26.25" customHeight="1" x14ac:dyDescent="0.25">
      <c r="B2459" s="130"/>
      <c r="C2459" s="135"/>
      <c r="D2459" s="177"/>
      <c r="E2459" s="178"/>
      <c r="F2459" s="178"/>
      <c r="G2459" s="340"/>
      <c r="H2459" s="340"/>
      <c r="I2459" s="179"/>
      <c r="J2459" s="344"/>
      <c r="K2459" s="345"/>
      <c r="L2459" s="346"/>
      <c r="M2459" s="347"/>
      <c r="N2459" s="347"/>
      <c r="O2459" s="132"/>
    </row>
    <row r="2460" spans="2:15" ht="26.25" customHeight="1" x14ac:dyDescent="0.25">
      <c r="B2460" s="130"/>
      <c r="C2460" s="135"/>
      <c r="D2460" s="177"/>
      <c r="E2460" s="178"/>
      <c r="F2460" s="178"/>
      <c r="G2460" s="340"/>
      <c r="H2460" s="340"/>
      <c r="I2460" s="179"/>
      <c r="J2460" s="344"/>
      <c r="K2460" s="345"/>
      <c r="L2460" s="346"/>
      <c r="M2460" s="347"/>
      <c r="N2460" s="347"/>
      <c r="O2460" s="132"/>
    </row>
    <row r="2461" spans="2:15" ht="26.25" customHeight="1" x14ac:dyDescent="0.25">
      <c r="B2461" s="130"/>
      <c r="C2461" s="135"/>
      <c r="D2461" s="177"/>
      <c r="E2461" s="178"/>
      <c r="F2461" s="178"/>
      <c r="G2461" s="340"/>
      <c r="H2461" s="340"/>
      <c r="I2461" s="179"/>
      <c r="J2461" s="344"/>
      <c r="K2461" s="345"/>
      <c r="L2461" s="346"/>
      <c r="M2461" s="347"/>
      <c r="N2461" s="347"/>
      <c r="O2461" s="132"/>
    </row>
    <row r="2462" spans="2:15" ht="26.25" customHeight="1" x14ac:dyDescent="0.25">
      <c r="B2462" s="130"/>
      <c r="C2462" s="135"/>
      <c r="D2462" s="177"/>
      <c r="E2462" s="178"/>
      <c r="F2462" s="178"/>
      <c r="G2462" s="340"/>
      <c r="H2462" s="340"/>
      <c r="I2462" s="179"/>
      <c r="J2462" s="344"/>
      <c r="K2462" s="345"/>
      <c r="L2462" s="346"/>
      <c r="M2462" s="347"/>
      <c r="N2462" s="347"/>
      <c r="O2462" s="132"/>
    </row>
    <row r="2463" spans="2:15" ht="26.25" customHeight="1" x14ac:dyDescent="0.25">
      <c r="B2463" s="130"/>
      <c r="C2463" s="135"/>
      <c r="D2463" s="177"/>
      <c r="E2463" s="178"/>
      <c r="F2463" s="178"/>
      <c r="G2463" s="340"/>
      <c r="H2463" s="340"/>
      <c r="I2463" s="179"/>
      <c r="J2463" s="344"/>
      <c r="K2463" s="345"/>
      <c r="L2463" s="346"/>
      <c r="M2463" s="347"/>
      <c r="N2463" s="347"/>
      <c r="O2463" s="132"/>
    </row>
    <row r="2464" spans="2:15" ht="26.25" customHeight="1" x14ac:dyDescent="0.25">
      <c r="B2464" s="130"/>
      <c r="C2464" s="135"/>
      <c r="D2464" s="177"/>
      <c r="E2464" s="178"/>
      <c r="F2464" s="178"/>
      <c r="G2464" s="340"/>
      <c r="H2464" s="340"/>
      <c r="I2464" s="179"/>
      <c r="J2464" s="344"/>
      <c r="K2464" s="345"/>
      <c r="L2464" s="346"/>
      <c r="M2464" s="347"/>
      <c r="N2464" s="347"/>
      <c r="O2464" s="132"/>
    </row>
    <row r="2465" spans="2:15" ht="26.25" customHeight="1" x14ac:dyDescent="0.25">
      <c r="B2465" s="130"/>
      <c r="C2465" s="135"/>
      <c r="D2465" s="177"/>
      <c r="E2465" s="178"/>
      <c r="F2465" s="178"/>
      <c r="G2465" s="340"/>
      <c r="H2465" s="340"/>
      <c r="I2465" s="179"/>
      <c r="J2465" s="344"/>
      <c r="K2465" s="345"/>
      <c r="L2465" s="346"/>
      <c r="M2465" s="347"/>
      <c r="N2465" s="347"/>
      <c r="O2465" s="132"/>
    </row>
    <row r="2466" spans="2:15" ht="26.25" customHeight="1" x14ac:dyDescent="0.25">
      <c r="B2466" s="130"/>
      <c r="C2466" s="135"/>
      <c r="D2466" s="177"/>
      <c r="E2466" s="178"/>
      <c r="F2466" s="178"/>
      <c r="G2466" s="340"/>
      <c r="H2466" s="340"/>
      <c r="I2466" s="179"/>
      <c r="J2466" s="344"/>
      <c r="K2466" s="345"/>
      <c r="L2466" s="346"/>
      <c r="M2466" s="347"/>
      <c r="N2466" s="347"/>
      <c r="O2466" s="132"/>
    </row>
    <row r="2467" spans="2:15" ht="26.25" customHeight="1" x14ac:dyDescent="0.25">
      <c r="B2467" s="130"/>
      <c r="C2467" s="135"/>
      <c r="D2467" s="177"/>
      <c r="E2467" s="178"/>
      <c r="F2467" s="178"/>
      <c r="G2467" s="340"/>
      <c r="H2467" s="340"/>
      <c r="I2467" s="179"/>
      <c r="J2467" s="344"/>
      <c r="K2467" s="345"/>
      <c r="L2467" s="346"/>
      <c r="M2467" s="347"/>
      <c r="N2467" s="347"/>
      <c r="O2467" s="132"/>
    </row>
    <row r="2468" spans="2:15" ht="26.25" customHeight="1" x14ac:dyDescent="0.25">
      <c r="B2468" s="130"/>
      <c r="C2468" s="135"/>
      <c r="D2468" s="177"/>
      <c r="E2468" s="178"/>
      <c r="F2468" s="178"/>
      <c r="G2468" s="340"/>
      <c r="H2468" s="340"/>
      <c r="I2468" s="179"/>
      <c r="J2468" s="344"/>
      <c r="K2468" s="345"/>
      <c r="L2468" s="346"/>
      <c r="M2468" s="347"/>
      <c r="N2468" s="347"/>
      <c r="O2468" s="132"/>
    </row>
    <row r="2469" spans="2:15" ht="26.25" customHeight="1" x14ac:dyDescent="0.25">
      <c r="B2469" s="130"/>
      <c r="C2469" s="135"/>
      <c r="D2469" s="177"/>
      <c r="E2469" s="178"/>
      <c r="F2469" s="178"/>
      <c r="G2469" s="340"/>
      <c r="H2469" s="340"/>
      <c r="I2469" s="179"/>
      <c r="J2469" s="344"/>
      <c r="K2469" s="345"/>
      <c r="L2469" s="346"/>
      <c r="M2469" s="347"/>
      <c r="N2469" s="347"/>
      <c r="O2469" s="132"/>
    </row>
    <row r="2470" spans="2:15" ht="26.25" customHeight="1" x14ac:dyDescent="0.25">
      <c r="B2470" s="130"/>
      <c r="C2470" s="135"/>
      <c r="D2470" s="177"/>
      <c r="E2470" s="178"/>
      <c r="F2470" s="178"/>
      <c r="G2470" s="340"/>
      <c r="H2470" s="340"/>
      <c r="I2470" s="179"/>
      <c r="J2470" s="344"/>
      <c r="K2470" s="345"/>
      <c r="L2470" s="346"/>
      <c r="M2470" s="347"/>
      <c r="N2470" s="347"/>
      <c r="O2470" s="132"/>
    </row>
    <row r="2471" spans="2:15" ht="26.25" customHeight="1" x14ac:dyDescent="0.25">
      <c r="B2471" s="130"/>
      <c r="C2471" s="135"/>
      <c r="D2471" s="177"/>
      <c r="E2471" s="178"/>
      <c r="F2471" s="178"/>
      <c r="G2471" s="340"/>
      <c r="H2471" s="340"/>
      <c r="I2471" s="179"/>
      <c r="J2471" s="344"/>
      <c r="K2471" s="345"/>
      <c r="L2471" s="346"/>
      <c r="M2471" s="347"/>
      <c r="N2471" s="347"/>
      <c r="O2471" s="132"/>
    </row>
    <row r="2472" spans="2:15" ht="26.25" customHeight="1" x14ac:dyDescent="0.25">
      <c r="B2472" s="130"/>
      <c r="C2472" s="135"/>
      <c r="D2472" s="177"/>
      <c r="E2472" s="178"/>
      <c r="F2472" s="178"/>
      <c r="G2472" s="340"/>
      <c r="H2472" s="340"/>
      <c r="I2472" s="179"/>
      <c r="J2472" s="344"/>
      <c r="K2472" s="345"/>
      <c r="L2472" s="346"/>
      <c r="M2472" s="347"/>
      <c r="N2472" s="347"/>
      <c r="O2472" s="132"/>
    </row>
    <row r="2473" spans="2:15" ht="26.25" customHeight="1" x14ac:dyDescent="0.25">
      <c r="B2473" s="130"/>
      <c r="C2473" s="135"/>
      <c r="D2473" s="177"/>
      <c r="E2473" s="178"/>
      <c r="F2473" s="178"/>
      <c r="G2473" s="340"/>
      <c r="H2473" s="340"/>
      <c r="I2473" s="179"/>
      <c r="J2473" s="344"/>
      <c r="K2473" s="345"/>
      <c r="L2473" s="346"/>
      <c r="M2473" s="347"/>
      <c r="N2473" s="347"/>
      <c r="O2473" s="132"/>
    </row>
    <row r="2474" spans="2:15" ht="26.25" customHeight="1" x14ac:dyDescent="0.25">
      <c r="B2474" s="130"/>
      <c r="C2474" s="135"/>
      <c r="D2474" s="177"/>
      <c r="E2474" s="178"/>
      <c r="F2474" s="178"/>
      <c r="G2474" s="340"/>
      <c r="H2474" s="340"/>
      <c r="I2474" s="179"/>
      <c r="J2474" s="344"/>
      <c r="K2474" s="345"/>
      <c r="L2474" s="346"/>
      <c r="M2474" s="347"/>
      <c r="N2474" s="347"/>
      <c r="O2474" s="132"/>
    </row>
    <row r="2475" spans="2:15" ht="26.25" customHeight="1" x14ac:dyDescent="0.25">
      <c r="B2475" s="130"/>
      <c r="C2475" s="135"/>
      <c r="D2475" s="177"/>
      <c r="E2475" s="178"/>
      <c r="F2475" s="178"/>
      <c r="G2475" s="340"/>
      <c r="H2475" s="340"/>
      <c r="I2475" s="179"/>
      <c r="J2475" s="344"/>
      <c r="K2475" s="345"/>
      <c r="L2475" s="346"/>
      <c r="M2475" s="347"/>
      <c r="N2475" s="347"/>
      <c r="O2475" s="132"/>
    </row>
    <row r="2476" spans="2:15" ht="26.25" customHeight="1" x14ac:dyDescent="0.25">
      <c r="B2476" s="130"/>
      <c r="C2476" s="135"/>
      <c r="D2476" s="177"/>
      <c r="E2476" s="178"/>
      <c r="F2476" s="178"/>
      <c r="G2476" s="340"/>
      <c r="H2476" s="340"/>
      <c r="I2476" s="179"/>
      <c r="J2476" s="344"/>
      <c r="K2476" s="345"/>
      <c r="L2476" s="346"/>
      <c r="M2476" s="347"/>
      <c r="N2476" s="347"/>
      <c r="O2476" s="132"/>
    </row>
    <row r="2477" spans="2:15" ht="26.25" customHeight="1" x14ac:dyDescent="0.25">
      <c r="B2477" s="130"/>
      <c r="C2477" s="135"/>
      <c r="D2477" s="177"/>
      <c r="E2477" s="178"/>
      <c r="F2477" s="178"/>
      <c r="G2477" s="340"/>
      <c r="H2477" s="340"/>
      <c r="I2477" s="179"/>
      <c r="J2477" s="344"/>
      <c r="K2477" s="345"/>
      <c r="L2477" s="346"/>
      <c r="M2477" s="347"/>
      <c r="N2477" s="347"/>
      <c r="O2477" s="132"/>
    </row>
    <row r="2478" spans="2:15" ht="26.25" customHeight="1" x14ac:dyDescent="0.25">
      <c r="B2478" s="130"/>
      <c r="C2478" s="135"/>
      <c r="D2478" s="177"/>
      <c r="E2478" s="178"/>
      <c r="F2478" s="178"/>
      <c r="G2478" s="340"/>
      <c r="H2478" s="340"/>
      <c r="I2478" s="179"/>
      <c r="J2478" s="344"/>
      <c r="K2478" s="345"/>
      <c r="L2478" s="346"/>
      <c r="M2478" s="347"/>
      <c r="N2478" s="347"/>
      <c r="O2478" s="132"/>
    </row>
    <row r="2479" spans="2:15" ht="26.25" customHeight="1" x14ac:dyDescent="0.25">
      <c r="B2479" s="130"/>
      <c r="C2479" s="135"/>
      <c r="D2479" s="177"/>
      <c r="E2479" s="178"/>
      <c r="F2479" s="178"/>
      <c r="G2479" s="340"/>
      <c r="H2479" s="340"/>
      <c r="I2479" s="179"/>
      <c r="J2479" s="344"/>
      <c r="K2479" s="345"/>
      <c r="L2479" s="346"/>
      <c r="M2479" s="347"/>
      <c r="N2479" s="347"/>
      <c r="O2479" s="132"/>
    </row>
    <row r="2480" spans="2:15" ht="26.25" customHeight="1" x14ac:dyDescent="0.25">
      <c r="B2480" s="130"/>
      <c r="C2480" s="135"/>
      <c r="D2480" s="177"/>
      <c r="E2480" s="178"/>
      <c r="F2480" s="178"/>
      <c r="G2480" s="340"/>
      <c r="H2480" s="340"/>
      <c r="I2480" s="179"/>
      <c r="J2480" s="344"/>
      <c r="K2480" s="345"/>
      <c r="L2480" s="346"/>
      <c r="M2480" s="347"/>
      <c r="N2480" s="347"/>
      <c r="O2480" s="132"/>
    </row>
    <row r="2481" spans="2:15" ht="26.25" customHeight="1" x14ac:dyDescent="0.25">
      <c r="B2481" s="130"/>
      <c r="C2481" s="135"/>
      <c r="D2481" s="177"/>
      <c r="E2481" s="178"/>
      <c r="F2481" s="178"/>
      <c r="G2481" s="340"/>
      <c r="H2481" s="340"/>
      <c r="I2481" s="179"/>
      <c r="J2481" s="344"/>
      <c r="K2481" s="345"/>
      <c r="L2481" s="346"/>
      <c r="M2481" s="347"/>
      <c r="N2481" s="347"/>
      <c r="O2481" s="132"/>
    </row>
    <row r="2482" spans="2:15" ht="26.25" customHeight="1" x14ac:dyDescent="0.25">
      <c r="B2482" s="130"/>
      <c r="C2482" s="135"/>
      <c r="D2482" s="177"/>
      <c r="E2482" s="178"/>
      <c r="F2482" s="178"/>
      <c r="G2482" s="340"/>
      <c r="H2482" s="340"/>
      <c r="I2482" s="179"/>
      <c r="J2482" s="344"/>
      <c r="K2482" s="345"/>
      <c r="L2482" s="346"/>
      <c r="M2482" s="347"/>
      <c r="N2482" s="347"/>
      <c r="O2482" s="132"/>
    </row>
    <row r="2483" spans="2:15" ht="26.25" customHeight="1" x14ac:dyDescent="0.25">
      <c r="B2483" s="130"/>
      <c r="C2483" s="135"/>
      <c r="D2483" s="177"/>
      <c r="E2483" s="178"/>
      <c r="F2483" s="178"/>
      <c r="G2483" s="340"/>
      <c r="H2483" s="340"/>
      <c r="I2483" s="179"/>
      <c r="J2483" s="344"/>
      <c r="K2483" s="345"/>
      <c r="L2483" s="346"/>
      <c r="M2483" s="347"/>
      <c r="N2483" s="347"/>
      <c r="O2483" s="132"/>
    </row>
    <row r="2484" spans="2:15" ht="26.25" customHeight="1" x14ac:dyDescent="0.25">
      <c r="B2484" s="130"/>
      <c r="C2484" s="135"/>
      <c r="D2484" s="177"/>
      <c r="E2484" s="178"/>
      <c r="F2484" s="178"/>
      <c r="G2484" s="340"/>
      <c r="H2484" s="340"/>
      <c r="I2484" s="179"/>
      <c r="J2484" s="344"/>
      <c r="K2484" s="345"/>
      <c r="L2484" s="346"/>
      <c r="M2484" s="347"/>
      <c r="N2484" s="347"/>
      <c r="O2484" s="132"/>
    </row>
    <row r="2485" spans="2:15" ht="26.25" customHeight="1" x14ac:dyDescent="0.25">
      <c r="B2485" s="130"/>
      <c r="C2485" s="135"/>
      <c r="D2485" s="177"/>
      <c r="E2485" s="178"/>
      <c r="F2485" s="178"/>
      <c r="G2485" s="340"/>
      <c r="H2485" s="340"/>
      <c r="I2485" s="179"/>
      <c r="J2485" s="344"/>
      <c r="K2485" s="345"/>
      <c r="L2485" s="346"/>
      <c r="M2485" s="347"/>
      <c r="N2485" s="347"/>
      <c r="O2485" s="132"/>
    </row>
    <row r="2486" spans="2:15" ht="26.25" customHeight="1" x14ac:dyDescent="0.25">
      <c r="B2486" s="130"/>
      <c r="C2486" s="135"/>
      <c r="D2486" s="177"/>
      <c r="E2486" s="178"/>
      <c r="F2486" s="178"/>
      <c r="G2486" s="340"/>
      <c r="H2486" s="340"/>
      <c r="I2486" s="179"/>
      <c r="J2486" s="344"/>
      <c r="K2486" s="345"/>
      <c r="L2486" s="346"/>
      <c r="M2486" s="347"/>
      <c r="N2486" s="347"/>
      <c r="O2486" s="132"/>
    </row>
    <row r="2487" spans="2:15" ht="26.25" customHeight="1" x14ac:dyDescent="0.25">
      <c r="B2487" s="130"/>
      <c r="C2487" s="135"/>
      <c r="D2487" s="177"/>
      <c r="E2487" s="178"/>
      <c r="F2487" s="178"/>
      <c r="G2487" s="340"/>
      <c r="H2487" s="340"/>
      <c r="I2487" s="179"/>
      <c r="J2487" s="344"/>
      <c r="K2487" s="345"/>
      <c r="L2487" s="346"/>
      <c r="M2487" s="347"/>
      <c r="N2487" s="347"/>
      <c r="O2487" s="132"/>
    </row>
    <row r="2488" spans="2:15" ht="26.25" customHeight="1" x14ac:dyDescent="0.25">
      <c r="B2488" s="130"/>
      <c r="C2488" s="135"/>
      <c r="D2488" s="177"/>
      <c r="E2488" s="178"/>
      <c r="F2488" s="178"/>
      <c r="G2488" s="340"/>
      <c r="H2488" s="340"/>
      <c r="I2488" s="179"/>
      <c r="J2488" s="344"/>
      <c r="K2488" s="345"/>
      <c r="L2488" s="346"/>
      <c r="M2488" s="347"/>
      <c r="N2488" s="347"/>
      <c r="O2488" s="132"/>
    </row>
    <row r="2489" spans="2:15" ht="26.25" customHeight="1" x14ac:dyDescent="0.25">
      <c r="B2489" s="130"/>
      <c r="C2489" s="135"/>
      <c r="D2489" s="177"/>
      <c r="E2489" s="178"/>
      <c r="F2489" s="178"/>
      <c r="G2489" s="340"/>
      <c r="H2489" s="340"/>
      <c r="I2489" s="179"/>
      <c r="J2489" s="344"/>
      <c r="K2489" s="345"/>
      <c r="L2489" s="346"/>
      <c r="M2489" s="347"/>
      <c r="N2489" s="347"/>
      <c r="O2489" s="132"/>
    </row>
    <row r="2490" spans="2:15" ht="26.25" customHeight="1" x14ac:dyDescent="0.25">
      <c r="B2490" s="130"/>
      <c r="C2490" s="135"/>
      <c r="D2490" s="177"/>
      <c r="E2490" s="178"/>
      <c r="F2490" s="178"/>
      <c r="G2490" s="340"/>
      <c r="H2490" s="340"/>
      <c r="I2490" s="179"/>
      <c r="J2490" s="344"/>
      <c r="K2490" s="345"/>
      <c r="L2490" s="346"/>
      <c r="M2490" s="347"/>
      <c r="N2490" s="347"/>
      <c r="O2490" s="132"/>
    </row>
    <row r="2491" spans="2:15" ht="26.25" customHeight="1" x14ac:dyDescent="0.25">
      <c r="B2491" s="130"/>
      <c r="C2491" s="135"/>
      <c r="D2491" s="177"/>
      <c r="E2491" s="178"/>
      <c r="F2491" s="178"/>
      <c r="G2491" s="340"/>
      <c r="H2491" s="340"/>
      <c r="I2491" s="179"/>
      <c r="J2491" s="344"/>
      <c r="K2491" s="345"/>
      <c r="L2491" s="346"/>
      <c r="M2491" s="347"/>
      <c r="N2491" s="347"/>
      <c r="O2491" s="132"/>
    </row>
    <row r="2492" spans="2:15" ht="26.25" customHeight="1" x14ac:dyDescent="0.25">
      <c r="B2492" s="130"/>
      <c r="C2492" s="135"/>
      <c r="D2492" s="177"/>
      <c r="E2492" s="178"/>
      <c r="F2492" s="178"/>
      <c r="G2492" s="340"/>
      <c r="H2492" s="340"/>
      <c r="I2492" s="179"/>
      <c r="J2492" s="344"/>
      <c r="K2492" s="345"/>
      <c r="L2492" s="346"/>
      <c r="M2492" s="347"/>
      <c r="N2492" s="347"/>
      <c r="O2492" s="132"/>
    </row>
    <row r="2493" spans="2:15" ht="26.25" customHeight="1" x14ac:dyDescent="0.25">
      <c r="B2493" s="130"/>
      <c r="C2493" s="135"/>
      <c r="D2493" s="177"/>
      <c r="E2493" s="178"/>
      <c r="F2493" s="178"/>
      <c r="G2493" s="340"/>
      <c r="H2493" s="340"/>
      <c r="I2493" s="179"/>
      <c r="J2493" s="344"/>
      <c r="K2493" s="345"/>
      <c r="L2493" s="346"/>
      <c r="M2493" s="347"/>
      <c r="N2493" s="347"/>
      <c r="O2493" s="132"/>
    </row>
    <row r="2494" spans="2:15" ht="26.25" customHeight="1" x14ac:dyDescent="0.25">
      <c r="B2494" s="130"/>
      <c r="C2494" s="135"/>
      <c r="D2494" s="177"/>
      <c r="E2494" s="178"/>
      <c r="F2494" s="178"/>
      <c r="G2494" s="340"/>
      <c r="H2494" s="340"/>
      <c r="I2494" s="179"/>
      <c r="J2494" s="344"/>
      <c r="K2494" s="345"/>
      <c r="L2494" s="346"/>
      <c r="M2494" s="347"/>
      <c r="N2494" s="347"/>
      <c r="O2494" s="132"/>
    </row>
    <row r="2495" spans="2:15" ht="26.25" customHeight="1" x14ac:dyDescent="0.25">
      <c r="B2495" s="130"/>
      <c r="C2495" s="135"/>
      <c r="D2495" s="177"/>
      <c r="E2495" s="178"/>
      <c r="F2495" s="178"/>
      <c r="G2495" s="340"/>
      <c r="H2495" s="340"/>
      <c r="I2495" s="179"/>
      <c r="J2495" s="344"/>
      <c r="K2495" s="345"/>
      <c r="L2495" s="346"/>
      <c r="M2495" s="347"/>
      <c r="N2495" s="347"/>
      <c r="O2495" s="132"/>
    </row>
    <row r="2496" spans="2:15" ht="26.25" customHeight="1" x14ac:dyDescent="0.25">
      <c r="B2496" s="130"/>
      <c r="C2496" s="135"/>
      <c r="D2496" s="177"/>
      <c r="E2496" s="178"/>
      <c r="F2496" s="178"/>
      <c r="G2496" s="340"/>
      <c r="H2496" s="340"/>
      <c r="I2496" s="179"/>
      <c r="J2496" s="344"/>
      <c r="K2496" s="345"/>
      <c r="L2496" s="346"/>
      <c r="M2496" s="347"/>
      <c r="N2496" s="347"/>
      <c r="O2496" s="132"/>
    </row>
    <row r="2497" spans="2:15" ht="26.25" customHeight="1" x14ac:dyDescent="0.25">
      <c r="B2497" s="130"/>
      <c r="C2497" s="135"/>
      <c r="D2497" s="177"/>
      <c r="E2497" s="178"/>
      <c r="F2497" s="178"/>
      <c r="G2497" s="340"/>
      <c r="H2497" s="340"/>
      <c r="I2497" s="179"/>
      <c r="J2497" s="344"/>
      <c r="K2497" s="345"/>
      <c r="L2497" s="346"/>
      <c r="M2497" s="347"/>
      <c r="N2497" s="347"/>
      <c r="O2497" s="132"/>
    </row>
    <row r="2498" spans="2:15" ht="26.25" customHeight="1" x14ac:dyDescent="0.25">
      <c r="B2498" s="130"/>
      <c r="C2498" s="135"/>
      <c r="D2498" s="177"/>
      <c r="E2498" s="178"/>
      <c r="F2498" s="178"/>
      <c r="G2498" s="340"/>
      <c r="H2498" s="340"/>
      <c r="I2498" s="179"/>
      <c r="J2498" s="344"/>
      <c r="K2498" s="345"/>
      <c r="L2498" s="346"/>
      <c r="M2498" s="347"/>
      <c r="N2498" s="347"/>
      <c r="O2498" s="132"/>
    </row>
    <row r="2499" spans="2:15" ht="26.25" customHeight="1" x14ac:dyDescent="0.25">
      <c r="B2499" s="130"/>
      <c r="C2499" s="135"/>
      <c r="D2499" s="177"/>
      <c r="E2499" s="178"/>
      <c r="F2499" s="178"/>
      <c r="G2499" s="340"/>
      <c r="H2499" s="340"/>
      <c r="I2499" s="179"/>
      <c r="J2499" s="344"/>
      <c r="K2499" s="345"/>
      <c r="L2499" s="346"/>
      <c r="M2499" s="347"/>
      <c r="N2499" s="347"/>
      <c r="O2499" s="132"/>
    </row>
    <row r="2500" spans="2:15" ht="26.25" customHeight="1" x14ac:dyDescent="0.25">
      <c r="B2500" s="130"/>
      <c r="C2500" s="135"/>
      <c r="D2500" s="177"/>
      <c r="E2500" s="178"/>
      <c r="F2500" s="178"/>
      <c r="G2500" s="340"/>
      <c r="H2500" s="340"/>
      <c r="I2500" s="179"/>
      <c r="J2500" s="344"/>
      <c r="K2500" s="345"/>
      <c r="L2500" s="346"/>
      <c r="M2500" s="347"/>
      <c r="N2500" s="347"/>
      <c r="O2500" s="132"/>
    </row>
    <row r="2501" spans="2:15" ht="26.25" customHeight="1" x14ac:dyDescent="0.25">
      <c r="B2501" s="130"/>
      <c r="C2501" s="135"/>
      <c r="D2501" s="177"/>
      <c r="E2501" s="178"/>
      <c r="F2501" s="178"/>
      <c r="G2501" s="340"/>
      <c r="H2501" s="340"/>
      <c r="I2501" s="179"/>
      <c r="J2501" s="344"/>
      <c r="K2501" s="345"/>
      <c r="L2501" s="346"/>
      <c r="M2501" s="347"/>
      <c r="N2501" s="347"/>
      <c r="O2501" s="132"/>
    </row>
    <row r="2502" spans="2:15" ht="26.25" customHeight="1" x14ac:dyDescent="0.25">
      <c r="B2502" s="130"/>
      <c r="C2502" s="135"/>
      <c r="D2502" s="177"/>
      <c r="E2502" s="178"/>
      <c r="F2502" s="178"/>
      <c r="G2502" s="340"/>
      <c r="H2502" s="340"/>
      <c r="I2502" s="179"/>
      <c r="J2502" s="344"/>
      <c r="K2502" s="345"/>
      <c r="L2502" s="346"/>
      <c r="M2502" s="347"/>
      <c r="N2502" s="347"/>
      <c r="O2502" s="132"/>
    </row>
    <row r="2503" spans="2:15" ht="26.25" customHeight="1" x14ac:dyDescent="0.25">
      <c r="B2503" s="130"/>
      <c r="C2503" s="135"/>
      <c r="D2503" s="177"/>
      <c r="E2503" s="178"/>
      <c r="F2503" s="178"/>
      <c r="G2503" s="340"/>
      <c r="H2503" s="340"/>
      <c r="I2503" s="179"/>
      <c r="J2503" s="344"/>
      <c r="K2503" s="345"/>
      <c r="L2503" s="346"/>
      <c r="M2503" s="347"/>
      <c r="N2503" s="347"/>
      <c r="O2503" s="132"/>
    </row>
    <row r="2504" spans="2:15" ht="26.25" customHeight="1" x14ac:dyDescent="0.25">
      <c r="B2504" s="130"/>
      <c r="C2504" s="135"/>
      <c r="D2504" s="177"/>
      <c r="E2504" s="178"/>
      <c r="F2504" s="178"/>
      <c r="G2504" s="340"/>
      <c r="H2504" s="340"/>
      <c r="I2504" s="179"/>
      <c r="J2504" s="344"/>
      <c r="K2504" s="345"/>
      <c r="L2504" s="346"/>
      <c r="M2504" s="347"/>
      <c r="N2504" s="347"/>
      <c r="O2504" s="132"/>
    </row>
    <row r="2505" spans="2:15" ht="26.25" customHeight="1" x14ac:dyDescent="0.25">
      <c r="B2505" s="130"/>
      <c r="C2505" s="135"/>
      <c r="D2505" s="177"/>
      <c r="E2505" s="178"/>
      <c r="F2505" s="178"/>
      <c r="G2505" s="340"/>
      <c r="H2505" s="340"/>
      <c r="I2505" s="179"/>
      <c r="J2505" s="344"/>
      <c r="K2505" s="345"/>
      <c r="L2505" s="346"/>
      <c r="M2505" s="347"/>
      <c r="N2505" s="347"/>
      <c r="O2505" s="132"/>
    </row>
    <row r="2506" spans="2:15" ht="26.25" customHeight="1" x14ac:dyDescent="0.25">
      <c r="B2506" s="130"/>
      <c r="C2506" s="135"/>
      <c r="D2506" s="177"/>
      <c r="E2506" s="178"/>
      <c r="F2506" s="178"/>
      <c r="G2506" s="340"/>
      <c r="H2506" s="340"/>
      <c r="I2506" s="179"/>
      <c r="J2506" s="344"/>
      <c r="K2506" s="345"/>
      <c r="L2506" s="346"/>
      <c r="M2506" s="347"/>
      <c r="N2506" s="347"/>
      <c r="O2506" s="132"/>
    </row>
    <row r="2507" spans="2:15" ht="26.25" customHeight="1" x14ac:dyDescent="0.25">
      <c r="B2507" s="130"/>
      <c r="C2507" s="135"/>
      <c r="D2507" s="177"/>
      <c r="E2507" s="178"/>
      <c r="F2507" s="178"/>
      <c r="G2507" s="340"/>
      <c r="H2507" s="340"/>
      <c r="I2507" s="179"/>
      <c r="J2507" s="344"/>
      <c r="K2507" s="345"/>
      <c r="L2507" s="346"/>
      <c r="M2507" s="347"/>
      <c r="N2507" s="347"/>
      <c r="O2507" s="132"/>
    </row>
    <row r="2508" spans="2:15" ht="26.25" customHeight="1" x14ac:dyDescent="0.25">
      <c r="B2508" s="130"/>
      <c r="C2508" s="135"/>
      <c r="D2508" s="177"/>
      <c r="E2508" s="178"/>
      <c r="F2508" s="178"/>
      <c r="G2508" s="340"/>
      <c r="H2508" s="340"/>
      <c r="I2508" s="179"/>
      <c r="J2508" s="344"/>
      <c r="K2508" s="345"/>
      <c r="L2508" s="346"/>
      <c r="M2508" s="347"/>
      <c r="N2508" s="347"/>
      <c r="O2508" s="132"/>
    </row>
    <row r="2509" spans="2:15" ht="26.25" customHeight="1" x14ac:dyDescent="0.25">
      <c r="B2509" s="130"/>
      <c r="C2509" s="135"/>
      <c r="D2509" s="177"/>
      <c r="E2509" s="178"/>
      <c r="F2509" s="178"/>
      <c r="G2509" s="340"/>
      <c r="H2509" s="340"/>
      <c r="I2509" s="179"/>
      <c r="J2509" s="344"/>
      <c r="K2509" s="345"/>
      <c r="L2509" s="346"/>
      <c r="M2509" s="347"/>
      <c r="N2509" s="347"/>
      <c r="O2509" s="132"/>
    </row>
    <row r="2510" spans="2:15" ht="26.25" customHeight="1" x14ac:dyDescent="0.25">
      <c r="B2510" s="130"/>
      <c r="C2510" s="135"/>
      <c r="D2510" s="177"/>
      <c r="E2510" s="178"/>
      <c r="F2510" s="178"/>
      <c r="G2510" s="340"/>
      <c r="H2510" s="340"/>
      <c r="I2510" s="179"/>
      <c r="J2510" s="344"/>
      <c r="K2510" s="345"/>
      <c r="L2510" s="346"/>
      <c r="M2510" s="347"/>
      <c r="N2510" s="347"/>
      <c r="O2510" s="132"/>
    </row>
    <row r="2511" spans="2:15" ht="26.25" customHeight="1" x14ac:dyDescent="0.25">
      <c r="B2511" s="130"/>
      <c r="C2511" s="135"/>
      <c r="D2511" s="177"/>
      <c r="E2511" s="178"/>
      <c r="F2511" s="178"/>
      <c r="G2511" s="340"/>
      <c r="H2511" s="340"/>
      <c r="I2511" s="179"/>
      <c r="J2511" s="344"/>
      <c r="K2511" s="345"/>
      <c r="L2511" s="346"/>
      <c r="M2511" s="347"/>
      <c r="N2511" s="347"/>
      <c r="O2511" s="132"/>
    </row>
    <row r="2512" spans="2:15" ht="26.25" customHeight="1" x14ac:dyDescent="0.25">
      <c r="B2512" s="130"/>
      <c r="C2512" s="135"/>
      <c r="D2512" s="177"/>
      <c r="E2512" s="178"/>
      <c r="F2512" s="178"/>
      <c r="G2512" s="340"/>
      <c r="H2512" s="340"/>
      <c r="I2512" s="179"/>
      <c r="J2512" s="344"/>
      <c r="K2512" s="345"/>
      <c r="L2512" s="346"/>
      <c r="M2512" s="347"/>
      <c r="N2512" s="347"/>
      <c r="O2512" s="132"/>
    </row>
    <row r="2513" spans="2:15" ht="26.25" customHeight="1" x14ac:dyDescent="0.25">
      <c r="B2513" s="130"/>
      <c r="C2513" s="135"/>
      <c r="D2513" s="177"/>
      <c r="E2513" s="178"/>
      <c r="F2513" s="178"/>
      <c r="G2513" s="340"/>
      <c r="H2513" s="340"/>
      <c r="I2513" s="179"/>
      <c r="J2513" s="344"/>
      <c r="K2513" s="345"/>
      <c r="L2513" s="346"/>
      <c r="M2513" s="347"/>
      <c r="N2513" s="347"/>
      <c r="O2513" s="132"/>
    </row>
    <row r="2514" spans="2:15" ht="26.25" customHeight="1" x14ac:dyDescent="0.25">
      <c r="B2514" s="130"/>
      <c r="C2514" s="135"/>
      <c r="D2514" s="177"/>
      <c r="E2514" s="178"/>
      <c r="F2514" s="178"/>
      <c r="G2514" s="340"/>
      <c r="H2514" s="340"/>
      <c r="I2514" s="179"/>
      <c r="J2514" s="344"/>
      <c r="K2514" s="345"/>
      <c r="L2514" s="346"/>
      <c r="M2514" s="347"/>
      <c r="N2514" s="347"/>
      <c r="O2514" s="132"/>
    </row>
    <row r="2515" spans="2:15" ht="26.25" customHeight="1" x14ac:dyDescent="0.25">
      <c r="B2515" s="130"/>
      <c r="C2515" s="135"/>
      <c r="D2515" s="177"/>
      <c r="E2515" s="178"/>
      <c r="F2515" s="178"/>
      <c r="G2515" s="340"/>
      <c r="H2515" s="340"/>
      <c r="I2515" s="179"/>
      <c r="J2515" s="344"/>
      <c r="K2515" s="345"/>
      <c r="L2515" s="346"/>
      <c r="M2515" s="347"/>
      <c r="N2515" s="347"/>
      <c r="O2515" s="132"/>
    </row>
    <row r="2516" spans="2:15" ht="26.25" customHeight="1" x14ac:dyDescent="0.25">
      <c r="B2516" s="130"/>
      <c r="C2516" s="135"/>
      <c r="D2516" s="177"/>
      <c r="E2516" s="178"/>
      <c r="F2516" s="178"/>
      <c r="G2516" s="340"/>
      <c r="H2516" s="340"/>
      <c r="I2516" s="179"/>
      <c r="J2516" s="344"/>
      <c r="K2516" s="345"/>
      <c r="L2516" s="346"/>
      <c r="M2516" s="347"/>
      <c r="N2516" s="347"/>
      <c r="O2516" s="132"/>
    </row>
    <row r="2517" spans="2:15" ht="26.25" customHeight="1" x14ac:dyDescent="0.25">
      <c r="B2517" s="130"/>
      <c r="C2517" s="135"/>
      <c r="D2517" s="177"/>
      <c r="E2517" s="178"/>
      <c r="F2517" s="178"/>
      <c r="G2517" s="340"/>
      <c r="H2517" s="340"/>
      <c r="I2517" s="179"/>
      <c r="J2517" s="344"/>
      <c r="K2517" s="345"/>
      <c r="L2517" s="346"/>
      <c r="M2517" s="347"/>
      <c r="N2517" s="347"/>
      <c r="O2517" s="132"/>
    </row>
    <row r="2518" spans="2:15" ht="26.25" customHeight="1" x14ac:dyDescent="0.25">
      <c r="B2518" s="130"/>
      <c r="C2518" s="135"/>
      <c r="D2518" s="177"/>
      <c r="E2518" s="178"/>
      <c r="F2518" s="178"/>
      <c r="G2518" s="340"/>
      <c r="H2518" s="340"/>
      <c r="I2518" s="179"/>
      <c r="J2518" s="344"/>
      <c r="K2518" s="345"/>
      <c r="L2518" s="346"/>
      <c r="M2518" s="347"/>
      <c r="N2518" s="347"/>
      <c r="O2518" s="132"/>
    </row>
    <row r="2519" spans="2:15" ht="26.25" customHeight="1" x14ac:dyDescent="0.25">
      <c r="B2519" s="130"/>
      <c r="C2519" s="135"/>
      <c r="D2519" s="177"/>
      <c r="E2519" s="178"/>
      <c r="F2519" s="178"/>
      <c r="G2519" s="340"/>
      <c r="H2519" s="340"/>
      <c r="I2519" s="179"/>
      <c r="J2519" s="344"/>
      <c r="K2519" s="345"/>
      <c r="L2519" s="346"/>
      <c r="M2519" s="347"/>
      <c r="N2519" s="347"/>
      <c r="O2519" s="132"/>
    </row>
    <row r="2520" spans="2:15" ht="26.25" customHeight="1" x14ac:dyDescent="0.25">
      <c r="B2520" s="130"/>
      <c r="C2520" s="135"/>
      <c r="D2520" s="177"/>
      <c r="E2520" s="178"/>
      <c r="F2520" s="178"/>
      <c r="G2520" s="340"/>
      <c r="H2520" s="340"/>
      <c r="I2520" s="179"/>
      <c r="J2520" s="344"/>
      <c r="K2520" s="345"/>
      <c r="L2520" s="346"/>
      <c r="M2520" s="347"/>
      <c r="N2520" s="347"/>
      <c r="O2520" s="132"/>
    </row>
    <row r="2521" spans="2:15" ht="26.25" customHeight="1" x14ac:dyDescent="0.25">
      <c r="B2521" s="130"/>
      <c r="C2521" s="135"/>
      <c r="D2521" s="177"/>
      <c r="E2521" s="178"/>
      <c r="F2521" s="178"/>
      <c r="G2521" s="340"/>
      <c r="H2521" s="340"/>
      <c r="I2521" s="179"/>
      <c r="J2521" s="344"/>
      <c r="K2521" s="345"/>
      <c r="L2521" s="346"/>
      <c r="M2521" s="347"/>
      <c r="N2521" s="347"/>
      <c r="O2521" s="132"/>
    </row>
    <row r="2522" spans="2:15" ht="26.25" customHeight="1" x14ac:dyDescent="0.25">
      <c r="B2522" s="130"/>
      <c r="C2522" s="135"/>
      <c r="D2522" s="177"/>
      <c r="E2522" s="178"/>
      <c r="F2522" s="178"/>
      <c r="G2522" s="340"/>
      <c r="H2522" s="340"/>
      <c r="I2522" s="179"/>
      <c r="J2522" s="344"/>
      <c r="K2522" s="345"/>
      <c r="L2522" s="346"/>
      <c r="M2522" s="347"/>
      <c r="N2522" s="347"/>
      <c r="O2522" s="132"/>
    </row>
    <row r="2523" spans="2:15" ht="26.25" customHeight="1" x14ac:dyDescent="0.25">
      <c r="B2523" s="130"/>
      <c r="C2523" s="135"/>
      <c r="D2523" s="177"/>
      <c r="E2523" s="178"/>
      <c r="F2523" s="178"/>
      <c r="G2523" s="340"/>
      <c r="H2523" s="340"/>
      <c r="I2523" s="179"/>
      <c r="J2523" s="344"/>
      <c r="K2523" s="345"/>
      <c r="L2523" s="346"/>
      <c r="M2523" s="347"/>
      <c r="N2523" s="347"/>
      <c r="O2523" s="132"/>
    </row>
    <row r="2524" spans="2:15" ht="26.25" customHeight="1" x14ac:dyDescent="0.25">
      <c r="B2524" s="130"/>
      <c r="C2524" s="135"/>
      <c r="D2524" s="177"/>
      <c r="E2524" s="178"/>
      <c r="F2524" s="178"/>
      <c r="G2524" s="340"/>
      <c r="H2524" s="340"/>
      <c r="I2524" s="179"/>
      <c r="J2524" s="344"/>
      <c r="K2524" s="345"/>
      <c r="L2524" s="346"/>
      <c r="M2524" s="347"/>
      <c r="N2524" s="347"/>
      <c r="O2524" s="132"/>
    </row>
    <row r="2525" spans="2:15" ht="26.25" customHeight="1" x14ac:dyDescent="0.25">
      <c r="B2525" s="130"/>
      <c r="C2525" s="135"/>
      <c r="D2525" s="177"/>
      <c r="E2525" s="178"/>
      <c r="F2525" s="178"/>
      <c r="G2525" s="340"/>
      <c r="H2525" s="340"/>
      <c r="I2525" s="179"/>
      <c r="J2525" s="344"/>
      <c r="K2525" s="345"/>
      <c r="L2525" s="346"/>
      <c r="M2525" s="347"/>
      <c r="N2525" s="347"/>
      <c r="O2525" s="132"/>
    </row>
    <row r="2526" spans="2:15" ht="26.25" customHeight="1" x14ac:dyDescent="0.25">
      <c r="B2526" s="130"/>
      <c r="C2526" s="135"/>
      <c r="D2526" s="177"/>
      <c r="E2526" s="178"/>
      <c r="F2526" s="178"/>
      <c r="G2526" s="340"/>
      <c r="H2526" s="340"/>
      <c r="I2526" s="179"/>
      <c r="J2526" s="344"/>
      <c r="K2526" s="345"/>
      <c r="L2526" s="346"/>
      <c r="M2526" s="347"/>
      <c r="N2526" s="347"/>
      <c r="O2526" s="132"/>
    </row>
    <row r="2527" spans="2:15" ht="26.25" customHeight="1" x14ac:dyDescent="0.25">
      <c r="B2527" s="130"/>
      <c r="C2527" s="135"/>
      <c r="D2527" s="177"/>
      <c r="E2527" s="178"/>
      <c r="F2527" s="178"/>
      <c r="G2527" s="340"/>
      <c r="H2527" s="340"/>
      <c r="I2527" s="179"/>
      <c r="J2527" s="344"/>
      <c r="K2527" s="345"/>
      <c r="L2527" s="346"/>
      <c r="M2527" s="347"/>
      <c r="N2527" s="347"/>
      <c r="O2527" s="132"/>
    </row>
    <row r="2528" spans="2:15" ht="26.25" customHeight="1" x14ac:dyDescent="0.25">
      <c r="B2528" s="130"/>
      <c r="C2528" s="135"/>
      <c r="D2528" s="177"/>
      <c r="E2528" s="178"/>
      <c r="F2528" s="178"/>
      <c r="G2528" s="340"/>
      <c r="H2528" s="340"/>
      <c r="I2528" s="179"/>
      <c r="J2528" s="344"/>
      <c r="K2528" s="345"/>
      <c r="L2528" s="346"/>
      <c r="M2528" s="347"/>
      <c r="N2528" s="347"/>
      <c r="O2528" s="132"/>
    </row>
    <row r="2529" spans="2:15" ht="26.25" customHeight="1" x14ac:dyDescent="0.25">
      <c r="B2529" s="130"/>
      <c r="C2529" s="135"/>
      <c r="D2529" s="177"/>
      <c r="E2529" s="178"/>
      <c r="F2529" s="178"/>
      <c r="G2529" s="340"/>
      <c r="H2529" s="340"/>
      <c r="I2529" s="179"/>
      <c r="J2529" s="344"/>
      <c r="K2529" s="345"/>
      <c r="L2529" s="346"/>
      <c r="M2529" s="347"/>
      <c r="N2529" s="347"/>
      <c r="O2529" s="132"/>
    </row>
    <row r="2530" spans="2:15" ht="26.25" customHeight="1" x14ac:dyDescent="0.25">
      <c r="B2530" s="130"/>
      <c r="C2530" s="135"/>
      <c r="D2530" s="177"/>
      <c r="E2530" s="178"/>
      <c r="F2530" s="178"/>
      <c r="G2530" s="340"/>
      <c r="H2530" s="340"/>
      <c r="I2530" s="179"/>
      <c r="J2530" s="344"/>
      <c r="K2530" s="345"/>
      <c r="L2530" s="346"/>
      <c r="M2530" s="347"/>
      <c r="N2530" s="347"/>
      <c r="O2530" s="132"/>
    </row>
    <row r="2531" spans="2:15" ht="26.25" customHeight="1" x14ac:dyDescent="0.25">
      <c r="B2531" s="130"/>
      <c r="C2531" s="135"/>
      <c r="D2531" s="177"/>
      <c r="E2531" s="178"/>
      <c r="F2531" s="178"/>
      <c r="G2531" s="340"/>
      <c r="H2531" s="340"/>
      <c r="I2531" s="179"/>
      <c r="J2531" s="344"/>
      <c r="K2531" s="345"/>
      <c r="L2531" s="346"/>
      <c r="M2531" s="347"/>
      <c r="N2531" s="347"/>
      <c r="O2531" s="132"/>
    </row>
    <row r="2532" spans="2:15" ht="26.25" customHeight="1" x14ac:dyDescent="0.25">
      <c r="B2532" s="130"/>
      <c r="C2532" s="135"/>
      <c r="D2532" s="177"/>
      <c r="E2532" s="178"/>
      <c r="F2532" s="178"/>
      <c r="G2532" s="340"/>
      <c r="H2532" s="340"/>
      <c r="I2532" s="179"/>
      <c r="J2532" s="344"/>
      <c r="K2532" s="345"/>
      <c r="L2532" s="346"/>
      <c r="M2532" s="347"/>
      <c r="N2532" s="347"/>
      <c r="O2532" s="132"/>
    </row>
    <row r="2533" spans="2:15" ht="26.25" customHeight="1" x14ac:dyDescent="0.25">
      <c r="B2533" s="130"/>
      <c r="C2533" s="135"/>
      <c r="D2533" s="177"/>
      <c r="E2533" s="178"/>
      <c r="F2533" s="178"/>
      <c r="G2533" s="340"/>
      <c r="H2533" s="340"/>
      <c r="I2533" s="179"/>
      <c r="J2533" s="344"/>
      <c r="K2533" s="345"/>
      <c r="L2533" s="346"/>
      <c r="M2533" s="347"/>
      <c r="N2533" s="347"/>
      <c r="O2533" s="132"/>
    </row>
    <row r="2534" spans="2:15" ht="26.25" customHeight="1" x14ac:dyDescent="0.25">
      <c r="B2534" s="130"/>
      <c r="C2534" s="135"/>
      <c r="D2534" s="177"/>
      <c r="E2534" s="178"/>
      <c r="F2534" s="178"/>
      <c r="G2534" s="340"/>
      <c r="H2534" s="340"/>
      <c r="I2534" s="179"/>
      <c r="J2534" s="344"/>
      <c r="K2534" s="345"/>
      <c r="L2534" s="346"/>
      <c r="M2534" s="347"/>
      <c r="N2534" s="347"/>
      <c r="O2534" s="132"/>
    </row>
    <row r="2535" spans="2:15" ht="26.25" customHeight="1" x14ac:dyDescent="0.25">
      <c r="B2535" s="130"/>
      <c r="C2535" s="135"/>
      <c r="D2535" s="177"/>
      <c r="E2535" s="178"/>
      <c r="F2535" s="178"/>
      <c r="G2535" s="340"/>
      <c r="H2535" s="340"/>
      <c r="I2535" s="179"/>
      <c r="J2535" s="344"/>
      <c r="K2535" s="345"/>
      <c r="L2535" s="346"/>
      <c r="M2535" s="347"/>
      <c r="N2535" s="347"/>
      <c r="O2535" s="132"/>
    </row>
    <row r="2536" spans="2:15" ht="26.25" customHeight="1" x14ac:dyDescent="0.25">
      <c r="B2536" s="130"/>
      <c r="C2536" s="135"/>
      <c r="D2536" s="177"/>
      <c r="E2536" s="178"/>
      <c r="F2536" s="178"/>
      <c r="G2536" s="340"/>
      <c r="H2536" s="340"/>
      <c r="I2536" s="179"/>
      <c r="J2536" s="344"/>
      <c r="K2536" s="345"/>
      <c r="L2536" s="346"/>
      <c r="M2536" s="347"/>
      <c r="N2536" s="347"/>
      <c r="O2536" s="132"/>
    </row>
    <row r="2537" spans="2:15" ht="26.25" customHeight="1" x14ac:dyDescent="0.25">
      <c r="B2537" s="130"/>
      <c r="C2537" s="135"/>
      <c r="D2537" s="177"/>
      <c r="E2537" s="178"/>
      <c r="F2537" s="178"/>
      <c r="G2537" s="340"/>
      <c r="H2537" s="340"/>
      <c r="I2537" s="179"/>
      <c r="J2537" s="344"/>
      <c r="K2537" s="345"/>
      <c r="L2537" s="346"/>
      <c r="M2537" s="347"/>
      <c r="N2537" s="347"/>
      <c r="O2537" s="132"/>
    </row>
    <row r="2538" spans="2:15" ht="26.25" customHeight="1" x14ac:dyDescent="0.25">
      <c r="B2538" s="130"/>
      <c r="C2538" s="135"/>
      <c r="D2538" s="177"/>
      <c r="E2538" s="178"/>
      <c r="F2538" s="178"/>
      <c r="G2538" s="340"/>
      <c r="H2538" s="340"/>
      <c r="I2538" s="179"/>
      <c r="J2538" s="344"/>
      <c r="K2538" s="345"/>
      <c r="L2538" s="346"/>
      <c r="M2538" s="347"/>
      <c r="N2538" s="347"/>
      <c r="O2538" s="132"/>
    </row>
    <row r="2539" spans="2:15" ht="26.25" customHeight="1" x14ac:dyDescent="0.25">
      <c r="B2539" s="130"/>
      <c r="C2539" s="135"/>
      <c r="D2539" s="177"/>
      <c r="E2539" s="178"/>
      <c r="F2539" s="178"/>
      <c r="G2539" s="340"/>
      <c r="H2539" s="340"/>
      <c r="I2539" s="179"/>
      <c r="J2539" s="344"/>
      <c r="K2539" s="345"/>
      <c r="L2539" s="346"/>
      <c r="M2539" s="347"/>
      <c r="N2539" s="347"/>
      <c r="O2539" s="132"/>
    </row>
    <row r="2540" spans="2:15" ht="26.25" customHeight="1" x14ac:dyDescent="0.25">
      <c r="B2540" s="130"/>
      <c r="C2540" s="135"/>
      <c r="D2540" s="177"/>
      <c r="E2540" s="178"/>
      <c r="F2540" s="178"/>
      <c r="G2540" s="340"/>
      <c r="H2540" s="340"/>
      <c r="I2540" s="179"/>
      <c r="J2540" s="344"/>
      <c r="K2540" s="345"/>
      <c r="L2540" s="346"/>
      <c r="M2540" s="347"/>
      <c r="N2540" s="347"/>
      <c r="O2540" s="132"/>
    </row>
    <row r="2541" spans="2:15" ht="26.25" customHeight="1" x14ac:dyDescent="0.25">
      <c r="B2541" s="130"/>
      <c r="C2541" s="135"/>
      <c r="D2541" s="177"/>
      <c r="E2541" s="178"/>
      <c r="F2541" s="178"/>
      <c r="G2541" s="340"/>
      <c r="H2541" s="340"/>
      <c r="I2541" s="179"/>
      <c r="J2541" s="344"/>
      <c r="K2541" s="345"/>
      <c r="L2541" s="346"/>
      <c r="M2541" s="347"/>
      <c r="N2541" s="347"/>
      <c r="O2541" s="132"/>
    </row>
    <row r="2542" spans="2:15" ht="26.25" customHeight="1" x14ac:dyDescent="0.25">
      <c r="B2542" s="130"/>
      <c r="C2542" s="135"/>
      <c r="D2542" s="177"/>
      <c r="E2542" s="178"/>
      <c r="F2542" s="178"/>
      <c r="G2542" s="340"/>
      <c r="H2542" s="340"/>
      <c r="I2542" s="179"/>
      <c r="J2542" s="344"/>
      <c r="K2542" s="345"/>
      <c r="L2542" s="346"/>
      <c r="M2542" s="347"/>
      <c r="N2542" s="347"/>
      <c r="O2542" s="132"/>
    </row>
    <row r="2543" spans="2:15" ht="26.25" customHeight="1" x14ac:dyDescent="0.25">
      <c r="B2543" s="130"/>
      <c r="C2543" s="135"/>
      <c r="D2543" s="177"/>
      <c r="E2543" s="178"/>
      <c r="F2543" s="178"/>
      <c r="G2543" s="340"/>
      <c r="H2543" s="340"/>
      <c r="I2543" s="179"/>
      <c r="J2543" s="344"/>
      <c r="K2543" s="345"/>
      <c r="L2543" s="346"/>
      <c r="M2543" s="347"/>
      <c r="N2543" s="347"/>
      <c r="O2543" s="132"/>
    </row>
    <row r="2544" spans="2:15" ht="26.25" customHeight="1" x14ac:dyDescent="0.25">
      <c r="B2544" s="130"/>
      <c r="C2544" s="135"/>
      <c r="D2544" s="177"/>
      <c r="E2544" s="178"/>
      <c r="F2544" s="178"/>
      <c r="G2544" s="340"/>
      <c r="H2544" s="340"/>
      <c r="I2544" s="179"/>
      <c r="J2544" s="344"/>
      <c r="K2544" s="345"/>
      <c r="L2544" s="346"/>
      <c r="M2544" s="347"/>
      <c r="N2544" s="347"/>
      <c r="O2544" s="132"/>
    </row>
    <row r="2545" spans="2:15" ht="26.25" customHeight="1" x14ac:dyDescent="0.25">
      <c r="B2545" s="130"/>
      <c r="C2545" s="135"/>
      <c r="D2545" s="177"/>
      <c r="E2545" s="178"/>
      <c r="F2545" s="178"/>
      <c r="G2545" s="340"/>
      <c r="H2545" s="340"/>
      <c r="I2545" s="179"/>
      <c r="J2545" s="344"/>
      <c r="K2545" s="345"/>
      <c r="L2545" s="346"/>
      <c r="M2545" s="347"/>
      <c r="N2545" s="347"/>
      <c r="O2545" s="132"/>
    </row>
    <row r="2546" spans="2:15" ht="26.25" customHeight="1" x14ac:dyDescent="0.25">
      <c r="B2546" s="130"/>
      <c r="C2546" s="135"/>
      <c r="D2546" s="177"/>
      <c r="E2546" s="178"/>
      <c r="F2546" s="178"/>
      <c r="G2546" s="340"/>
      <c r="H2546" s="340"/>
      <c r="I2546" s="179"/>
      <c r="J2546" s="344"/>
      <c r="K2546" s="345"/>
      <c r="L2546" s="346"/>
      <c r="M2546" s="347"/>
      <c r="N2546" s="347"/>
      <c r="O2546" s="132"/>
    </row>
    <row r="2547" spans="2:15" ht="26.25" customHeight="1" x14ac:dyDescent="0.25">
      <c r="B2547" s="130"/>
      <c r="C2547" s="135"/>
      <c r="D2547" s="177"/>
      <c r="E2547" s="178"/>
      <c r="F2547" s="178"/>
      <c r="G2547" s="340"/>
      <c r="H2547" s="340"/>
      <c r="I2547" s="179"/>
      <c r="J2547" s="344"/>
      <c r="K2547" s="345"/>
      <c r="L2547" s="346"/>
      <c r="M2547" s="347"/>
      <c r="N2547" s="347"/>
      <c r="O2547" s="132"/>
    </row>
    <row r="2548" spans="2:15" ht="26.25" customHeight="1" x14ac:dyDescent="0.25">
      <c r="B2548" s="130"/>
      <c r="C2548" s="135"/>
      <c r="D2548" s="177"/>
      <c r="E2548" s="178"/>
      <c r="F2548" s="178"/>
      <c r="G2548" s="340"/>
      <c r="H2548" s="340"/>
      <c r="I2548" s="179"/>
      <c r="J2548" s="344"/>
      <c r="K2548" s="345"/>
      <c r="L2548" s="346"/>
      <c r="M2548" s="347"/>
      <c r="N2548" s="347"/>
      <c r="O2548" s="132"/>
    </row>
    <row r="2549" spans="2:15" ht="26.25" customHeight="1" x14ac:dyDescent="0.25">
      <c r="B2549" s="130"/>
      <c r="C2549" s="135"/>
      <c r="D2549" s="177"/>
      <c r="E2549" s="178"/>
      <c r="F2549" s="178"/>
      <c r="G2549" s="340"/>
      <c r="H2549" s="340"/>
      <c r="I2549" s="179"/>
      <c r="J2549" s="344"/>
      <c r="K2549" s="345"/>
      <c r="L2549" s="346"/>
      <c r="M2549" s="347"/>
      <c r="N2549" s="347"/>
      <c r="O2549" s="132"/>
    </row>
    <row r="2550" spans="2:15" ht="26.25" customHeight="1" x14ac:dyDescent="0.25">
      <c r="B2550" s="130"/>
      <c r="C2550" s="135"/>
      <c r="D2550" s="177"/>
      <c r="E2550" s="178"/>
      <c r="F2550" s="178"/>
      <c r="G2550" s="340"/>
      <c r="H2550" s="340"/>
      <c r="I2550" s="179"/>
      <c r="J2550" s="344"/>
      <c r="K2550" s="345"/>
      <c r="L2550" s="346"/>
      <c r="M2550" s="347"/>
      <c r="N2550" s="347"/>
      <c r="O2550" s="132"/>
    </row>
    <row r="2551" spans="2:15" ht="26.25" customHeight="1" x14ac:dyDescent="0.25">
      <c r="B2551" s="130"/>
      <c r="C2551" s="135"/>
      <c r="D2551" s="177"/>
      <c r="E2551" s="178"/>
      <c r="F2551" s="178"/>
      <c r="G2551" s="340"/>
      <c r="H2551" s="340"/>
      <c r="I2551" s="179"/>
      <c r="J2551" s="344"/>
      <c r="K2551" s="345"/>
      <c r="L2551" s="346"/>
      <c r="M2551" s="347"/>
      <c r="N2551" s="347"/>
      <c r="O2551" s="132"/>
    </row>
    <row r="2552" spans="2:15" ht="26.25" customHeight="1" x14ac:dyDescent="0.25">
      <c r="B2552" s="130"/>
      <c r="C2552" s="135"/>
      <c r="D2552" s="177"/>
      <c r="E2552" s="178"/>
      <c r="F2552" s="178"/>
      <c r="G2552" s="340"/>
      <c r="H2552" s="340"/>
      <c r="I2552" s="179"/>
      <c r="J2552" s="344"/>
      <c r="K2552" s="345"/>
      <c r="L2552" s="346"/>
      <c r="M2552" s="347"/>
      <c r="N2552" s="347"/>
      <c r="O2552" s="132"/>
    </row>
    <row r="2553" spans="2:15" ht="26.25" customHeight="1" x14ac:dyDescent="0.25">
      <c r="B2553" s="130"/>
      <c r="C2553" s="135"/>
      <c r="D2553" s="177"/>
      <c r="E2553" s="178"/>
      <c r="F2553" s="178"/>
      <c r="G2553" s="340"/>
      <c r="H2553" s="340"/>
      <c r="I2553" s="179"/>
      <c r="J2553" s="344"/>
      <c r="K2553" s="345"/>
      <c r="L2553" s="346"/>
      <c r="M2553" s="347"/>
      <c r="N2553" s="347"/>
      <c r="O2553" s="132"/>
    </row>
    <row r="2554" spans="2:15" ht="26.25" customHeight="1" x14ac:dyDescent="0.25">
      <c r="B2554" s="130"/>
      <c r="C2554" s="135"/>
      <c r="D2554" s="177"/>
      <c r="E2554" s="178"/>
      <c r="F2554" s="178"/>
      <c r="G2554" s="340"/>
      <c r="H2554" s="340"/>
      <c r="I2554" s="179"/>
      <c r="J2554" s="344"/>
      <c r="K2554" s="345"/>
      <c r="L2554" s="346"/>
      <c r="M2554" s="347"/>
      <c r="N2554" s="347"/>
      <c r="O2554" s="132"/>
    </row>
    <row r="2555" spans="2:15" ht="26.25" customHeight="1" x14ac:dyDescent="0.25">
      <c r="B2555" s="130"/>
      <c r="C2555" s="135"/>
      <c r="D2555" s="177"/>
      <c r="E2555" s="178"/>
      <c r="F2555" s="178"/>
      <c r="G2555" s="340"/>
      <c r="H2555" s="340"/>
      <c r="I2555" s="179"/>
      <c r="J2555" s="344"/>
      <c r="K2555" s="345"/>
      <c r="L2555" s="346"/>
      <c r="M2555" s="347"/>
      <c r="N2555" s="347"/>
      <c r="O2555" s="132"/>
    </row>
    <row r="2556" spans="2:15" ht="26.25" customHeight="1" x14ac:dyDescent="0.25">
      <c r="B2556" s="130"/>
      <c r="C2556" s="135"/>
      <c r="D2556" s="177"/>
      <c r="E2556" s="178"/>
      <c r="F2556" s="178"/>
      <c r="G2556" s="340"/>
      <c r="H2556" s="340"/>
      <c r="I2556" s="179"/>
      <c r="J2556" s="344"/>
      <c r="K2556" s="345"/>
      <c r="L2556" s="346"/>
      <c r="M2556" s="347"/>
      <c r="N2556" s="347"/>
      <c r="O2556" s="132"/>
    </row>
    <row r="2557" spans="2:15" ht="26.25" customHeight="1" x14ac:dyDescent="0.25">
      <c r="B2557" s="130"/>
      <c r="C2557" s="135"/>
      <c r="D2557" s="177"/>
      <c r="E2557" s="178"/>
      <c r="F2557" s="178"/>
      <c r="G2557" s="340"/>
      <c r="H2557" s="340"/>
      <c r="I2557" s="179"/>
      <c r="J2557" s="344"/>
      <c r="K2557" s="345"/>
      <c r="L2557" s="346"/>
      <c r="M2557" s="347"/>
      <c r="N2557" s="347"/>
      <c r="O2557" s="132"/>
    </row>
    <row r="2558" spans="2:15" ht="26.25" customHeight="1" x14ac:dyDescent="0.25">
      <c r="B2558" s="130"/>
      <c r="C2558" s="135"/>
      <c r="D2558" s="177"/>
      <c r="E2558" s="178"/>
      <c r="F2558" s="178"/>
      <c r="G2558" s="340"/>
      <c r="H2558" s="340"/>
      <c r="I2558" s="179"/>
      <c r="J2558" s="344"/>
      <c r="K2558" s="345"/>
      <c r="L2558" s="346"/>
      <c r="M2558" s="347"/>
      <c r="N2558" s="347"/>
      <c r="O2558" s="132"/>
    </row>
    <row r="2559" spans="2:15" ht="26.25" customHeight="1" x14ac:dyDescent="0.25">
      <c r="B2559" s="130"/>
      <c r="C2559" s="135"/>
      <c r="D2559" s="177"/>
      <c r="E2559" s="178"/>
      <c r="F2559" s="178"/>
      <c r="G2559" s="340"/>
      <c r="H2559" s="340"/>
      <c r="I2559" s="179"/>
      <c r="J2559" s="344"/>
      <c r="K2559" s="345"/>
      <c r="L2559" s="346"/>
      <c r="M2559" s="347"/>
      <c r="N2559" s="347"/>
      <c r="O2559" s="132"/>
    </row>
    <row r="2560" spans="2:15" ht="26.25" customHeight="1" x14ac:dyDescent="0.25">
      <c r="B2560" s="130"/>
      <c r="C2560" s="135"/>
      <c r="D2560" s="177"/>
      <c r="E2560" s="178"/>
      <c r="F2560" s="178"/>
      <c r="G2560" s="340"/>
      <c r="H2560" s="340"/>
      <c r="I2560" s="179"/>
      <c r="J2560" s="344"/>
      <c r="K2560" s="345"/>
      <c r="L2560" s="346"/>
      <c r="M2560" s="347"/>
      <c r="N2560" s="347"/>
      <c r="O2560" s="132"/>
    </row>
    <row r="2561" spans="2:15" ht="26.25" customHeight="1" x14ac:dyDescent="0.25">
      <c r="B2561" s="130"/>
      <c r="C2561" s="135"/>
      <c r="D2561" s="177"/>
      <c r="E2561" s="178"/>
      <c r="F2561" s="178"/>
      <c r="G2561" s="340"/>
      <c r="H2561" s="340"/>
      <c r="I2561" s="179"/>
      <c r="J2561" s="344"/>
      <c r="K2561" s="345"/>
      <c r="L2561" s="346"/>
      <c r="M2561" s="347"/>
      <c r="N2561" s="347"/>
      <c r="O2561" s="132"/>
    </row>
    <row r="2562" spans="2:15" ht="26.25" customHeight="1" x14ac:dyDescent="0.25">
      <c r="B2562" s="130"/>
      <c r="C2562" s="135"/>
      <c r="D2562" s="177"/>
      <c r="E2562" s="178"/>
      <c r="F2562" s="178"/>
      <c r="G2562" s="340"/>
      <c r="H2562" s="340"/>
      <c r="I2562" s="179"/>
      <c r="J2562" s="344"/>
      <c r="K2562" s="345"/>
      <c r="L2562" s="346"/>
      <c r="M2562" s="347"/>
      <c r="N2562" s="347"/>
      <c r="O2562" s="132"/>
    </row>
    <row r="2563" spans="2:15" ht="26.25" customHeight="1" x14ac:dyDescent="0.25">
      <c r="B2563" s="130"/>
      <c r="C2563" s="135"/>
      <c r="D2563" s="177"/>
      <c r="E2563" s="178"/>
      <c r="F2563" s="178"/>
      <c r="G2563" s="340"/>
      <c r="H2563" s="340"/>
      <c r="I2563" s="179"/>
      <c r="J2563" s="344"/>
      <c r="K2563" s="345"/>
      <c r="L2563" s="346"/>
      <c r="M2563" s="347"/>
      <c r="N2563" s="347"/>
      <c r="O2563" s="132"/>
    </row>
    <row r="2564" spans="2:15" ht="26.25" customHeight="1" x14ac:dyDescent="0.25">
      <c r="B2564" s="130"/>
      <c r="C2564" s="135"/>
      <c r="D2564" s="177"/>
      <c r="E2564" s="178"/>
      <c r="F2564" s="178"/>
      <c r="G2564" s="340"/>
      <c r="H2564" s="340"/>
      <c r="I2564" s="179"/>
      <c r="J2564" s="344"/>
      <c r="K2564" s="345"/>
      <c r="L2564" s="346"/>
      <c r="M2564" s="347"/>
      <c r="N2564" s="347"/>
      <c r="O2564" s="132"/>
    </row>
    <row r="2565" spans="2:15" ht="26.25" customHeight="1" x14ac:dyDescent="0.25">
      <c r="B2565" s="130"/>
      <c r="C2565" s="135"/>
      <c r="D2565" s="177"/>
      <c r="E2565" s="178"/>
      <c r="F2565" s="178"/>
      <c r="G2565" s="340"/>
      <c r="H2565" s="340"/>
      <c r="I2565" s="179"/>
      <c r="J2565" s="344"/>
      <c r="K2565" s="345"/>
      <c r="L2565" s="346"/>
      <c r="M2565" s="347"/>
      <c r="N2565" s="347"/>
      <c r="O2565" s="132"/>
    </row>
    <row r="2566" spans="2:15" ht="26.25" customHeight="1" x14ac:dyDescent="0.25">
      <c r="B2566" s="130"/>
      <c r="C2566" s="135"/>
      <c r="D2566" s="177"/>
      <c r="E2566" s="178"/>
      <c r="F2566" s="178"/>
      <c r="G2566" s="340"/>
      <c r="H2566" s="340"/>
      <c r="I2566" s="179"/>
      <c r="J2566" s="344"/>
      <c r="K2566" s="345"/>
      <c r="L2566" s="346"/>
      <c r="M2566" s="347"/>
      <c r="N2566" s="347"/>
      <c r="O2566" s="132"/>
    </row>
    <row r="2567" spans="2:15" ht="26.25" customHeight="1" x14ac:dyDescent="0.25">
      <c r="B2567" s="130"/>
      <c r="C2567" s="135"/>
      <c r="D2567" s="177"/>
      <c r="E2567" s="178"/>
      <c r="F2567" s="178"/>
      <c r="G2567" s="340"/>
      <c r="H2567" s="340"/>
      <c r="I2567" s="179"/>
      <c r="J2567" s="344"/>
      <c r="K2567" s="345"/>
      <c r="L2567" s="346"/>
      <c r="M2567" s="347"/>
      <c r="N2567" s="347"/>
      <c r="O2567" s="132"/>
    </row>
    <row r="2568" spans="2:15" ht="26.25" customHeight="1" x14ac:dyDescent="0.25">
      <c r="B2568" s="130"/>
      <c r="C2568" s="135"/>
      <c r="D2568" s="177"/>
      <c r="E2568" s="178"/>
      <c r="F2568" s="178"/>
      <c r="G2568" s="340"/>
      <c r="H2568" s="340"/>
      <c r="I2568" s="179"/>
      <c r="J2568" s="344"/>
      <c r="K2568" s="345"/>
      <c r="L2568" s="346"/>
      <c r="M2568" s="347"/>
      <c r="N2568" s="347"/>
      <c r="O2568" s="132"/>
    </row>
    <row r="2569" spans="2:15" ht="26.25" customHeight="1" x14ac:dyDescent="0.25">
      <c r="B2569" s="130"/>
      <c r="C2569" s="135"/>
      <c r="D2569" s="177"/>
      <c r="E2569" s="178"/>
      <c r="F2569" s="178"/>
      <c r="G2569" s="340"/>
      <c r="H2569" s="340"/>
      <c r="I2569" s="179"/>
      <c r="J2569" s="344"/>
      <c r="K2569" s="345"/>
      <c r="L2569" s="346"/>
      <c r="M2569" s="347"/>
      <c r="N2569" s="347"/>
      <c r="O2569" s="132"/>
    </row>
    <row r="2570" spans="2:15" ht="26.25" customHeight="1" x14ac:dyDescent="0.25">
      <c r="B2570" s="130"/>
      <c r="C2570" s="135"/>
      <c r="D2570" s="177"/>
      <c r="E2570" s="178"/>
      <c r="F2570" s="178"/>
      <c r="G2570" s="340"/>
      <c r="H2570" s="340"/>
      <c r="I2570" s="179"/>
      <c r="J2570" s="344"/>
      <c r="K2570" s="345"/>
      <c r="L2570" s="346"/>
      <c r="M2570" s="347"/>
      <c r="N2570" s="347"/>
      <c r="O2570" s="132"/>
    </row>
    <row r="2571" spans="2:15" ht="26.25" customHeight="1" x14ac:dyDescent="0.25">
      <c r="B2571" s="130"/>
      <c r="C2571" s="135"/>
      <c r="D2571" s="177"/>
      <c r="E2571" s="178"/>
      <c r="F2571" s="178"/>
      <c r="G2571" s="340"/>
      <c r="H2571" s="340"/>
      <c r="I2571" s="179"/>
      <c r="J2571" s="344"/>
      <c r="K2571" s="345"/>
      <c r="L2571" s="346"/>
      <c r="M2571" s="347"/>
      <c r="N2571" s="347"/>
      <c r="O2571" s="132"/>
    </row>
    <row r="2572" spans="2:15" ht="26.25" customHeight="1" x14ac:dyDescent="0.25">
      <c r="B2572" s="130"/>
      <c r="C2572" s="135"/>
      <c r="D2572" s="177"/>
      <c r="E2572" s="178"/>
      <c r="F2572" s="178"/>
      <c r="G2572" s="340"/>
      <c r="H2572" s="340"/>
      <c r="I2572" s="179"/>
      <c r="J2572" s="344"/>
      <c r="K2572" s="345"/>
      <c r="L2572" s="346"/>
      <c r="M2572" s="347"/>
      <c r="N2572" s="347"/>
      <c r="O2572" s="132"/>
    </row>
    <row r="2573" spans="2:15" ht="26.25" customHeight="1" x14ac:dyDescent="0.25">
      <c r="B2573" s="130"/>
      <c r="C2573" s="135"/>
      <c r="D2573" s="177"/>
      <c r="E2573" s="178"/>
      <c r="F2573" s="178"/>
      <c r="G2573" s="340"/>
      <c r="H2573" s="340"/>
      <c r="I2573" s="179"/>
      <c r="J2573" s="344"/>
      <c r="K2573" s="345"/>
      <c r="L2573" s="346"/>
      <c r="M2573" s="347"/>
      <c r="N2573" s="347"/>
      <c r="O2573" s="132"/>
    </row>
    <row r="2574" spans="2:15" ht="26.25" customHeight="1" x14ac:dyDescent="0.25">
      <c r="B2574" s="130"/>
      <c r="C2574" s="135"/>
      <c r="D2574" s="177"/>
      <c r="E2574" s="178"/>
      <c r="F2574" s="178"/>
      <c r="G2574" s="340"/>
      <c r="H2574" s="340"/>
      <c r="I2574" s="179"/>
      <c r="J2574" s="344"/>
      <c r="K2574" s="345"/>
      <c r="L2574" s="346"/>
      <c r="M2574" s="347"/>
      <c r="N2574" s="347"/>
      <c r="O2574" s="132"/>
    </row>
    <row r="2575" spans="2:15" ht="26.25" customHeight="1" x14ac:dyDescent="0.25">
      <c r="B2575" s="130"/>
      <c r="C2575" s="135"/>
      <c r="D2575" s="177"/>
      <c r="E2575" s="178"/>
      <c r="F2575" s="178"/>
      <c r="G2575" s="340"/>
      <c r="H2575" s="340"/>
      <c r="I2575" s="179"/>
      <c r="J2575" s="344"/>
      <c r="K2575" s="345"/>
      <c r="L2575" s="346"/>
      <c r="M2575" s="347"/>
      <c r="N2575" s="347"/>
      <c r="O2575" s="132"/>
    </row>
    <row r="2576" spans="2:15" ht="26.25" customHeight="1" x14ac:dyDescent="0.25">
      <c r="B2576" s="130"/>
      <c r="C2576" s="135"/>
      <c r="D2576" s="177"/>
      <c r="E2576" s="178"/>
      <c r="F2576" s="178"/>
      <c r="G2576" s="340"/>
      <c r="H2576" s="340"/>
      <c r="I2576" s="179"/>
      <c r="J2576" s="344"/>
      <c r="K2576" s="345"/>
      <c r="L2576" s="346"/>
      <c r="M2576" s="347"/>
      <c r="N2576" s="347"/>
      <c r="O2576" s="132"/>
    </row>
    <row r="2577" spans="2:15" ht="26.25" customHeight="1" x14ac:dyDescent="0.25">
      <c r="B2577" s="130"/>
      <c r="C2577" s="135"/>
      <c r="D2577" s="177"/>
      <c r="E2577" s="178"/>
      <c r="F2577" s="178"/>
      <c r="G2577" s="340"/>
      <c r="H2577" s="340"/>
      <c r="I2577" s="179"/>
      <c r="J2577" s="344"/>
      <c r="K2577" s="345"/>
      <c r="L2577" s="346"/>
      <c r="M2577" s="347"/>
      <c r="N2577" s="347"/>
      <c r="O2577" s="132"/>
    </row>
    <row r="2578" spans="2:15" ht="26.25" customHeight="1" x14ac:dyDescent="0.25">
      <c r="B2578" s="130"/>
      <c r="C2578" s="135"/>
      <c r="D2578" s="177"/>
      <c r="E2578" s="178"/>
      <c r="F2578" s="178"/>
      <c r="G2578" s="340"/>
      <c r="H2578" s="340"/>
      <c r="I2578" s="179"/>
      <c r="J2578" s="344"/>
      <c r="K2578" s="345"/>
      <c r="L2578" s="346"/>
      <c r="M2578" s="347"/>
      <c r="N2578" s="347"/>
      <c r="O2578" s="132"/>
    </row>
    <row r="2579" spans="2:15" ht="26.25" customHeight="1" x14ac:dyDescent="0.25">
      <c r="B2579" s="130"/>
      <c r="C2579" s="135"/>
      <c r="D2579" s="177"/>
      <c r="E2579" s="178"/>
      <c r="F2579" s="178"/>
      <c r="G2579" s="340"/>
      <c r="H2579" s="340"/>
      <c r="I2579" s="179"/>
      <c r="J2579" s="344"/>
      <c r="K2579" s="345"/>
      <c r="L2579" s="346"/>
      <c r="M2579" s="347"/>
      <c r="N2579" s="347"/>
      <c r="O2579" s="132"/>
    </row>
    <row r="2580" spans="2:15" ht="26.25" customHeight="1" x14ac:dyDescent="0.25">
      <c r="B2580" s="130"/>
      <c r="C2580" s="135"/>
      <c r="D2580" s="177"/>
      <c r="E2580" s="178"/>
      <c r="F2580" s="178"/>
      <c r="G2580" s="340"/>
      <c r="H2580" s="340"/>
      <c r="I2580" s="179"/>
      <c r="J2580" s="344"/>
      <c r="K2580" s="345"/>
      <c r="L2580" s="346"/>
      <c r="M2580" s="347"/>
      <c r="N2580" s="347"/>
      <c r="O2580" s="132"/>
    </row>
    <row r="2581" spans="2:15" ht="26.25" customHeight="1" x14ac:dyDescent="0.25">
      <c r="B2581" s="130"/>
      <c r="C2581" s="135"/>
      <c r="D2581" s="177"/>
      <c r="E2581" s="178"/>
      <c r="F2581" s="178"/>
      <c r="G2581" s="340"/>
      <c r="H2581" s="340"/>
      <c r="I2581" s="179"/>
      <c r="J2581" s="344"/>
      <c r="K2581" s="345"/>
      <c r="L2581" s="346"/>
      <c r="M2581" s="347"/>
      <c r="N2581" s="347"/>
      <c r="O2581" s="132"/>
    </row>
    <row r="2582" spans="2:15" ht="26.25" customHeight="1" x14ac:dyDescent="0.25">
      <c r="B2582" s="130"/>
      <c r="C2582" s="135"/>
      <c r="D2582" s="177"/>
      <c r="E2582" s="178"/>
      <c r="F2582" s="178"/>
      <c r="G2582" s="340"/>
      <c r="H2582" s="340"/>
      <c r="I2582" s="179"/>
      <c r="J2582" s="344"/>
      <c r="K2582" s="345"/>
      <c r="L2582" s="346"/>
      <c r="M2582" s="347"/>
      <c r="N2582" s="347"/>
      <c r="O2582" s="132"/>
    </row>
    <row r="2583" spans="2:15" ht="26.25" customHeight="1" x14ac:dyDescent="0.25">
      <c r="B2583" s="130"/>
      <c r="C2583" s="135"/>
      <c r="D2583" s="177"/>
      <c r="E2583" s="178"/>
      <c r="F2583" s="178"/>
      <c r="G2583" s="340"/>
      <c r="H2583" s="340"/>
      <c r="I2583" s="179"/>
      <c r="J2583" s="344"/>
      <c r="K2583" s="345"/>
      <c r="L2583" s="346"/>
      <c r="M2583" s="347"/>
      <c r="N2583" s="347"/>
      <c r="O2583" s="132"/>
    </row>
    <row r="2584" spans="2:15" ht="26.25" customHeight="1" x14ac:dyDescent="0.25">
      <c r="B2584" s="130"/>
      <c r="C2584" s="135"/>
      <c r="D2584" s="177"/>
      <c r="E2584" s="178"/>
      <c r="F2584" s="178"/>
      <c r="G2584" s="340"/>
      <c r="H2584" s="340"/>
      <c r="I2584" s="179"/>
      <c r="J2584" s="344"/>
      <c r="K2584" s="345"/>
      <c r="L2584" s="346"/>
      <c r="M2584" s="347"/>
      <c r="N2584" s="347"/>
      <c r="O2584" s="132"/>
    </row>
    <row r="2585" spans="2:15" ht="26.25" customHeight="1" x14ac:dyDescent="0.25">
      <c r="B2585" s="130"/>
      <c r="C2585" s="135"/>
      <c r="D2585" s="177"/>
      <c r="E2585" s="178"/>
      <c r="F2585" s="178"/>
      <c r="G2585" s="340"/>
      <c r="H2585" s="340"/>
      <c r="I2585" s="179"/>
      <c r="J2585" s="344"/>
      <c r="K2585" s="345"/>
      <c r="L2585" s="346"/>
      <c r="M2585" s="347"/>
      <c r="N2585" s="347"/>
      <c r="O2585" s="132"/>
    </row>
    <row r="2586" spans="2:15" ht="26.25" customHeight="1" x14ac:dyDescent="0.25">
      <c r="B2586" s="130"/>
      <c r="C2586" s="135"/>
      <c r="D2586" s="177"/>
      <c r="E2586" s="178"/>
      <c r="F2586" s="178"/>
      <c r="G2586" s="340"/>
      <c r="H2586" s="340"/>
      <c r="I2586" s="179"/>
      <c r="J2586" s="344"/>
      <c r="K2586" s="345"/>
      <c r="L2586" s="346"/>
      <c r="M2586" s="347"/>
      <c r="N2586" s="347"/>
      <c r="O2586" s="132"/>
    </row>
    <row r="2587" spans="2:15" ht="26.25" customHeight="1" x14ac:dyDescent="0.25">
      <c r="B2587" s="130"/>
      <c r="C2587" s="135"/>
      <c r="D2587" s="177"/>
      <c r="E2587" s="178"/>
      <c r="F2587" s="178"/>
      <c r="G2587" s="340"/>
      <c r="H2587" s="340"/>
      <c r="I2587" s="179"/>
      <c r="J2587" s="344"/>
      <c r="K2587" s="345"/>
      <c r="L2587" s="346"/>
      <c r="M2587" s="347"/>
      <c r="N2587" s="347"/>
      <c r="O2587" s="132"/>
    </row>
    <row r="2588" spans="2:15" ht="26.25" customHeight="1" x14ac:dyDescent="0.25">
      <c r="B2588" s="130"/>
      <c r="C2588" s="135"/>
      <c r="D2588" s="177"/>
      <c r="E2588" s="178"/>
      <c r="F2588" s="178"/>
      <c r="G2588" s="340"/>
      <c r="H2588" s="340"/>
      <c r="I2588" s="179"/>
      <c r="J2588" s="344"/>
      <c r="K2588" s="345"/>
      <c r="L2588" s="346"/>
      <c r="M2588" s="347"/>
      <c r="N2588" s="347"/>
      <c r="O2588" s="132"/>
    </row>
    <row r="2589" spans="2:15" ht="26.25" customHeight="1" x14ac:dyDescent="0.25">
      <c r="B2589" s="130"/>
      <c r="C2589" s="135"/>
      <c r="D2589" s="177"/>
      <c r="E2589" s="178"/>
      <c r="F2589" s="178"/>
      <c r="G2589" s="340"/>
      <c r="H2589" s="340"/>
      <c r="I2589" s="179"/>
      <c r="J2589" s="344"/>
      <c r="K2589" s="345"/>
      <c r="L2589" s="346"/>
      <c r="M2589" s="347"/>
      <c r="N2589" s="347"/>
      <c r="O2589" s="132"/>
    </row>
    <row r="2590" spans="2:15" ht="26.25" customHeight="1" x14ac:dyDescent="0.25">
      <c r="B2590" s="130"/>
      <c r="C2590" s="135"/>
      <c r="D2590" s="177"/>
      <c r="E2590" s="178"/>
      <c r="F2590" s="178"/>
      <c r="G2590" s="340"/>
      <c r="H2590" s="340"/>
      <c r="I2590" s="179"/>
      <c r="J2590" s="344"/>
      <c r="K2590" s="345"/>
      <c r="L2590" s="346"/>
      <c r="M2590" s="347"/>
      <c r="N2590" s="347"/>
      <c r="O2590" s="132"/>
    </row>
    <row r="2591" spans="2:15" ht="26.25" customHeight="1" x14ac:dyDescent="0.25">
      <c r="B2591" s="130"/>
      <c r="C2591" s="135"/>
      <c r="D2591" s="177"/>
      <c r="E2591" s="178"/>
      <c r="F2591" s="178"/>
      <c r="G2591" s="340"/>
      <c r="H2591" s="340"/>
      <c r="I2591" s="179"/>
      <c r="J2591" s="344"/>
      <c r="K2591" s="345"/>
      <c r="L2591" s="346"/>
      <c r="M2591" s="347"/>
      <c r="N2591" s="347"/>
      <c r="O2591" s="132"/>
    </row>
    <row r="2592" spans="2:15" ht="26.25" customHeight="1" x14ac:dyDescent="0.25">
      <c r="B2592" s="130"/>
      <c r="C2592" s="135"/>
      <c r="D2592" s="177"/>
      <c r="E2592" s="178"/>
      <c r="F2592" s="178"/>
      <c r="G2592" s="340"/>
      <c r="H2592" s="340"/>
      <c r="I2592" s="179"/>
      <c r="J2592" s="344"/>
      <c r="K2592" s="345"/>
      <c r="L2592" s="346"/>
      <c r="M2592" s="347"/>
      <c r="N2592" s="347"/>
      <c r="O2592" s="132"/>
    </row>
    <row r="2593" spans="2:15" ht="26.25" customHeight="1" x14ac:dyDescent="0.25">
      <c r="B2593" s="130"/>
      <c r="C2593" s="135"/>
      <c r="D2593" s="177"/>
      <c r="E2593" s="178"/>
      <c r="F2593" s="178"/>
      <c r="G2593" s="340"/>
      <c r="H2593" s="340"/>
      <c r="I2593" s="179"/>
      <c r="J2593" s="344"/>
      <c r="K2593" s="345"/>
      <c r="L2593" s="346"/>
      <c r="M2593" s="347"/>
      <c r="N2593" s="347"/>
      <c r="O2593" s="132"/>
    </row>
    <row r="2594" spans="2:15" ht="26.25" customHeight="1" x14ac:dyDescent="0.25">
      <c r="B2594" s="130"/>
      <c r="C2594" s="135"/>
      <c r="D2594" s="177"/>
      <c r="E2594" s="178"/>
      <c r="F2594" s="178"/>
      <c r="G2594" s="340"/>
      <c r="H2594" s="340"/>
      <c r="I2594" s="179"/>
      <c r="J2594" s="344"/>
      <c r="K2594" s="345"/>
      <c r="L2594" s="346"/>
      <c r="M2594" s="347"/>
      <c r="N2594" s="347"/>
      <c r="O2594" s="132"/>
    </row>
    <row r="2595" spans="2:15" ht="26.25" customHeight="1" x14ac:dyDescent="0.25">
      <c r="B2595" s="130"/>
      <c r="C2595" s="135"/>
      <c r="D2595" s="177"/>
      <c r="E2595" s="178"/>
      <c r="F2595" s="178"/>
      <c r="G2595" s="340"/>
      <c r="H2595" s="340"/>
      <c r="I2595" s="179"/>
      <c r="J2595" s="344"/>
      <c r="K2595" s="345"/>
      <c r="L2595" s="346"/>
      <c r="M2595" s="347"/>
      <c r="N2595" s="347"/>
      <c r="O2595" s="132"/>
    </row>
    <row r="2596" spans="2:15" ht="26.25" customHeight="1" x14ac:dyDescent="0.25">
      <c r="B2596" s="130"/>
      <c r="C2596" s="135"/>
      <c r="D2596" s="177"/>
      <c r="E2596" s="178"/>
      <c r="F2596" s="178"/>
      <c r="G2596" s="340"/>
      <c r="H2596" s="340"/>
      <c r="I2596" s="179"/>
      <c r="J2596" s="344"/>
      <c r="K2596" s="345"/>
      <c r="L2596" s="346"/>
      <c r="M2596" s="347"/>
      <c r="N2596" s="347"/>
      <c r="O2596" s="132"/>
    </row>
    <row r="2597" spans="2:15" ht="26.25" customHeight="1" x14ac:dyDescent="0.25">
      <c r="B2597" s="130"/>
      <c r="C2597" s="135"/>
      <c r="D2597" s="177"/>
      <c r="E2597" s="178"/>
      <c r="F2597" s="178"/>
      <c r="G2597" s="340"/>
      <c r="H2597" s="340"/>
      <c r="I2597" s="179"/>
      <c r="J2597" s="344"/>
      <c r="K2597" s="345"/>
      <c r="L2597" s="346"/>
      <c r="M2597" s="347"/>
      <c r="N2597" s="347"/>
      <c r="O2597" s="132"/>
    </row>
    <row r="2598" spans="2:15" ht="26.25" customHeight="1" x14ac:dyDescent="0.25">
      <c r="B2598" s="130"/>
      <c r="C2598" s="135"/>
      <c r="D2598" s="177"/>
      <c r="E2598" s="178"/>
      <c r="F2598" s="178"/>
      <c r="G2598" s="340"/>
      <c r="H2598" s="340"/>
      <c r="I2598" s="179"/>
      <c r="J2598" s="344"/>
      <c r="K2598" s="345"/>
      <c r="L2598" s="346"/>
      <c r="M2598" s="347"/>
      <c r="N2598" s="347"/>
      <c r="O2598" s="132"/>
    </row>
    <row r="2599" spans="2:15" ht="26.25" customHeight="1" x14ac:dyDescent="0.25">
      <c r="B2599" s="130"/>
      <c r="C2599" s="135"/>
      <c r="D2599" s="177"/>
      <c r="E2599" s="178"/>
      <c r="F2599" s="178"/>
      <c r="G2599" s="340"/>
      <c r="H2599" s="340"/>
      <c r="I2599" s="179"/>
      <c r="J2599" s="344"/>
      <c r="K2599" s="345"/>
      <c r="L2599" s="346"/>
      <c r="M2599" s="347"/>
      <c r="N2599" s="347"/>
      <c r="O2599" s="132"/>
    </row>
    <row r="2600" spans="2:15" ht="26.25" customHeight="1" x14ac:dyDescent="0.25">
      <c r="B2600" s="130"/>
      <c r="C2600" s="135"/>
      <c r="D2600" s="177"/>
      <c r="E2600" s="178"/>
      <c r="F2600" s="178"/>
      <c r="G2600" s="340"/>
      <c r="H2600" s="340"/>
      <c r="I2600" s="179"/>
      <c r="J2600" s="344"/>
      <c r="K2600" s="345"/>
      <c r="L2600" s="346"/>
      <c r="M2600" s="347"/>
      <c r="N2600" s="347"/>
      <c r="O2600" s="132"/>
    </row>
    <row r="2601" spans="2:15" ht="26.25" customHeight="1" x14ac:dyDescent="0.25">
      <c r="B2601" s="130"/>
      <c r="C2601" s="135"/>
      <c r="D2601" s="177"/>
      <c r="E2601" s="178"/>
      <c r="F2601" s="178"/>
      <c r="G2601" s="340"/>
      <c r="H2601" s="340"/>
      <c r="I2601" s="179"/>
      <c r="J2601" s="344"/>
      <c r="K2601" s="345"/>
      <c r="L2601" s="346"/>
      <c r="M2601" s="347"/>
      <c r="N2601" s="347"/>
      <c r="O2601" s="132"/>
    </row>
    <row r="2602" spans="2:15" ht="26.25" customHeight="1" x14ac:dyDescent="0.25">
      <c r="B2602" s="130"/>
      <c r="C2602" s="135"/>
      <c r="D2602" s="177"/>
      <c r="E2602" s="178"/>
      <c r="F2602" s="178"/>
      <c r="G2602" s="340"/>
      <c r="H2602" s="340"/>
      <c r="I2602" s="179"/>
      <c r="J2602" s="344"/>
      <c r="K2602" s="345"/>
      <c r="L2602" s="346"/>
      <c r="M2602" s="347"/>
      <c r="N2602" s="347"/>
      <c r="O2602" s="132"/>
    </row>
    <row r="2603" spans="2:15" ht="26.25" customHeight="1" x14ac:dyDescent="0.25">
      <c r="B2603" s="130"/>
      <c r="C2603" s="135"/>
      <c r="D2603" s="177"/>
      <c r="E2603" s="178"/>
      <c r="F2603" s="178"/>
      <c r="G2603" s="340"/>
      <c r="H2603" s="340"/>
      <c r="I2603" s="179"/>
      <c r="J2603" s="344"/>
      <c r="K2603" s="345"/>
      <c r="L2603" s="346"/>
      <c r="M2603" s="347"/>
      <c r="N2603" s="347"/>
      <c r="O2603" s="132"/>
    </row>
    <row r="2604" spans="2:15" ht="26.25" customHeight="1" x14ac:dyDescent="0.25">
      <c r="B2604" s="130"/>
      <c r="C2604" s="135"/>
      <c r="D2604" s="177"/>
      <c r="E2604" s="178"/>
      <c r="F2604" s="178"/>
      <c r="G2604" s="340"/>
      <c r="H2604" s="340"/>
      <c r="I2604" s="179"/>
      <c r="J2604" s="344"/>
      <c r="K2604" s="345"/>
      <c r="L2604" s="346"/>
      <c r="M2604" s="347"/>
      <c r="N2604" s="347"/>
      <c r="O2604" s="132"/>
    </row>
    <row r="2605" spans="2:15" ht="26.25" customHeight="1" x14ac:dyDescent="0.25">
      <c r="B2605" s="130"/>
      <c r="C2605" s="135"/>
      <c r="D2605" s="177"/>
      <c r="E2605" s="178"/>
      <c r="F2605" s="178"/>
      <c r="G2605" s="340"/>
      <c r="H2605" s="340"/>
      <c r="I2605" s="179"/>
      <c r="J2605" s="344"/>
      <c r="K2605" s="345"/>
      <c r="L2605" s="346"/>
      <c r="M2605" s="347"/>
      <c r="N2605" s="347"/>
      <c r="O2605" s="132"/>
    </row>
    <row r="2606" spans="2:15" ht="26.25" customHeight="1" x14ac:dyDescent="0.25">
      <c r="B2606" s="130"/>
      <c r="C2606" s="135"/>
      <c r="D2606" s="177"/>
      <c r="E2606" s="178"/>
      <c r="F2606" s="178"/>
      <c r="G2606" s="340"/>
      <c r="H2606" s="340"/>
      <c r="I2606" s="179"/>
      <c r="J2606" s="344"/>
      <c r="K2606" s="345"/>
      <c r="L2606" s="346"/>
      <c r="M2606" s="347"/>
      <c r="N2606" s="347"/>
      <c r="O2606" s="132"/>
    </row>
    <row r="2607" spans="2:15" ht="26.25" customHeight="1" x14ac:dyDescent="0.25">
      <c r="B2607" s="130"/>
      <c r="C2607" s="135"/>
      <c r="D2607" s="177"/>
      <c r="E2607" s="178"/>
      <c r="F2607" s="178"/>
      <c r="G2607" s="340"/>
      <c r="H2607" s="340"/>
      <c r="I2607" s="179"/>
      <c r="J2607" s="344"/>
      <c r="K2607" s="345"/>
      <c r="L2607" s="346"/>
      <c r="M2607" s="347"/>
      <c r="N2607" s="347"/>
      <c r="O2607" s="132"/>
    </row>
    <row r="2608" spans="2:15" ht="26.25" customHeight="1" x14ac:dyDescent="0.25">
      <c r="B2608" s="130"/>
      <c r="C2608" s="135"/>
      <c r="D2608" s="177"/>
      <c r="E2608" s="178"/>
      <c r="F2608" s="178"/>
      <c r="G2608" s="340"/>
      <c r="H2608" s="340"/>
      <c r="I2608" s="179"/>
      <c r="J2608" s="344"/>
      <c r="K2608" s="345"/>
      <c r="L2608" s="346"/>
      <c r="M2608" s="347"/>
      <c r="N2608" s="347"/>
      <c r="O2608" s="132"/>
    </row>
    <row r="2609" spans="2:15" ht="26.25" customHeight="1" x14ac:dyDescent="0.25">
      <c r="B2609" s="130"/>
      <c r="C2609" s="135"/>
      <c r="D2609" s="177"/>
      <c r="E2609" s="178"/>
      <c r="F2609" s="178"/>
      <c r="G2609" s="340"/>
      <c r="H2609" s="340"/>
      <c r="I2609" s="179"/>
      <c r="J2609" s="344"/>
      <c r="K2609" s="345"/>
      <c r="L2609" s="346"/>
      <c r="M2609" s="347"/>
      <c r="N2609" s="347"/>
      <c r="O2609" s="132"/>
    </row>
    <row r="2610" spans="2:15" ht="26.25" customHeight="1" x14ac:dyDescent="0.25">
      <c r="B2610" s="130"/>
      <c r="C2610" s="135"/>
      <c r="D2610" s="177"/>
      <c r="E2610" s="178"/>
      <c r="F2610" s="178"/>
      <c r="G2610" s="340"/>
      <c r="H2610" s="340"/>
      <c r="I2610" s="179"/>
      <c r="J2610" s="344"/>
      <c r="K2610" s="345"/>
      <c r="L2610" s="346"/>
      <c r="M2610" s="347"/>
      <c r="N2610" s="347"/>
      <c r="O2610" s="132"/>
    </row>
    <row r="2611" spans="2:15" ht="26.25" customHeight="1" x14ac:dyDescent="0.25">
      <c r="B2611" s="130"/>
      <c r="C2611" s="135"/>
      <c r="D2611" s="177"/>
      <c r="E2611" s="178"/>
      <c r="F2611" s="178"/>
      <c r="G2611" s="340"/>
      <c r="H2611" s="340"/>
      <c r="I2611" s="179"/>
      <c r="J2611" s="344"/>
      <c r="K2611" s="345"/>
      <c r="L2611" s="346"/>
      <c r="M2611" s="347"/>
      <c r="N2611" s="347"/>
      <c r="O2611" s="132"/>
    </row>
    <row r="2612" spans="2:15" ht="26.25" customHeight="1" x14ac:dyDescent="0.25">
      <c r="B2612" s="130"/>
      <c r="C2612" s="135"/>
      <c r="D2612" s="177"/>
      <c r="E2612" s="178"/>
      <c r="F2612" s="178"/>
      <c r="G2612" s="340"/>
      <c r="H2612" s="340"/>
      <c r="I2612" s="179"/>
      <c r="J2612" s="344"/>
      <c r="K2612" s="345"/>
      <c r="L2612" s="346"/>
      <c r="M2612" s="347"/>
      <c r="N2612" s="347"/>
      <c r="O2612" s="132"/>
    </row>
    <row r="2613" spans="2:15" ht="26.25" customHeight="1" x14ac:dyDescent="0.25">
      <c r="B2613" s="130"/>
      <c r="C2613" s="135"/>
      <c r="D2613" s="177"/>
      <c r="E2613" s="178"/>
      <c r="F2613" s="178"/>
      <c r="G2613" s="340"/>
      <c r="H2613" s="340"/>
      <c r="I2613" s="179"/>
      <c r="J2613" s="344"/>
      <c r="K2613" s="345"/>
      <c r="L2613" s="346"/>
      <c r="M2613" s="347"/>
      <c r="N2613" s="347"/>
      <c r="O2613" s="132"/>
    </row>
    <row r="2614" spans="2:15" ht="26.25" customHeight="1" x14ac:dyDescent="0.25">
      <c r="B2614" s="130"/>
      <c r="C2614" s="135"/>
      <c r="D2614" s="177"/>
      <c r="E2614" s="178"/>
      <c r="F2614" s="178"/>
      <c r="G2614" s="340"/>
      <c r="H2614" s="340"/>
      <c r="I2614" s="179"/>
      <c r="J2614" s="344"/>
      <c r="K2614" s="345"/>
      <c r="L2614" s="346"/>
      <c r="M2614" s="347"/>
      <c r="N2614" s="347"/>
      <c r="O2614" s="132"/>
    </row>
    <row r="2615" spans="2:15" ht="26.25" customHeight="1" x14ac:dyDescent="0.25">
      <c r="B2615" s="130"/>
      <c r="C2615" s="135"/>
      <c r="D2615" s="177"/>
      <c r="E2615" s="178"/>
      <c r="F2615" s="178"/>
      <c r="G2615" s="340"/>
      <c r="H2615" s="340"/>
      <c r="I2615" s="179"/>
      <c r="J2615" s="344"/>
      <c r="K2615" s="345"/>
      <c r="L2615" s="346"/>
      <c r="M2615" s="347"/>
      <c r="N2615" s="347"/>
      <c r="O2615" s="132"/>
    </row>
    <row r="2616" spans="2:15" ht="26.25" customHeight="1" x14ac:dyDescent="0.25">
      <c r="B2616" s="130"/>
      <c r="C2616" s="135"/>
      <c r="D2616" s="177"/>
      <c r="E2616" s="178"/>
      <c r="F2616" s="178"/>
      <c r="G2616" s="340"/>
      <c r="H2616" s="340"/>
      <c r="I2616" s="179"/>
      <c r="J2616" s="344"/>
      <c r="K2616" s="345"/>
      <c r="L2616" s="346"/>
      <c r="M2616" s="347"/>
      <c r="N2616" s="347"/>
      <c r="O2616" s="132"/>
    </row>
    <row r="2617" spans="2:15" ht="26.25" customHeight="1" x14ac:dyDescent="0.25">
      <c r="B2617" s="130"/>
      <c r="C2617" s="135"/>
      <c r="D2617" s="177"/>
      <c r="E2617" s="178"/>
      <c r="F2617" s="178"/>
      <c r="G2617" s="340"/>
      <c r="H2617" s="340"/>
      <c r="I2617" s="179"/>
      <c r="J2617" s="344"/>
      <c r="K2617" s="345"/>
      <c r="L2617" s="346"/>
      <c r="M2617" s="347"/>
      <c r="N2617" s="347"/>
      <c r="O2617" s="132"/>
    </row>
    <row r="2618" spans="2:15" ht="26.25" customHeight="1" x14ac:dyDescent="0.25">
      <c r="B2618" s="130"/>
      <c r="C2618" s="135"/>
      <c r="D2618" s="177"/>
      <c r="E2618" s="178"/>
      <c r="F2618" s="178"/>
      <c r="G2618" s="340"/>
      <c r="H2618" s="340"/>
      <c r="I2618" s="179"/>
      <c r="J2618" s="344"/>
      <c r="K2618" s="345"/>
      <c r="L2618" s="346"/>
      <c r="M2618" s="347"/>
      <c r="N2618" s="347"/>
      <c r="O2618" s="132"/>
    </row>
    <row r="2619" spans="2:15" ht="26.25" customHeight="1" x14ac:dyDescent="0.25">
      <c r="B2619" s="130"/>
      <c r="C2619" s="135"/>
      <c r="D2619" s="177"/>
      <c r="E2619" s="178"/>
      <c r="F2619" s="178"/>
      <c r="G2619" s="340"/>
      <c r="H2619" s="340"/>
      <c r="I2619" s="179"/>
      <c r="J2619" s="344"/>
      <c r="K2619" s="345"/>
      <c r="L2619" s="346"/>
      <c r="M2619" s="347"/>
      <c r="N2619" s="347"/>
      <c r="O2619" s="132"/>
    </row>
    <row r="2620" spans="2:15" ht="26.25" customHeight="1" x14ac:dyDescent="0.25">
      <c r="B2620" s="130"/>
      <c r="C2620" s="135"/>
      <c r="D2620" s="177"/>
      <c r="E2620" s="178"/>
      <c r="F2620" s="178"/>
      <c r="G2620" s="340"/>
      <c r="H2620" s="340"/>
      <c r="I2620" s="179"/>
      <c r="J2620" s="344"/>
      <c r="K2620" s="345"/>
      <c r="L2620" s="346"/>
      <c r="M2620" s="347"/>
      <c r="N2620" s="347"/>
      <c r="O2620" s="132"/>
    </row>
    <row r="2621" spans="2:15" ht="26.25" customHeight="1" x14ac:dyDescent="0.25">
      <c r="B2621" s="130"/>
      <c r="C2621" s="135"/>
      <c r="D2621" s="177"/>
      <c r="E2621" s="178"/>
      <c r="F2621" s="178"/>
      <c r="G2621" s="340"/>
      <c r="H2621" s="340"/>
      <c r="I2621" s="179"/>
      <c r="J2621" s="344"/>
      <c r="K2621" s="345"/>
      <c r="L2621" s="346"/>
      <c r="M2621" s="347"/>
      <c r="N2621" s="347"/>
      <c r="O2621" s="132"/>
    </row>
    <row r="2622" spans="2:15" ht="26.25" customHeight="1" x14ac:dyDescent="0.25">
      <c r="B2622" s="130"/>
      <c r="C2622" s="135"/>
      <c r="D2622" s="177"/>
      <c r="E2622" s="178"/>
      <c r="F2622" s="178"/>
      <c r="G2622" s="340"/>
      <c r="H2622" s="340"/>
      <c r="I2622" s="179"/>
      <c r="J2622" s="344"/>
      <c r="K2622" s="345"/>
      <c r="L2622" s="346"/>
      <c r="M2622" s="347"/>
      <c r="N2622" s="347"/>
      <c r="O2622" s="132"/>
    </row>
    <row r="2623" spans="2:15" ht="26.25" customHeight="1" x14ac:dyDescent="0.25">
      <c r="B2623" s="130"/>
      <c r="C2623" s="135"/>
      <c r="D2623" s="177"/>
      <c r="E2623" s="178"/>
      <c r="F2623" s="178"/>
      <c r="G2623" s="340"/>
      <c r="H2623" s="340"/>
      <c r="I2623" s="179"/>
      <c r="J2623" s="344"/>
      <c r="K2623" s="345"/>
      <c r="L2623" s="346"/>
      <c r="M2623" s="347"/>
      <c r="N2623" s="347"/>
      <c r="O2623" s="132"/>
    </row>
    <row r="2624" spans="2:15" ht="26.25" customHeight="1" x14ac:dyDescent="0.25">
      <c r="B2624" s="130"/>
      <c r="C2624" s="135"/>
      <c r="D2624" s="177"/>
      <c r="E2624" s="178"/>
      <c r="F2624" s="178"/>
      <c r="G2624" s="340"/>
      <c r="H2624" s="340"/>
      <c r="I2624" s="179"/>
      <c r="J2624" s="344"/>
      <c r="K2624" s="345"/>
      <c r="L2624" s="346"/>
      <c r="M2624" s="347"/>
      <c r="N2624" s="347"/>
      <c r="O2624" s="132"/>
    </row>
    <row r="2625" spans="2:15" ht="26.25" customHeight="1" x14ac:dyDescent="0.25">
      <c r="B2625" s="130"/>
      <c r="C2625" s="135"/>
      <c r="D2625" s="177"/>
      <c r="E2625" s="178"/>
      <c r="F2625" s="178"/>
      <c r="G2625" s="340"/>
      <c r="H2625" s="340"/>
      <c r="I2625" s="179"/>
      <c r="J2625" s="344"/>
      <c r="K2625" s="345"/>
      <c r="L2625" s="346"/>
      <c r="M2625" s="347"/>
      <c r="N2625" s="347"/>
      <c r="O2625" s="132"/>
    </row>
    <row r="2626" spans="2:15" ht="26.25" customHeight="1" x14ac:dyDescent="0.25">
      <c r="B2626" s="130"/>
      <c r="C2626" s="135"/>
      <c r="D2626" s="177"/>
      <c r="E2626" s="178"/>
      <c r="F2626" s="178"/>
      <c r="G2626" s="340"/>
      <c r="H2626" s="340"/>
      <c r="I2626" s="179"/>
      <c r="J2626" s="344"/>
      <c r="K2626" s="345"/>
      <c r="L2626" s="346"/>
      <c r="M2626" s="347"/>
      <c r="N2626" s="347"/>
      <c r="O2626" s="132"/>
    </row>
    <row r="2627" spans="2:15" ht="26.25" customHeight="1" x14ac:dyDescent="0.25">
      <c r="B2627" s="130"/>
      <c r="C2627" s="135"/>
      <c r="D2627" s="177"/>
      <c r="E2627" s="178"/>
      <c r="F2627" s="178"/>
      <c r="G2627" s="340"/>
      <c r="H2627" s="340"/>
      <c r="I2627" s="179"/>
      <c r="J2627" s="344"/>
      <c r="K2627" s="345"/>
      <c r="L2627" s="346"/>
      <c r="M2627" s="347"/>
      <c r="N2627" s="347"/>
      <c r="O2627" s="132"/>
    </row>
    <row r="2628" spans="2:15" ht="26.25" customHeight="1" x14ac:dyDescent="0.25">
      <c r="B2628" s="130"/>
      <c r="C2628" s="135"/>
      <c r="D2628" s="177"/>
      <c r="E2628" s="178"/>
      <c r="F2628" s="178"/>
      <c r="G2628" s="340"/>
      <c r="H2628" s="340"/>
      <c r="I2628" s="179"/>
      <c r="J2628" s="344"/>
      <c r="K2628" s="345"/>
      <c r="L2628" s="346"/>
      <c r="M2628" s="347"/>
      <c r="N2628" s="347"/>
      <c r="O2628" s="132"/>
    </row>
    <row r="2629" spans="2:15" ht="26.25" customHeight="1" x14ac:dyDescent="0.25">
      <c r="B2629" s="130"/>
      <c r="C2629" s="135"/>
      <c r="D2629" s="177"/>
      <c r="E2629" s="178"/>
      <c r="F2629" s="178"/>
      <c r="G2629" s="340"/>
      <c r="H2629" s="340"/>
      <c r="I2629" s="179"/>
      <c r="J2629" s="344"/>
      <c r="K2629" s="345"/>
      <c r="L2629" s="346"/>
      <c r="M2629" s="347"/>
      <c r="N2629" s="347"/>
      <c r="O2629" s="132"/>
    </row>
    <row r="2630" spans="2:15" ht="26.25" customHeight="1" x14ac:dyDescent="0.25">
      <c r="B2630" s="130"/>
      <c r="C2630" s="135"/>
      <c r="D2630" s="177"/>
      <c r="E2630" s="178"/>
      <c r="F2630" s="178"/>
      <c r="G2630" s="340"/>
      <c r="H2630" s="340"/>
      <c r="I2630" s="179"/>
      <c r="J2630" s="344"/>
      <c r="K2630" s="345"/>
      <c r="L2630" s="346"/>
      <c r="M2630" s="347"/>
      <c r="N2630" s="347"/>
      <c r="O2630" s="132"/>
    </row>
    <row r="2631" spans="2:15" ht="26.25" customHeight="1" x14ac:dyDescent="0.25">
      <c r="B2631" s="130"/>
      <c r="C2631" s="135"/>
      <c r="D2631" s="177"/>
      <c r="E2631" s="178"/>
      <c r="F2631" s="178"/>
      <c r="G2631" s="340"/>
      <c r="H2631" s="340"/>
      <c r="I2631" s="179"/>
      <c r="J2631" s="344"/>
      <c r="K2631" s="345"/>
      <c r="L2631" s="346"/>
      <c r="M2631" s="347"/>
      <c r="N2631" s="347"/>
      <c r="O2631" s="132"/>
    </row>
    <row r="2632" spans="2:15" ht="26.25" customHeight="1" x14ac:dyDescent="0.25">
      <c r="B2632" s="130"/>
      <c r="C2632" s="135"/>
      <c r="D2632" s="177"/>
      <c r="E2632" s="178"/>
      <c r="F2632" s="178"/>
      <c r="G2632" s="340"/>
      <c r="H2632" s="340"/>
      <c r="I2632" s="179"/>
      <c r="J2632" s="344"/>
      <c r="K2632" s="345"/>
      <c r="L2632" s="346"/>
      <c r="M2632" s="347"/>
      <c r="N2632" s="347"/>
      <c r="O2632" s="132"/>
    </row>
    <row r="2633" spans="2:15" ht="26.25" customHeight="1" x14ac:dyDescent="0.25">
      <c r="B2633" s="130"/>
      <c r="C2633" s="135"/>
      <c r="D2633" s="177"/>
      <c r="E2633" s="178"/>
      <c r="F2633" s="178"/>
      <c r="G2633" s="340"/>
      <c r="H2633" s="340"/>
      <c r="I2633" s="179"/>
      <c r="J2633" s="344"/>
      <c r="K2633" s="345"/>
      <c r="L2633" s="346"/>
      <c r="M2633" s="347"/>
      <c r="N2633" s="347"/>
      <c r="O2633" s="132"/>
    </row>
    <row r="2634" spans="2:15" ht="26.25" customHeight="1" x14ac:dyDescent="0.25">
      <c r="B2634" s="130"/>
      <c r="C2634" s="135"/>
      <c r="D2634" s="177"/>
      <c r="E2634" s="178"/>
      <c r="F2634" s="178"/>
      <c r="G2634" s="340"/>
      <c r="H2634" s="340"/>
      <c r="I2634" s="179"/>
      <c r="J2634" s="344"/>
      <c r="K2634" s="345"/>
      <c r="L2634" s="346"/>
      <c r="M2634" s="347"/>
      <c r="N2634" s="347"/>
      <c r="O2634" s="132"/>
    </row>
    <row r="2635" spans="2:15" ht="26.25" customHeight="1" x14ac:dyDescent="0.25">
      <c r="B2635" s="130"/>
      <c r="C2635" s="135"/>
      <c r="D2635" s="177"/>
      <c r="E2635" s="178"/>
      <c r="F2635" s="178"/>
      <c r="G2635" s="340"/>
      <c r="H2635" s="340"/>
      <c r="I2635" s="179"/>
      <c r="J2635" s="344"/>
      <c r="K2635" s="345"/>
      <c r="L2635" s="346"/>
      <c r="M2635" s="347"/>
      <c r="N2635" s="347"/>
      <c r="O2635" s="132"/>
    </row>
    <row r="2636" spans="2:15" ht="26.25" customHeight="1" x14ac:dyDescent="0.25">
      <c r="B2636" s="130"/>
      <c r="C2636" s="135"/>
      <c r="D2636" s="177"/>
      <c r="E2636" s="178"/>
      <c r="F2636" s="178"/>
      <c r="G2636" s="340"/>
      <c r="H2636" s="340"/>
      <c r="I2636" s="179"/>
      <c r="J2636" s="344"/>
      <c r="K2636" s="345"/>
      <c r="L2636" s="346"/>
      <c r="M2636" s="347"/>
      <c r="N2636" s="347"/>
      <c r="O2636" s="132"/>
    </row>
    <row r="2637" spans="2:15" ht="26.25" customHeight="1" x14ac:dyDescent="0.25">
      <c r="B2637" s="130"/>
      <c r="C2637" s="135"/>
      <c r="D2637" s="177"/>
      <c r="E2637" s="178"/>
      <c r="F2637" s="178"/>
      <c r="G2637" s="340"/>
      <c r="H2637" s="340"/>
      <c r="I2637" s="179"/>
      <c r="J2637" s="344"/>
      <c r="K2637" s="345"/>
      <c r="L2637" s="346"/>
      <c r="M2637" s="347"/>
      <c r="N2637" s="347"/>
      <c r="O2637" s="132"/>
    </row>
    <row r="2638" spans="2:15" ht="26.25" customHeight="1" x14ac:dyDescent="0.25">
      <c r="B2638" s="130"/>
      <c r="C2638" s="135"/>
      <c r="D2638" s="177"/>
      <c r="E2638" s="178"/>
      <c r="F2638" s="178"/>
      <c r="G2638" s="340"/>
      <c r="H2638" s="340"/>
      <c r="I2638" s="179"/>
      <c r="J2638" s="344"/>
      <c r="K2638" s="345"/>
      <c r="L2638" s="346"/>
      <c r="M2638" s="347"/>
      <c r="N2638" s="347"/>
      <c r="O2638" s="132"/>
    </row>
    <row r="2639" spans="2:15" ht="26.25" customHeight="1" x14ac:dyDescent="0.25">
      <c r="B2639" s="130"/>
      <c r="C2639" s="135"/>
      <c r="D2639" s="177"/>
      <c r="E2639" s="178"/>
      <c r="F2639" s="178"/>
      <c r="G2639" s="340"/>
      <c r="H2639" s="340"/>
      <c r="I2639" s="179"/>
      <c r="J2639" s="344"/>
      <c r="K2639" s="345"/>
      <c r="L2639" s="346"/>
      <c r="M2639" s="347"/>
      <c r="N2639" s="347"/>
      <c r="O2639" s="132"/>
    </row>
    <row r="2640" spans="2:15" ht="26.25" customHeight="1" x14ac:dyDescent="0.25">
      <c r="B2640" s="130"/>
      <c r="C2640" s="135"/>
      <c r="D2640" s="177"/>
      <c r="E2640" s="178"/>
      <c r="F2640" s="178"/>
      <c r="G2640" s="340"/>
      <c r="H2640" s="340"/>
      <c r="I2640" s="179"/>
      <c r="J2640" s="344"/>
      <c r="K2640" s="345"/>
      <c r="L2640" s="346"/>
      <c r="M2640" s="347"/>
      <c r="N2640" s="347"/>
      <c r="O2640" s="132"/>
    </row>
    <row r="2641" spans="2:15" ht="26.25" customHeight="1" x14ac:dyDescent="0.25">
      <c r="B2641" s="130"/>
      <c r="C2641" s="135"/>
      <c r="D2641" s="177"/>
      <c r="E2641" s="178"/>
      <c r="F2641" s="178"/>
      <c r="G2641" s="340"/>
      <c r="H2641" s="340"/>
      <c r="I2641" s="179"/>
      <c r="J2641" s="344"/>
      <c r="K2641" s="345"/>
      <c r="L2641" s="346"/>
      <c r="M2641" s="347"/>
      <c r="N2641" s="347"/>
      <c r="O2641" s="132"/>
    </row>
    <row r="2642" spans="2:15" ht="26.25" customHeight="1" x14ac:dyDescent="0.25">
      <c r="B2642" s="130"/>
      <c r="C2642" s="135"/>
      <c r="D2642" s="177"/>
      <c r="E2642" s="178"/>
      <c r="F2642" s="178"/>
      <c r="G2642" s="340"/>
      <c r="H2642" s="340"/>
      <c r="I2642" s="179"/>
      <c r="J2642" s="344"/>
      <c r="K2642" s="345"/>
      <c r="L2642" s="346"/>
      <c r="M2642" s="347"/>
      <c r="N2642" s="347"/>
      <c r="O2642" s="132"/>
    </row>
    <row r="2643" spans="2:15" ht="26.25" customHeight="1" x14ac:dyDescent="0.25">
      <c r="B2643" s="130"/>
      <c r="C2643" s="135"/>
      <c r="D2643" s="177"/>
      <c r="E2643" s="178"/>
      <c r="F2643" s="178"/>
      <c r="G2643" s="340"/>
      <c r="H2643" s="340"/>
      <c r="I2643" s="179"/>
      <c r="J2643" s="344"/>
      <c r="K2643" s="345"/>
      <c r="L2643" s="346"/>
      <c r="M2643" s="347"/>
      <c r="N2643" s="347"/>
      <c r="O2643" s="132"/>
    </row>
    <row r="2644" spans="2:15" ht="26.25" customHeight="1" x14ac:dyDescent="0.25">
      <c r="B2644" s="130"/>
      <c r="C2644" s="135"/>
      <c r="D2644" s="177"/>
      <c r="E2644" s="178"/>
      <c r="F2644" s="178"/>
      <c r="G2644" s="340"/>
      <c r="H2644" s="340"/>
      <c r="I2644" s="179"/>
      <c r="J2644" s="344"/>
      <c r="K2644" s="345"/>
      <c r="L2644" s="346"/>
      <c r="M2644" s="347"/>
      <c r="N2644" s="347"/>
      <c r="O2644" s="132"/>
    </row>
    <row r="2645" spans="2:15" ht="26.25" customHeight="1" x14ac:dyDescent="0.25">
      <c r="B2645" s="130"/>
      <c r="C2645" s="135"/>
      <c r="D2645" s="177"/>
      <c r="E2645" s="178"/>
      <c r="F2645" s="178"/>
      <c r="G2645" s="340"/>
      <c r="H2645" s="340"/>
      <c r="I2645" s="179"/>
      <c r="J2645" s="344"/>
      <c r="K2645" s="345"/>
      <c r="L2645" s="346"/>
      <c r="M2645" s="347"/>
      <c r="N2645" s="347"/>
      <c r="O2645" s="132"/>
    </row>
    <row r="2646" spans="2:15" ht="26.25" customHeight="1" x14ac:dyDescent="0.25">
      <c r="B2646" s="130"/>
      <c r="C2646" s="135"/>
      <c r="D2646" s="177"/>
      <c r="E2646" s="178"/>
      <c r="F2646" s="178"/>
      <c r="G2646" s="340"/>
      <c r="H2646" s="340"/>
      <c r="I2646" s="179"/>
      <c r="J2646" s="344"/>
      <c r="K2646" s="345"/>
      <c r="L2646" s="346"/>
      <c r="M2646" s="347"/>
      <c r="N2646" s="347"/>
      <c r="O2646" s="132"/>
    </row>
    <row r="2647" spans="2:15" ht="26.25" customHeight="1" x14ac:dyDescent="0.25">
      <c r="B2647" s="130"/>
      <c r="C2647" s="135"/>
      <c r="D2647" s="177"/>
      <c r="E2647" s="178"/>
      <c r="F2647" s="178"/>
      <c r="G2647" s="340"/>
      <c r="H2647" s="340"/>
      <c r="I2647" s="179"/>
      <c r="J2647" s="344"/>
      <c r="K2647" s="345"/>
      <c r="L2647" s="346"/>
      <c r="M2647" s="347"/>
      <c r="N2647" s="347"/>
      <c r="O2647" s="132"/>
    </row>
    <row r="2648" spans="2:15" ht="26.25" customHeight="1" x14ac:dyDescent="0.25">
      <c r="B2648" s="130"/>
      <c r="C2648" s="135"/>
      <c r="D2648" s="177"/>
      <c r="E2648" s="178"/>
      <c r="F2648" s="178"/>
      <c r="G2648" s="340"/>
      <c r="H2648" s="340"/>
      <c r="I2648" s="179"/>
      <c r="J2648" s="344"/>
      <c r="K2648" s="345"/>
      <c r="L2648" s="346"/>
      <c r="M2648" s="347"/>
      <c r="N2648" s="347"/>
      <c r="O2648" s="132"/>
    </row>
    <row r="2649" spans="2:15" ht="26.25" customHeight="1" x14ac:dyDescent="0.25">
      <c r="B2649" s="130"/>
      <c r="C2649" s="135"/>
      <c r="D2649" s="177"/>
      <c r="E2649" s="178"/>
      <c r="F2649" s="178"/>
      <c r="G2649" s="340"/>
      <c r="H2649" s="340"/>
      <c r="I2649" s="179"/>
      <c r="J2649" s="344"/>
      <c r="K2649" s="345"/>
      <c r="L2649" s="346"/>
      <c r="M2649" s="347"/>
      <c r="N2649" s="347"/>
      <c r="O2649" s="132"/>
    </row>
    <row r="2650" spans="2:15" ht="26.25" customHeight="1" x14ac:dyDescent="0.25">
      <c r="B2650" s="130"/>
      <c r="C2650" s="135"/>
      <c r="D2650" s="177"/>
      <c r="E2650" s="178"/>
      <c r="F2650" s="178"/>
      <c r="G2650" s="340"/>
      <c r="H2650" s="340"/>
      <c r="I2650" s="179"/>
      <c r="J2650" s="344"/>
      <c r="K2650" s="345"/>
      <c r="L2650" s="346"/>
      <c r="M2650" s="347"/>
      <c r="N2650" s="347"/>
      <c r="O2650" s="132"/>
    </row>
    <row r="2651" spans="2:15" ht="26.25" customHeight="1" x14ac:dyDescent="0.25">
      <c r="B2651" s="130"/>
      <c r="C2651" s="135"/>
      <c r="D2651" s="177"/>
      <c r="E2651" s="178"/>
      <c r="F2651" s="178"/>
      <c r="G2651" s="340"/>
      <c r="H2651" s="340"/>
      <c r="I2651" s="179"/>
      <c r="J2651" s="344"/>
      <c r="K2651" s="345"/>
      <c r="L2651" s="346"/>
      <c r="M2651" s="347"/>
      <c r="N2651" s="347"/>
      <c r="O2651" s="132"/>
    </row>
    <row r="2652" spans="2:15" ht="26.25" customHeight="1" x14ac:dyDescent="0.25">
      <c r="B2652" s="130"/>
      <c r="C2652" s="135"/>
      <c r="D2652" s="177"/>
      <c r="E2652" s="178"/>
      <c r="F2652" s="178"/>
      <c r="G2652" s="340"/>
      <c r="H2652" s="340"/>
      <c r="I2652" s="179"/>
      <c r="J2652" s="344"/>
      <c r="K2652" s="345"/>
      <c r="L2652" s="346"/>
      <c r="M2652" s="347"/>
      <c r="N2652" s="347"/>
      <c r="O2652" s="132"/>
    </row>
    <row r="2653" spans="2:15" ht="26.25" customHeight="1" x14ac:dyDescent="0.25">
      <c r="B2653" s="130"/>
      <c r="C2653" s="135"/>
      <c r="D2653" s="177"/>
      <c r="E2653" s="178"/>
      <c r="F2653" s="178"/>
      <c r="G2653" s="340"/>
      <c r="H2653" s="340"/>
      <c r="I2653" s="179"/>
      <c r="J2653" s="344"/>
      <c r="K2653" s="345"/>
      <c r="L2653" s="346"/>
      <c r="M2653" s="347"/>
      <c r="N2653" s="347"/>
      <c r="O2653" s="132"/>
    </row>
    <row r="2654" spans="2:15" ht="26.25" customHeight="1" x14ac:dyDescent="0.25">
      <c r="B2654" s="130"/>
      <c r="C2654" s="135"/>
      <c r="D2654" s="177"/>
      <c r="E2654" s="178"/>
      <c r="F2654" s="178"/>
      <c r="G2654" s="340"/>
      <c r="H2654" s="340"/>
      <c r="I2654" s="179"/>
      <c r="J2654" s="344"/>
      <c r="K2654" s="345"/>
      <c r="L2654" s="346"/>
      <c r="M2654" s="347"/>
      <c r="N2654" s="347"/>
      <c r="O2654" s="132"/>
    </row>
    <row r="2655" spans="2:15" ht="26.25" customHeight="1" x14ac:dyDescent="0.25">
      <c r="B2655" s="130"/>
      <c r="C2655" s="135"/>
      <c r="D2655" s="177"/>
      <c r="E2655" s="178"/>
      <c r="F2655" s="178"/>
      <c r="G2655" s="340"/>
      <c r="H2655" s="340"/>
      <c r="I2655" s="179"/>
      <c r="J2655" s="344"/>
      <c r="K2655" s="345"/>
      <c r="L2655" s="346"/>
      <c r="M2655" s="347"/>
      <c r="N2655" s="347"/>
      <c r="O2655" s="132"/>
    </row>
    <row r="2656" spans="2:15" ht="26.25" customHeight="1" x14ac:dyDescent="0.25">
      <c r="B2656" s="130"/>
      <c r="C2656" s="135"/>
      <c r="D2656" s="177"/>
      <c r="E2656" s="178"/>
      <c r="F2656" s="178"/>
      <c r="G2656" s="340"/>
      <c r="H2656" s="340"/>
      <c r="I2656" s="179"/>
      <c r="J2656" s="344"/>
      <c r="K2656" s="345"/>
      <c r="L2656" s="346"/>
      <c r="M2656" s="347"/>
      <c r="N2656" s="347"/>
      <c r="O2656" s="132"/>
    </row>
    <row r="2657" spans="2:15" ht="26.25" customHeight="1" x14ac:dyDescent="0.25">
      <c r="B2657" s="130"/>
      <c r="C2657" s="135"/>
      <c r="D2657" s="177"/>
      <c r="E2657" s="178"/>
      <c r="F2657" s="178"/>
      <c r="G2657" s="340"/>
      <c r="H2657" s="340"/>
      <c r="I2657" s="179"/>
      <c r="J2657" s="344"/>
      <c r="K2657" s="345"/>
      <c r="L2657" s="346"/>
      <c r="M2657" s="347"/>
      <c r="N2657" s="347"/>
      <c r="O2657" s="132"/>
    </row>
    <row r="2658" spans="2:15" ht="26.25" customHeight="1" x14ac:dyDescent="0.25">
      <c r="B2658" s="130"/>
      <c r="C2658" s="135"/>
      <c r="D2658" s="177"/>
      <c r="E2658" s="178"/>
      <c r="F2658" s="178"/>
      <c r="G2658" s="340"/>
      <c r="H2658" s="340"/>
      <c r="I2658" s="179"/>
      <c r="J2658" s="344"/>
      <c r="K2658" s="345"/>
      <c r="L2658" s="346"/>
      <c r="M2658" s="347"/>
      <c r="N2658" s="347"/>
      <c r="O2658" s="132"/>
    </row>
    <row r="2659" spans="2:15" ht="26.25" customHeight="1" x14ac:dyDescent="0.25">
      <c r="B2659" s="130"/>
      <c r="C2659" s="135"/>
      <c r="D2659" s="177"/>
      <c r="E2659" s="178"/>
      <c r="F2659" s="178"/>
      <c r="G2659" s="340"/>
      <c r="H2659" s="340"/>
      <c r="I2659" s="179"/>
      <c r="J2659" s="344"/>
      <c r="K2659" s="345"/>
      <c r="L2659" s="346"/>
      <c r="M2659" s="347"/>
      <c r="N2659" s="347"/>
      <c r="O2659" s="132"/>
    </row>
    <row r="2660" spans="2:15" ht="26.25" customHeight="1" x14ac:dyDescent="0.25">
      <c r="B2660" s="130"/>
      <c r="C2660" s="135"/>
      <c r="D2660" s="177"/>
      <c r="E2660" s="178"/>
      <c r="F2660" s="178"/>
      <c r="G2660" s="340"/>
      <c r="H2660" s="340"/>
      <c r="I2660" s="179"/>
      <c r="J2660" s="344"/>
      <c r="K2660" s="345"/>
      <c r="L2660" s="346"/>
      <c r="M2660" s="347"/>
      <c r="N2660" s="347"/>
      <c r="O2660" s="132"/>
    </row>
    <row r="2661" spans="2:15" ht="26.25" customHeight="1" x14ac:dyDescent="0.25">
      <c r="B2661" s="130"/>
      <c r="C2661" s="135"/>
      <c r="D2661" s="177"/>
      <c r="E2661" s="178"/>
      <c r="F2661" s="178"/>
      <c r="G2661" s="340"/>
      <c r="H2661" s="340"/>
      <c r="I2661" s="179"/>
      <c r="J2661" s="344"/>
      <c r="K2661" s="345"/>
      <c r="L2661" s="346"/>
      <c r="M2661" s="347"/>
      <c r="N2661" s="347"/>
      <c r="O2661" s="132"/>
    </row>
    <row r="2662" spans="2:15" ht="26.25" customHeight="1" x14ac:dyDescent="0.25">
      <c r="B2662" s="130"/>
      <c r="C2662" s="135"/>
      <c r="D2662" s="177"/>
      <c r="E2662" s="178"/>
      <c r="F2662" s="178"/>
      <c r="G2662" s="340"/>
      <c r="H2662" s="340"/>
      <c r="I2662" s="179"/>
      <c r="J2662" s="344"/>
      <c r="K2662" s="345"/>
      <c r="L2662" s="346"/>
      <c r="M2662" s="347"/>
      <c r="N2662" s="347"/>
      <c r="O2662" s="132"/>
    </row>
    <row r="2663" spans="2:15" ht="26.25" customHeight="1" x14ac:dyDescent="0.25">
      <c r="B2663" s="130"/>
      <c r="C2663" s="135"/>
      <c r="D2663" s="177"/>
      <c r="E2663" s="178"/>
      <c r="F2663" s="178"/>
      <c r="G2663" s="340"/>
      <c r="H2663" s="340"/>
      <c r="I2663" s="179"/>
      <c r="J2663" s="344"/>
      <c r="K2663" s="345"/>
      <c r="L2663" s="346"/>
      <c r="M2663" s="347"/>
      <c r="N2663" s="347"/>
      <c r="O2663" s="132"/>
    </row>
    <row r="2664" spans="2:15" ht="26.25" customHeight="1" x14ac:dyDescent="0.25">
      <c r="B2664" s="130"/>
      <c r="C2664" s="135"/>
      <c r="D2664" s="177"/>
      <c r="E2664" s="178"/>
      <c r="F2664" s="178"/>
      <c r="G2664" s="340"/>
      <c r="H2664" s="340"/>
      <c r="I2664" s="179"/>
      <c r="J2664" s="344"/>
      <c r="K2664" s="345"/>
      <c r="L2664" s="346"/>
      <c r="M2664" s="347"/>
      <c r="N2664" s="347"/>
      <c r="O2664" s="132"/>
    </row>
    <row r="2665" spans="2:15" ht="26.25" customHeight="1" x14ac:dyDescent="0.25">
      <c r="B2665" s="130"/>
      <c r="C2665" s="135"/>
      <c r="D2665" s="177"/>
      <c r="E2665" s="178"/>
      <c r="F2665" s="178"/>
      <c r="G2665" s="340"/>
      <c r="H2665" s="340"/>
      <c r="I2665" s="179"/>
      <c r="J2665" s="344"/>
      <c r="K2665" s="345"/>
      <c r="L2665" s="346"/>
      <c r="M2665" s="347"/>
      <c r="N2665" s="347"/>
      <c r="O2665" s="132"/>
    </row>
    <row r="2666" spans="2:15" ht="26.25" customHeight="1" x14ac:dyDescent="0.25">
      <c r="B2666" s="130"/>
      <c r="C2666" s="135"/>
      <c r="D2666" s="177"/>
      <c r="E2666" s="178"/>
      <c r="F2666" s="178"/>
      <c r="G2666" s="340"/>
      <c r="H2666" s="340"/>
      <c r="I2666" s="179"/>
      <c r="J2666" s="344"/>
      <c r="K2666" s="345"/>
      <c r="L2666" s="346"/>
      <c r="M2666" s="347"/>
      <c r="N2666" s="347"/>
      <c r="O2666" s="132"/>
    </row>
    <row r="2667" spans="2:15" ht="26.25" customHeight="1" x14ac:dyDescent="0.25">
      <c r="B2667" s="130"/>
      <c r="C2667" s="135"/>
      <c r="D2667" s="177"/>
      <c r="E2667" s="178"/>
      <c r="F2667" s="178"/>
      <c r="G2667" s="340"/>
      <c r="H2667" s="340"/>
      <c r="I2667" s="179"/>
      <c r="J2667" s="344"/>
      <c r="K2667" s="345"/>
      <c r="L2667" s="346"/>
      <c r="M2667" s="347"/>
      <c r="N2667" s="347"/>
      <c r="O2667" s="132"/>
    </row>
    <row r="2668" spans="2:15" ht="26.25" customHeight="1" x14ac:dyDescent="0.25">
      <c r="B2668" s="130"/>
      <c r="C2668" s="135"/>
      <c r="D2668" s="177"/>
      <c r="E2668" s="178"/>
      <c r="F2668" s="178"/>
      <c r="G2668" s="340"/>
      <c r="H2668" s="340"/>
      <c r="I2668" s="179"/>
      <c r="J2668" s="344"/>
      <c r="K2668" s="345"/>
      <c r="L2668" s="346"/>
      <c r="M2668" s="347"/>
      <c r="N2668" s="347"/>
      <c r="O2668" s="132"/>
    </row>
    <row r="2669" spans="2:15" ht="26.25" customHeight="1" x14ac:dyDescent="0.25">
      <c r="B2669" s="130"/>
      <c r="C2669" s="135"/>
      <c r="D2669" s="177"/>
      <c r="E2669" s="178"/>
      <c r="F2669" s="178"/>
      <c r="G2669" s="340"/>
      <c r="H2669" s="340"/>
      <c r="I2669" s="179"/>
      <c r="J2669" s="344"/>
      <c r="K2669" s="345"/>
      <c r="L2669" s="346"/>
      <c r="M2669" s="347"/>
      <c r="N2669" s="347"/>
      <c r="O2669" s="132"/>
    </row>
    <row r="2670" spans="2:15" ht="26.25" customHeight="1" x14ac:dyDescent="0.25">
      <c r="B2670" s="130"/>
      <c r="C2670" s="135"/>
      <c r="D2670" s="177"/>
      <c r="E2670" s="178"/>
      <c r="F2670" s="178"/>
      <c r="G2670" s="340"/>
      <c r="H2670" s="340"/>
      <c r="I2670" s="179"/>
      <c r="J2670" s="344"/>
      <c r="K2670" s="345"/>
      <c r="L2670" s="346"/>
      <c r="M2670" s="347"/>
      <c r="N2670" s="347"/>
      <c r="O2670" s="132"/>
    </row>
    <row r="2671" spans="2:15" ht="26.25" customHeight="1" x14ac:dyDescent="0.25">
      <c r="B2671" s="130"/>
      <c r="C2671" s="135"/>
      <c r="D2671" s="177"/>
      <c r="E2671" s="178"/>
      <c r="F2671" s="178"/>
      <c r="G2671" s="340"/>
      <c r="H2671" s="340"/>
      <c r="I2671" s="179"/>
      <c r="J2671" s="344"/>
      <c r="K2671" s="345"/>
      <c r="L2671" s="346"/>
      <c r="M2671" s="347"/>
      <c r="N2671" s="347"/>
      <c r="O2671" s="132"/>
    </row>
    <row r="2672" spans="2:15" ht="26.25" customHeight="1" x14ac:dyDescent="0.25">
      <c r="B2672" s="130"/>
      <c r="C2672" s="135"/>
      <c r="D2672" s="177"/>
      <c r="E2672" s="178"/>
      <c r="F2672" s="178"/>
      <c r="G2672" s="340"/>
      <c r="H2672" s="340"/>
      <c r="I2672" s="179"/>
      <c r="J2672" s="344"/>
      <c r="K2672" s="345"/>
      <c r="L2672" s="346"/>
      <c r="M2672" s="347"/>
      <c r="N2672" s="347"/>
      <c r="O2672" s="132"/>
    </row>
    <row r="2673" spans="2:15" ht="26.25" customHeight="1" x14ac:dyDescent="0.25">
      <c r="B2673" s="130"/>
      <c r="C2673" s="135"/>
      <c r="D2673" s="177"/>
      <c r="E2673" s="178"/>
      <c r="F2673" s="178"/>
      <c r="G2673" s="340"/>
      <c r="H2673" s="340"/>
      <c r="I2673" s="179"/>
      <c r="J2673" s="344"/>
      <c r="K2673" s="345"/>
      <c r="L2673" s="346"/>
      <c r="M2673" s="347"/>
      <c r="N2673" s="347"/>
      <c r="O2673" s="132"/>
    </row>
    <row r="2674" spans="2:15" ht="26.25" customHeight="1" x14ac:dyDescent="0.25">
      <c r="B2674" s="130"/>
      <c r="C2674" s="135"/>
      <c r="D2674" s="177"/>
      <c r="E2674" s="178"/>
      <c r="F2674" s="178"/>
      <c r="G2674" s="340"/>
      <c r="H2674" s="340"/>
      <c r="I2674" s="179"/>
      <c r="J2674" s="344"/>
      <c r="K2674" s="345"/>
      <c r="L2674" s="346"/>
      <c r="M2674" s="347"/>
      <c r="N2674" s="347"/>
      <c r="O2674" s="132"/>
    </row>
    <row r="2675" spans="2:15" ht="26.25" customHeight="1" x14ac:dyDescent="0.25">
      <c r="B2675" s="130"/>
      <c r="C2675" s="135"/>
      <c r="D2675" s="177"/>
      <c r="E2675" s="178"/>
      <c r="F2675" s="178"/>
      <c r="G2675" s="340"/>
      <c r="H2675" s="340"/>
      <c r="I2675" s="179"/>
      <c r="J2675" s="344"/>
      <c r="K2675" s="345"/>
      <c r="L2675" s="346"/>
      <c r="M2675" s="347"/>
      <c r="N2675" s="347"/>
      <c r="O2675" s="132"/>
    </row>
    <row r="2676" spans="2:15" ht="26.25" customHeight="1" x14ac:dyDescent="0.25">
      <c r="B2676" s="130"/>
      <c r="C2676" s="135"/>
      <c r="D2676" s="177"/>
      <c r="E2676" s="178"/>
      <c r="F2676" s="178"/>
      <c r="G2676" s="340"/>
      <c r="H2676" s="340"/>
      <c r="I2676" s="179"/>
      <c r="J2676" s="344"/>
      <c r="K2676" s="345"/>
      <c r="L2676" s="346"/>
      <c r="M2676" s="347"/>
      <c r="N2676" s="347"/>
      <c r="O2676" s="132"/>
    </row>
    <row r="2677" spans="2:15" ht="26.25" customHeight="1" x14ac:dyDescent="0.25">
      <c r="B2677" s="130"/>
      <c r="C2677" s="135"/>
      <c r="D2677" s="177"/>
      <c r="E2677" s="178"/>
      <c r="F2677" s="178"/>
      <c r="G2677" s="340"/>
      <c r="H2677" s="340"/>
      <c r="I2677" s="179"/>
      <c r="J2677" s="344"/>
      <c r="K2677" s="345"/>
      <c r="L2677" s="346"/>
      <c r="M2677" s="347"/>
      <c r="N2677" s="347"/>
      <c r="O2677" s="132"/>
    </row>
    <row r="2678" spans="2:15" ht="26.25" customHeight="1" x14ac:dyDescent="0.25">
      <c r="B2678" s="130"/>
      <c r="C2678" s="135"/>
      <c r="D2678" s="177"/>
      <c r="E2678" s="178"/>
      <c r="F2678" s="178"/>
      <c r="G2678" s="340"/>
      <c r="H2678" s="340"/>
      <c r="I2678" s="179"/>
      <c r="J2678" s="344"/>
      <c r="K2678" s="345"/>
      <c r="L2678" s="346"/>
      <c r="M2678" s="347"/>
      <c r="N2678" s="347"/>
      <c r="O2678" s="132"/>
    </row>
    <row r="2679" spans="2:15" ht="26.25" customHeight="1" x14ac:dyDescent="0.25">
      <c r="B2679" s="130"/>
      <c r="C2679" s="135"/>
      <c r="D2679" s="177"/>
      <c r="E2679" s="178"/>
      <c r="F2679" s="178"/>
      <c r="G2679" s="340"/>
      <c r="H2679" s="340"/>
      <c r="I2679" s="179"/>
      <c r="J2679" s="344"/>
      <c r="K2679" s="345"/>
      <c r="L2679" s="346"/>
      <c r="M2679" s="347"/>
      <c r="N2679" s="347"/>
      <c r="O2679" s="132"/>
    </row>
    <row r="2680" spans="2:15" ht="26.25" customHeight="1" x14ac:dyDescent="0.25">
      <c r="B2680" s="130"/>
      <c r="C2680" s="135"/>
      <c r="D2680" s="177"/>
      <c r="E2680" s="178"/>
      <c r="F2680" s="178"/>
      <c r="G2680" s="340"/>
      <c r="H2680" s="340"/>
      <c r="I2680" s="179"/>
      <c r="J2680" s="344"/>
      <c r="K2680" s="345"/>
      <c r="L2680" s="346"/>
      <c r="M2680" s="347"/>
      <c r="N2680" s="347"/>
      <c r="O2680" s="132"/>
    </row>
    <row r="2681" spans="2:15" ht="26.25" customHeight="1" x14ac:dyDescent="0.25">
      <c r="B2681" s="130"/>
      <c r="C2681" s="135"/>
      <c r="D2681" s="177"/>
      <c r="E2681" s="178"/>
      <c r="F2681" s="178"/>
      <c r="G2681" s="340"/>
      <c r="H2681" s="340"/>
      <c r="I2681" s="179"/>
      <c r="J2681" s="344"/>
      <c r="K2681" s="345"/>
      <c r="L2681" s="346"/>
      <c r="M2681" s="347"/>
      <c r="N2681" s="347"/>
      <c r="O2681" s="132"/>
    </row>
    <row r="2682" spans="2:15" ht="26.25" customHeight="1" x14ac:dyDescent="0.25">
      <c r="B2682" s="130"/>
      <c r="C2682" s="135"/>
      <c r="D2682" s="177"/>
      <c r="E2682" s="178"/>
      <c r="F2682" s="178"/>
      <c r="G2682" s="340"/>
      <c r="H2682" s="340"/>
      <c r="I2682" s="179"/>
      <c r="J2682" s="344"/>
      <c r="K2682" s="345"/>
      <c r="L2682" s="346"/>
      <c r="M2682" s="347"/>
      <c r="N2682" s="347"/>
      <c r="O2682" s="132"/>
    </row>
    <row r="2683" spans="2:15" ht="26.25" customHeight="1" x14ac:dyDescent="0.25">
      <c r="B2683" s="130"/>
      <c r="C2683" s="135"/>
      <c r="D2683" s="177"/>
      <c r="E2683" s="178"/>
      <c r="F2683" s="178"/>
      <c r="G2683" s="340"/>
      <c r="H2683" s="340"/>
      <c r="I2683" s="179"/>
      <c r="J2683" s="344"/>
      <c r="K2683" s="345"/>
      <c r="L2683" s="346"/>
      <c r="M2683" s="347"/>
      <c r="N2683" s="347"/>
      <c r="O2683" s="132"/>
    </row>
    <row r="2684" spans="2:15" ht="26.25" customHeight="1" x14ac:dyDescent="0.25">
      <c r="B2684" s="130"/>
      <c r="C2684" s="135"/>
      <c r="D2684" s="177"/>
      <c r="E2684" s="178"/>
      <c r="F2684" s="178"/>
      <c r="G2684" s="340"/>
      <c r="H2684" s="340"/>
      <c r="I2684" s="179"/>
      <c r="J2684" s="344"/>
      <c r="K2684" s="345"/>
      <c r="L2684" s="346"/>
      <c r="M2684" s="347"/>
      <c r="N2684" s="347"/>
      <c r="O2684" s="132"/>
    </row>
    <row r="2685" spans="2:15" ht="26.25" customHeight="1" x14ac:dyDescent="0.25">
      <c r="B2685" s="130"/>
      <c r="C2685" s="135"/>
      <c r="D2685" s="177"/>
      <c r="E2685" s="178"/>
      <c r="F2685" s="178"/>
      <c r="G2685" s="340"/>
      <c r="H2685" s="340"/>
      <c r="I2685" s="179"/>
      <c r="J2685" s="344"/>
      <c r="K2685" s="345"/>
      <c r="L2685" s="346"/>
      <c r="M2685" s="347"/>
      <c r="N2685" s="347"/>
      <c r="O2685" s="132"/>
    </row>
    <row r="2686" spans="2:15" ht="26.25" customHeight="1" x14ac:dyDescent="0.25">
      <c r="B2686" s="130"/>
      <c r="C2686" s="135"/>
      <c r="D2686" s="177"/>
      <c r="E2686" s="178"/>
      <c r="F2686" s="178"/>
      <c r="G2686" s="340"/>
      <c r="H2686" s="340"/>
      <c r="I2686" s="179"/>
      <c r="J2686" s="344"/>
      <c r="K2686" s="345"/>
      <c r="L2686" s="346"/>
      <c r="M2686" s="347"/>
      <c r="N2686" s="347"/>
      <c r="O2686" s="132"/>
    </row>
    <row r="2687" spans="2:15" ht="26.25" customHeight="1" x14ac:dyDescent="0.25">
      <c r="B2687" s="130"/>
      <c r="C2687" s="135"/>
      <c r="D2687" s="177"/>
      <c r="E2687" s="178"/>
      <c r="F2687" s="178"/>
      <c r="G2687" s="340"/>
      <c r="H2687" s="340"/>
      <c r="I2687" s="179"/>
      <c r="J2687" s="344"/>
      <c r="K2687" s="345"/>
      <c r="L2687" s="346"/>
      <c r="M2687" s="347"/>
      <c r="N2687" s="347"/>
      <c r="O2687" s="132"/>
    </row>
    <row r="2688" spans="2:15" ht="26.25" customHeight="1" x14ac:dyDescent="0.25">
      <c r="B2688" s="130"/>
      <c r="C2688" s="135"/>
      <c r="D2688" s="177"/>
      <c r="E2688" s="178"/>
      <c r="F2688" s="178"/>
      <c r="G2688" s="340"/>
      <c r="H2688" s="340"/>
      <c r="I2688" s="179"/>
      <c r="J2688" s="344"/>
      <c r="K2688" s="345"/>
      <c r="L2688" s="346"/>
      <c r="M2688" s="347"/>
      <c r="N2688" s="347"/>
      <c r="O2688" s="132"/>
    </row>
    <row r="2689" spans="2:15" ht="26.25" customHeight="1" x14ac:dyDescent="0.25">
      <c r="B2689" s="130"/>
      <c r="C2689" s="135"/>
      <c r="D2689" s="177"/>
      <c r="E2689" s="178"/>
      <c r="F2689" s="178"/>
      <c r="G2689" s="340"/>
      <c r="H2689" s="340"/>
      <c r="I2689" s="179"/>
      <c r="J2689" s="344"/>
      <c r="K2689" s="345"/>
      <c r="L2689" s="346"/>
      <c r="M2689" s="347"/>
      <c r="N2689" s="347"/>
      <c r="O2689" s="132"/>
    </row>
    <row r="2690" spans="2:15" ht="26.25" customHeight="1" x14ac:dyDescent="0.25">
      <c r="B2690" s="130"/>
      <c r="C2690" s="135"/>
      <c r="D2690" s="177"/>
      <c r="E2690" s="178"/>
      <c r="F2690" s="178"/>
      <c r="G2690" s="340"/>
      <c r="H2690" s="340"/>
      <c r="I2690" s="179"/>
      <c r="J2690" s="344"/>
      <c r="K2690" s="345"/>
      <c r="L2690" s="346"/>
      <c r="M2690" s="347"/>
      <c r="N2690" s="347"/>
      <c r="O2690" s="132"/>
    </row>
    <row r="2691" spans="2:15" ht="26.25" customHeight="1" x14ac:dyDescent="0.25">
      <c r="B2691" s="130"/>
      <c r="C2691" s="135"/>
      <c r="D2691" s="177"/>
      <c r="E2691" s="178"/>
      <c r="F2691" s="178"/>
      <c r="G2691" s="340"/>
      <c r="H2691" s="340"/>
      <c r="I2691" s="179"/>
      <c r="J2691" s="344"/>
      <c r="K2691" s="345"/>
      <c r="L2691" s="346"/>
      <c r="M2691" s="347"/>
      <c r="N2691" s="347"/>
      <c r="O2691" s="132"/>
    </row>
    <row r="2692" spans="2:15" ht="26.25" customHeight="1" x14ac:dyDescent="0.25">
      <c r="B2692" s="130"/>
      <c r="C2692" s="135"/>
      <c r="D2692" s="177"/>
      <c r="E2692" s="178"/>
      <c r="F2692" s="178"/>
      <c r="G2692" s="340"/>
      <c r="H2692" s="340"/>
      <c r="I2692" s="179"/>
      <c r="J2692" s="344"/>
      <c r="K2692" s="345"/>
      <c r="L2692" s="346"/>
      <c r="M2692" s="347"/>
      <c r="N2692" s="347"/>
      <c r="O2692" s="132"/>
    </row>
    <row r="2693" spans="2:15" ht="26.25" customHeight="1" x14ac:dyDescent="0.25">
      <c r="B2693" s="130"/>
      <c r="C2693" s="135"/>
      <c r="D2693" s="177"/>
      <c r="E2693" s="178"/>
      <c r="F2693" s="178"/>
      <c r="G2693" s="340"/>
      <c r="H2693" s="340"/>
      <c r="I2693" s="179"/>
      <c r="J2693" s="344"/>
      <c r="K2693" s="345"/>
      <c r="L2693" s="346"/>
      <c r="M2693" s="347"/>
      <c r="N2693" s="347"/>
      <c r="O2693" s="132"/>
    </row>
    <row r="2694" spans="2:15" ht="26.25" customHeight="1" x14ac:dyDescent="0.25">
      <c r="B2694" s="130"/>
      <c r="C2694" s="135"/>
      <c r="D2694" s="177"/>
      <c r="E2694" s="178"/>
      <c r="F2694" s="178"/>
      <c r="G2694" s="340"/>
      <c r="H2694" s="340"/>
      <c r="I2694" s="179"/>
      <c r="J2694" s="344"/>
      <c r="K2694" s="345"/>
      <c r="L2694" s="346"/>
      <c r="M2694" s="347"/>
      <c r="N2694" s="347"/>
      <c r="O2694" s="132"/>
    </row>
    <row r="2695" spans="2:15" ht="26.25" customHeight="1" x14ac:dyDescent="0.25">
      <c r="B2695" s="130"/>
      <c r="C2695" s="135"/>
      <c r="D2695" s="177"/>
      <c r="E2695" s="178"/>
      <c r="F2695" s="178"/>
      <c r="G2695" s="340"/>
      <c r="H2695" s="340"/>
      <c r="I2695" s="179"/>
      <c r="J2695" s="344"/>
      <c r="K2695" s="345"/>
      <c r="L2695" s="346"/>
      <c r="M2695" s="347"/>
      <c r="N2695" s="347"/>
      <c r="O2695" s="132"/>
    </row>
    <row r="2696" spans="2:15" ht="26.25" customHeight="1" x14ac:dyDescent="0.25">
      <c r="B2696" s="130"/>
      <c r="C2696" s="135"/>
      <c r="D2696" s="177"/>
      <c r="E2696" s="178"/>
      <c r="F2696" s="178"/>
      <c r="G2696" s="340"/>
      <c r="H2696" s="340"/>
      <c r="I2696" s="179"/>
      <c r="J2696" s="344"/>
      <c r="K2696" s="345"/>
      <c r="L2696" s="346"/>
      <c r="M2696" s="347"/>
      <c r="N2696" s="347"/>
      <c r="O2696" s="132"/>
    </row>
    <row r="2697" spans="2:15" ht="26.25" customHeight="1" x14ac:dyDescent="0.25">
      <c r="B2697" s="130"/>
      <c r="C2697" s="135"/>
      <c r="D2697" s="177"/>
      <c r="E2697" s="178"/>
      <c r="F2697" s="178"/>
      <c r="G2697" s="340"/>
      <c r="H2697" s="340"/>
      <c r="I2697" s="179"/>
      <c r="J2697" s="344"/>
      <c r="K2697" s="345"/>
      <c r="L2697" s="346"/>
      <c r="M2697" s="347"/>
      <c r="N2697" s="347"/>
      <c r="O2697" s="132"/>
    </row>
    <row r="2698" spans="2:15" ht="26.25" customHeight="1" x14ac:dyDescent="0.25">
      <c r="B2698" s="130"/>
      <c r="C2698" s="135"/>
      <c r="D2698" s="177"/>
      <c r="E2698" s="178"/>
      <c r="F2698" s="178"/>
      <c r="G2698" s="340"/>
      <c r="H2698" s="340"/>
      <c r="I2698" s="179"/>
      <c r="J2698" s="344"/>
      <c r="K2698" s="345"/>
      <c r="L2698" s="346"/>
      <c r="M2698" s="347"/>
      <c r="N2698" s="347"/>
      <c r="O2698" s="132"/>
    </row>
    <row r="2699" spans="2:15" ht="26.25" customHeight="1" x14ac:dyDescent="0.25">
      <c r="B2699" s="130"/>
      <c r="C2699" s="135"/>
      <c r="D2699" s="177"/>
      <c r="E2699" s="178"/>
      <c r="F2699" s="178"/>
      <c r="G2699" s="340"/>
      <c r="H2699" s="340"/>
      <c r="I2699" s="179"/>
      <c r="J2699" s="344"/>
      <c r="K2699" s="345"/>
      <c r="L2699" s="346"/>
      <c r="M2699" s="347"/>
      <c r="N2699" s="347"/>
      <c r="O2699" s="132"/>
    </row>
    <row r="2700" spans="2:15" ht="26.25" customHeight="1" x14ac:dyDescent="0.25">
      <c r="B2700" s="130"/>
      <c r="C2700" s="135"/>
      <c r="D2700" s="177"/>
      <c r="E2700" s="178"/>
      <c r="F2700" s="178"/>
      <c r="G2700" s="340"/>
      <c r="H2700" s="340"/>
      <c r="I2700" s="179"/>
      <c r="J2700" s="344"/>
      <c r="K2700" s="345"/>
      <c r="L2700" s="346"/>
      <c r="M2700" s="347"/>
      <c r="N2700" s="347"/>
      <c r="O2700" s="132"/>
    </row>
    <row r="2701" spans="2:15" ht="26.25" customHeight="1" x14ac:dyDescent="0.25">
      <c r="B2701" s="130"/>
      <c r="C2701" s="135"/>
      <c r="D2701" s="177"/>
      <c r="E2701" s="178"/>
      <c r="F2701" s="178"/>
      <c r="G2701" s="340"/>
      <c r="H2701" s="340"/>
      <c r="I2701" s="179"/>
      <c r="J2701" s="344"/>
      <c r="K2701" s="345"/>
      <c r="L2701" s="346"/>
      <c r="M2701" s="347"/>
      <c r="N2701" s="347"/>
      <c r="O2701" s="132"/>
    </row>
    <row r="2702" spans="2:15" ht="26.25" customHeight="1" x14ac:dyDescent="0.25">
      <c r="B2702" s="130"/>
      <c r="C2702" s="135"/>
      <c r="D2702" s="177"/>
      <c r="E2702" s="178"/>
      <c r="F2702" s="178"/>
      <c r="G2702" s="340"/>
      <c r="H2702" s="340"/>
      <c r="I2702" s="179"/>
      <c r="J2702" s="344"/>
      <c r="K2702" s="345"/>
      <c r="L2702" s="346"/>
      <c r="M2702" s="347"/>
      <c r="N2702" s="347"/>
      <c r="O2702" s="132"/>
    </row>
    <row r="2703" spans="2:15" ht="26.25" customHeight="1" x14ac:dyDescent="0.25">
      <c r="B2703" s="130"/>
      <c r="C2703" s="135"/>
      <c r="D2703" s="177"/>
      <c r="E2703" s="178"/>
      <c r="F2703" s="178"/>
      <c r="G2703" s="340"/>
      <c r="H2703" s="340"/>
      <c r="I2703" s="179"/>
      <c r="J2703" s="344"/>
      <c r="K2703" s="345"/>
      <c r="L2703" s="346"/>
      <c r="M2703" s="347"/>
      <c r="N2703" s="347"/>
      <c r="O2703" s="132"/>
    </row>
    <row r="2704" spans="2:15" ht="26.25" customHeight="1" x14ac:dyDescent="0.25">
      <c r="B2704" s="130"/>
      <c r="C2704" s="135"/>
      <c r="D2704" s="177"/>
      <c r="E2704" s="178"/>
      <c r="F2704" s="178"/>
      <c r="G2704" s="340"/>
      <c r="H2704" s="340"/>
      <c r="I2704" s="179"/>
      <c r="J2704" s="344"/>
      <c r="K2704" s="345"/>
      <c r="L2704" s="346"/>
      <c r="M2704" s="347"/>
      <c r="N2704" s="347"/>
      <c r="O2704" s="132"/>
    </row>
    <row r="2705" spans="2:15" ht="26.25" customHeight="1" x14ac:dyDescent="0.25">
      <c r="B2705" s="130"/>
      <c r="C2705" s="135"/>
      <c r="D2705" s="177"/>
      <c r="E2705" s="178"/>
      <c r="F2705" s="178"/>
      <c r="G2705" s="340"/>
      <c r="H2705" s="340"/>
      <c r="I2705" s="179"/>
      <c r="J2705" s="344"/>
      <c r="K2705" s="345"/>
      <c r="L2705" s="346"/>
      <c r="M2705" s="347"/>
      <c r="N2705" s="347"/>
      <c r="O2705" s="132"/>
    </row>
    <row r="2706" spans="2:15" ht="26.25" customHeight="1" x14ac:dyDescent="0.25">
      <c r="B2706" s="130"/>
      <c r="C2706" s="135"/>
      <c r="D2706" s="177"/>
      <c r="E2706" s="178"/>
      <c r="F2706" s="178"/>
      <c r="G2706" s="340"/>
      <c r="H2706" s="340"/>
      <c r="I2706" s="179"/>
      <c r="J2706" s="344"/>
      <c r="K2706" s="345"/>
      <c r="L2706" s="346"/>
      <c r="M2706" s="347"/>
      <c r="N2706" s="347"/>
      <c r="O2706" s="132"/>
    </row>
    <row r="2707" spans="2:15" ht="26.25" customHeight="1" x14ac:dyDescent="0.25">
      <c r="B2707" s="130"/>
      <c r="C2707" s="135"/>
      <c r="D2707" s="177"/>
      <c r="E2707" s="178"/>
      <c r="F2707" s="178"/>
      <c r="G2707" s="340"/>
      <c r="H2707" s="340"/>
      <c r="I2707" s="179"/>
      <c r="J2707" s="344"/>
      <c r="K2707" s="345"/>
      <c r="L2707" s="346"/>
      <c r="M2707" s="347"/>
      <c r="N2707" s="347"/>
      <c r="O2707" s="132"/>
    </row>
    <row r="2708" spans="2:15" ht="26.25" customHeight="1" x14ac:dyDescent="0.25">
      <c r="B2708" s="130"/>
      <c r="C2708" s="135"/>
      <c r="D2708" s="177"/>
      <c r="E2708" s="178"/>
      <c r="F2708" s="178"/>
      <c r="G2708" s="340"/>
      <c r="H2708" s="340"/>
      <c r="I2708" s="179"/>
      <c r="J2708" s="344"/>
      <c r="K2708" s="345"/>
      <c r="L2708" s="346"/>
      <c r="M2708" s="347"/>
      <c r="N2708" s="347"/>
      <c r="O2708" s="132"/>
    </row>
    <row r="2709" spans="2:15" ht="26.25" customHeight="1" x14ac:dyDescent="0.25">
      <c r="B2709" s="130"/>
      <c r="C2709" s="135"/>
      <c r="D2709" s="177"/>
      <c r="E2709" s="178"/>
      <c r="F2709" s="178"/>
      <c r="G2709" s="340"/>
      <c r="H2709" s="340"/>
      <c r="I2709" s="179"/>
      <c r="J2709" s="344"/>
      <c r="K2709" s="345"/>
      <c r="L2709" s="346"/>
      <c r="M2709" s="347"/>
      <c r="N2709" s="347"/>
      <c r="O2709" s="132"/>
    </row>
    <row r="2710" spans="2:15" ht="26.25" customHeight="1" x14ac:dyDescent="0.25">
      <c r="B2710" s="130"/>
      <c r="C2710" s="135"/>
      <c r="D2710" s="177"/>
      <c r="E2710" s="178"/>
      <c r="F2710" s="178"/>
      <c r="G2710" s="340"/>
      <c r="H2710" s="340"/>
      <c r="I2710" s="179"/>
      <c r="J2710" s="344"/>
      <c r="K2710" s="345"/>
      <c r="L2710" s="346"/>
      <c r="M2710" s="347"/>
      <c r="N2710" s="347"/>
      <c r="O2710" s="132"/>
    </row>
    <row r="2711" spans="2:15" ht="26.25" customHeight="1" x14ac:dyDescent="0.25">
      <c r="B2711" s="130"/>
      <c r="C2711" s="135"/>
      <c r="D2711" s="177"/>
      <c r="E2711" s="178"/>
      <c r="F2711" s="178"/>
      <c r="G2711" s="340"/>
      <c r="H2711" s="340"/>
      <c r="I2711" s="179"/>
      <c r="J2711" s="344"/>
      <c r="K2711" s="345"/>
      <c r="L2711" s="346"/>
      <c r="M2711" s="347"/>
      <c r="N2711" s="347"/>
      <c r="O2711" s="132"/>
    </row>
    <row r="2712" spans="2:15" ht="26.25" customHeight="1" x14ac:dyDescent="0.25">
      <c r="B2712" s="130"/>
      <c r="C2712" s="135"/>
      <c r="D2712" s="177"/>
      <c r="E2712" s="178"/>
      <c r="F2712" s="178"/>
      <c r="G2712" s="340"/>
      <c r="H2712" s="340"/>
      <c r="I2712" s="179"/>
      <c r="J2712" s="344"/>
      <c r="K2712" s="345"/>
      <c r="L2712" s="346"/>
      <c r="M2712" s="347"/>
      <c r="N2712" s="347"/>
      <c r="O2712" s="132"/>
    </row>
    <row r="2713" spans="2:15" ht="26.25" customHeight="1" x14ac:dyDescent="0.25">
      <c r="B2713" s="130"/>
      <c r="C2713" s="135"/>
      <c r="D2713" s="177"/>
      <c r="E2713" s="178"/>
      <c r="F2713" s="178"/>
      <c r="G2713" s="340"/>
      <c r="H2713" s="340"/>
      <c r="I2713" s="179"/>
      <c r="J2713" s="344"/>
      <c r="K2713" s="345"/>
      <c r="L2713" s="346"/>
      <c r="M2713" s="347"/>
      <c r="N2713" s="347"/>
      <c r="O2713" s="132"/>
    </row>
    <row r="2714" spans="2:15" ht="26.25" customHeight="1" x14ac:dyDescent="0.25">
      <c r="B2714" s="130"/>
      <c r="C2714" s="135"/>
      <c r="D2714" s="177"/>
      <c r="E2714" s="178"/>
      <c r="F2714" s="178"/>
      <c r="G2714" s="340"/>
      <c r="H2714" s="340"/>
      <c r="I2714" s="179"/>
      <c r="J2714" s="344"/>
      <c r="K2714" s="345"/>
      <c r="L2714" s="346"/>
      <c r="M2714" s="347"/>
      <c r="N2714" s="347"/>
      <c r="O2714" s="132"/>
    </row>
    <row r="2715" spans="2:15" ht="26.25" customHeight="1" x14ac:dyDescent="0.25">
      <c r="B2715" s="130"/>
      <c r="C2715" s="135"/>
      <c r="D2715" s="177"/>
      <c r="E2715" s="178"/>
      <c r="F2715" s="178"/>
      <c r="G2715" s="340"/>
      <c r="H2715" s="340"/>
      <c r="I2715" s="179"/>
      <c r="J2715" s="344"/>
      <c r="K2715" s="345"/>
      <c r="L2715" s="346"/>
      <c r="M2715" s="347"/>
      <c r="N2715" s="347"/>
      <c r="O2715" s="132"/>
    </row>
    <row r="2716" spans="2:15" ht="26.25" customHeight="1" x14ac:dyDescent="0.25">
      <c r="B2716" s="130"/>
      <c r="C2716" s="135"/>
      <c r="D2716" s="177"/>
      <c r="E2716" s="178"/>
      <c r="F2716" s="178"/>
      <c r="G2716" s="340"/>
      <c r="H2716" s="340"/>
      <c r="I2716" s="179"/>
      <c r="J2716" s="344"/>
      <c r="K2716" s="345"/>
      <c r="L2716" s="346"/>
      <c r="M2716" s="347"/>
      <c r="N2716" s="347"/>
      <c r="O2716" s="132"/>
    </row>
    <row r="2717" spans="2:15" ht="26.25" customHeight="1" x14ac:dyDescent="0.25">
      <c r="B2717" s="130"/>
      <c r="C2717" s="135"/>
      <c r="D2717" s="177"/>
      <c r="E2717" s="178"/>
      <c r="F2717" s="178"/>
      <c r="G2717" s="340"/>
      <c r="H2717" s="340"/>
      <c r="I2717" s="179"/>
      <c r="J2717" s="344"/>
      <c r="K2717" s="345"/>
      <c r="L2717" s="346"/>
      <c r="M2717" s="347"/>
      <c r="N2717" s="347"/>
      <c r="O2717" s="132"/>
    </row>
    <row r="2718" spans="2:15" ht="26.25" customHeight="1" x14ac:dyDescent="0.25">
      <c r="B2718" s="130"/>
      <c r="C2718" s="135"/>
      <c r="D2718" s="177"/>
      <c r="E2718" s="178"/>
      <c r="F2718" s="178"/>
      <c r="G2718" s="340"/>
      <c r="H2718" s="340"/>
      <c r="I2718" s="179"/>
      <c r="J2718" s="344"/>
      <c r="K2718" s="345"/>
      <c r="L2718" s="346"/>
      <c r="M2718" s="347"/>
      <c r="N2718" s="347"/>
      <c r="O2718" s="132"/>
    </row>
    <row r="2719" spans="2:15" ht="26.25" customHeight="1" x14ac:dyDescent="0.25">
      <c r="B2719" s="130"/>
      <c r="C2719" s="135"/>
      <c r="D2719" s="177"/>
      <c r="E2719" s="178"/>
      <c r="F2719" s="178"/>
      <c r="G2719" s="340"/>
      <c r="H2719" s="340"/>
      <c r="I2719" s="179"/>
      <c r="J2719" s="344"/>
      <c r="K2719" s="345"/>
      <c r="L2719" s="346"/>
      <c r="M2719" s="347"/>
      <c r="N2719" s="347"/>
      <c r="O2719" s="132"/>
    </row>
    <row r="2720" spans="2:15" ht="26.25" customHeight="1" x14ac:dyDescent="0.25">
      <c r="B2720" s="130"/>
      <c r="C2720" s="135"/>
      <c r="D2720" s="177"/>
      <c r="E2720" s="178"/>
      <c r="F2720" s="178"/>
      <c r="G2720" s="340"/>
      <c r="H2720" s="340"/>
      <c r="I2720" s="179"/>
      <c r="J2720" s="344"/>
      <c r="K2720" s="345"/>
      <c r="L2720" s="346"/>
      <c r="M2720" s="347"/>
      <c r="N2720" s="347"/>
      <c r="O2720" s="132"/>
    </row>
    <row r="2721" spans="2:15" ht="26.25" customHeight="1" x14ac:dyDescent="0.25">
      <c r="B2721" s="130"/>
      <c r="C2721" s="135"/>
      <c r="D2721" s="177"/>
      <c r="E2721" s="178"/>
      <c r="F2721" s="178"/>
      <c r="G2721" s="340"/>
      <c r="H2721" s="340"/>
      <c r="I2721" s="179"/>
      <c r="J2721" s="344"/>
      <c r="K2721" s="345"/>
      <c r="L2721" s="346"/>
      <c r="M2721" s="347"/>
      <c r="N2721" s="347"/>
      <c r="O2721" s="132"/>
    </row>
    <row r="2722" spans="2:15" ht="26.25" customHeight="1" x14ac:dyDescent="0.25">
      <c r="B2722" s="130"/>
      <c r="C2722" s="135"/>
      <c r="D2722" s="177"/>
      <c r="E2722" s="178"/>
      <c r="F2722" s="178"/>
      <c r="G2722" s="340"/>
      <c r="H2722" s="340"/>
      <c r="I2722" s="179"/>
      <c r="J2722" s="344"/>
      <c r="K2722" s="345"/>
      <c r="L2722" s="346"/>
      <c r="M2722" s="347"/>
      <c r="N2722" s="347"/>
      <c r="O2722" s="132"/>
    </row>
    <row r="2723" spans="2:15" ht="26.25" customHeight="1" x14ac:dyDescent="0.25">
      <c r="B2723" s="130"/>
      <c r="C2723" s="135"/>
      <c r="D2723" s="177"/>
      <c r="E2723" s="178"/>
      <c r="F2723" s="178"/>
      <c r="G2723" s="340"/>
      <c r="H2723" s="340"/>
      <c r="I2723" s="179"/>
      <c r="J2723" s="344"/>
      <c r="K2723" s="345"/>
      <c r="L2723" s="346"/>
      <c r="M2723" s="347"/>
      <c r="N2723" s="347"/>
      <c r="O2723" s="132"/>
    </row>
    <row r="2724" spans="2:15" ht="26.25" customHeight="1" x14ac:dyDescent="0.25">
      <c r="B2724" s="130"/>
      <c r="C2724" s="135"/>
      <c r="D2724" s="177"/>
      <c r="E2724" s="178"/>
      <c r="F2724" s="178"/>
      <c r="G2724" s="340"/>
      <c r="H2724" s="340"/>
      <c r="I2724" s="179"/>
      <c r="J2724" s="344"/>
      <c r="K2724" s="345"/>
      <c r="L2724" s="346"/>
      <c r="M2724" s="347"/>
      <c r="N2724" s="347"/>
      <c r="O2724" s="132"/>
    </row>
    <row r="2725" spans="2:15" ht="26.25" customHeight="1" x14ac:dyDescent="0.25">
      <c r="B2725" s="130"/>
      <c r="C2725" s="135"/>
      <c r="D2725" s="177"/>
      <c r="E2725" s="178"/>
      <c r="F2725" s="178"/>
      <c r="G2725" s="340"/>
      <c r="H2725" s="340"/>
      <c r="I2725" s="179"/>
      <c r="J2725" s="344"/>
      <c r="K2725" s="345"/>
      <c r="L2725" s="346"/>
      <c r="M2725" s="347"/>
      <c r="N2725" s="347"/>
      <c r="O2725" s="132"/>
    </row>
    <row r="2726" spans="2:15" ht="26.25" customHeight="1" x14ac:dyDescent="0.25">
      <c r="B2726" s="130"/>
      <c r="C2726" s="135"/>
      <c r="D2726" s="177"/>
      <c r="E2726" s="178"/>
      <c r="F2726" s="178"/>
      <c r="G2726" s="340"/>
      <c r="H2726" s="340"/>
      <c r="I2726" s="179"/>
      <c r="J2726" s="344"/>
      <c r="K2726" s="345"/>
      <c r="L2726" s="346"/>
      <c r="M2726" s="347"/>
      <c r="N2726" s="347"/>
      <c r="O2726" s="132"/>
    </row>
    <row r="2727" spans="2:15" ht="26.25" customHeight="1" x14ac:dyDescent="0.25">
      <c r="B2727" s="130"/>
      <c r="C2727" s="135"/>
      <c r="D2727" s="177"/>
      <c r="E2727" s="178"/>
      <c r="F2727" s="178"/>
      <c r="G2727" s="340"/>
      <c r="H2727" s="340"/>
      <c r="I2727" s="179"/>
      <c r="J2727" s="344"/>
      <c r="K2727" s="345"/>
      <c r="L2727" s="346"/>
      <c r="M2727" s="347"/>
      <c r="N2727" s="347"/>
      <c r="O2727" s="132"/>
    </row>
    <row r="2728" spans="2:15" ht="26.25" customHeight="1" x14ac:dyDescent="0.25">
      <c r="B2728" s="130"/>
      <c r="C2728" s="135"/>
      <c r="D2728" s="177"/>
      <c r="E2728" s="178"/>
      <c r="F2728" s="178"/>
      <c r="G2728" s="340"/>
      <c r="H2728" s="340"/>
      <c r="I2728" s="179"/>
      <c r="J2728" s="344"/>
      <c r="K2728" s="345"/>
      <c r="L2728" s="346"/>
      <c r="M2728" s="347"/>
      <c r="N2728" s="347"/>
      <c r="O2728" s="132"/>
    </row>
    <row r="2729" spans="2:15" ht="26.25" customHeight="1" x14ac:dyDescent="0.25">
      <c r="B2729" s="130"/>
      <c r="C2729" s="135"/>
      <c r="D2729" s="177"/>
      <c r="E2729" s="178"/>
      <c r="F2729" s="178"/>
      <c r="G2729" s="340"/>
      <c r="H2729" s="340"/>
      <c r="I2729" s="179"/>
      <c r="J2729" s="344"/>
      <c r="K2729" s="345"/>
      <c r="L2729" s="346"/>
      <c r="M2729" s="347"/>
      <c r="N2729" s="347"/>
      <c r="O2729" s="132"/>
    </row>
    <row r="2730" spans="2:15" ht="26.25" customHeight="1" x14ac:dyDescent="0.25">
      <c r="B2730" s="130"/>
      <c r="C2730" s="135"/>
      <c r="D2730" s="177"/>
      <c r="E2730" s="178"/>
      <c r="F2730" s="178"/>
      <c r="G2730" s="340"/>
      <c r="H2730" s="340"/>
      <c r="I2730" s="179"/>
      <c r="J2730" s="344"/>
      <c r="K2730" s="345"/>
      <c r="L2730" s="346"/>
      <c r="M2730" s="347"/>
      <c r="N2730" s="347"/>
      <c r="O2730" s="132"/>
    </row>
    <row r="2731" spans="2:15" ht="26.25" customHeight="1" x14ac:dyDescent="0.25">
      <c r="B2731" s="130"/>
      <c r="C2731" s="135"/>
      <c r="D2731" s="177"/>
      <c r="E2731" s="178"/>
      <c r="F2731" s="178"/>
      <c r="G2731" s="340"/>
      <c r="H2731" s="340"/>
      <c r="I2731" s="179"/>
      <c r="J2731" s="344"/>
      <c r="K2731" s="345"/>
      <c r="L2731" s="346"/>
      <c r="M2731" s="347"/>
      <c r="N2731" s="347"/>
      <c r="O2731" s="132"/>
    </row>
    <row r="2732" spans="2:15" ht="26.25" customHeight="1" x14ac:dyDescent="0.25">
      <c r="B2732" s="130"/>
      <c r="C2732" s="135"/>
      <c r="D2732" s="177"/>
      <c r="E2732" s="178"/>
      <c r="F2732" s="178"/>
      <c r="G2732" s="340"/>
      <c r="H2732" s="340"/>
      <c r="I2732" s="179"/>
      <c r="J2732" s="344"/>
      <c r="K2732" s="345"/>
      <c r="L2732" s="346"/>
      <c r="M2732" s="347"/>
      <c r="N2732" s="347"/>
      <c r="O2732" s="132"/>
    </row>
    <row r="2733" spans="2:15" ht="26.25" customHeight="1" x14ac:dyDescent="0.25">
      <c r="B2733" s="130"/>
      <c r="C2733" s="135"/>
      <c r="D2733" s="177"/>
      <c r="E2733" s="178"/>
      <c r="F2733" s="178"/>
      <c r="G2733" s="340"/>
      <c r="H2733" s="340"/>
      <c r="I2733" s="179"/>
      <c r="J2733" s="344"/>
      <c r="K2733" s="345"/>
      <c r="L2733" s="346"/>
      <c r="M2733" s="347"/>
      <c r="N2733" s="347"/>
      <c r="O2733" s="132"/>
    </row>
    <row r="2734" spans="2:15" ht="26.25" customHeight="1" x14ac:dyDescent="0.25">
      <c r="B2734" s="130"/>
      <c r="C2734" s="135"/>
      <c r="D2734" s="177"/>
      <c r="E2734" s="178"/>
      <c r="F2734" s="178"/>
      <c r="G2734" s="340"/>
      <c r="H2734" s="340"/>
      <c r="I2734" s="179"/>
      <c r="J2734" s="344"/>
      <c r="K2734" s="345"/>
      <c r="L2734" s="346"/>
      <c r="M2734" s="347"/>
      <c r="N2734" s="347"/>
      <c r="O2734" s="132"/>
    </row>
    <row r="2735" spans="2:15" ht="26.25" customHeight="1" x14ac:dyDescent="0.25">
      <c r="B2735" s="130"/>
      <c r="C2735" s="135"/>
      <c r="D2735" s="177"/>
      <c r="E2735" s="178"/>
      <c r="F2735" s="178"/>
      <c r="G2735" s="340"/>
      <c r="H2735" s="340"/>
      <c r="I2735" s="179"/>
      <c r="J2735" s="344"/>
      <c r="K2735" s="345"/>
      <c r="L2735" s="346"/>
      <c r="M2735" s="347"/>
      <c r="N2735" s="347"/>
      <c r="O2735" s="132"/>
    </row>
    <row r="2736" spans="2:15" ht="26.25" customHeight="1" x14ac:dyDescent="0.25">
      <c r="B2736" s="130"/>
      <c r="C2736" s="135"/>
      <c r="D2736" s="177"/>
      <c r="E2736" s="178"/>
      <c r="F2736" s="178"/>
      <c r="G2736" s="340"/>
      <c r="H2736" s="340"/>
      <c r="I2736" s="179"/>
      <c r="J2736" s="344"/>
      <c r="K2736" s="345"/>
      <c r="L2736" s="346"/>
      <c r="M2736" s="347"/>
      <c r="N2736" s="347"/>
      <c r="O2736" s="132"/>
    </row>
    <row r="2737" spans="2:15" ht="26.25" customHeight="1" x14ac:dyDescent="0.25">
      <c r="B2737" s="130"/>
      <c r="C2737" s="135"/>
      <c r="D2737" s="177"/>
      <c r="E2737" s="178"/>
      <c r="F2737" s="178"/>
      <c r="G2737" s="340"/>
      <c r="H2737" s="340"/>
      <c r="I2737" s="179"/>
      <c r="J2737" s="344"/>
      <c r="K2737" s="345"/>
      <c r="L2737" s="346"/>
      <c r="M2737" s="347"/>
      <c r="N2737" s="347"/>
      <c r="O2737" s="132"/>
    </row>
    <row r="2738" spans="2:15" ht="26.25" customHeight="1" x14ac:dyDescent="0.25">
      <c r="B2738" s="130"/>
      <c r="C2738" s="135"/>
      <c r="D2738" s="177"/>
      <c r="E2738" s="178"/>
      <c r="F2738" s="178"/>
      <c r="G2738" s="340"/>
      <c r="H2738" s="340"/>
      <c r="I2738" s="179"/>
      <c r="J2738" s="344"/>
      <c r="K2738" s="345"/>
      <c r="L2738" s="346"/>
      <c r="M2738" s="347"/>
      <c r="N2738" s="347"/>
      <c r="O2738" s="132"/>
    </row>
    <row r="2739" spans="2:15" ht="26.25" customHeight="1" x14ac:dyDescent="0.25">
      <c r="B2739" s="130"/>
      <c r="C2739" s="135"/>
      <c r="D2739" s="177"/>
      <c r="E2739" s="178"/>
      <c r="F2739" s="178"/>
      <c r="G2739" s="340"/>
      <c r="H2739" s="340"/>
      <c r="I2739" s="179"/>
      <c r="J2739" s="344"/>
      <c r="K2739" s="345"/>
      <c r="L2739" s="346"/>
      <c r="M2739" s="347"/>
      <c r="N2739" s="347"/>
      <c r="O2739" s="132"/>
    </row>
    <row r="2740" spans="2:15" ht="26.25" customHeight="1" x14ac:dyDescent="0.25">
      <c r="B2740" s="130"/>
      <c r="C2740" s="135"/>
      <c r="D2740" s="177"/>
      <c r="E2740" s="178"/>
      <c r="F2740" s="178"/>
      <c r="G2740" s="340"/>
      <c r="H2740" s="340"/>
      <c r="I2740" s="179"/>
      <c r="J2740" s="344"/>
      <c r="K2740" s="345"/>
      <c r="L2740" s="346"/>
      <c r="M2740" s="347"/>
      <c r="N2740" s="347"/>
      <c r="O2740" s="132"/>
    </row>
    <row r="2741" spans="2:15" ht="26.25" customHeight="1" x14ac:dyDescent="0.25">
      <c r="B2741" s="130"/>
      <c r="C2741" s="135"/>
      <c r="D2741" s="177"/>
      <c r="E2741" s="178"/>
      <c r="F2741" s="178"/>
      <c r="G2741" s="340"/>
      <c r="H2741" s="340"/>
      <c r="I2741" s="179"/>
      <c r="J2741" s="344"/>
      <c r="K2741" s="345"/>
      <c r="L2741" s="346"/>
      <c r="M2741" s="347"/>
      <c r="N2741" s="347"/>
      <c r="O2741" s="132"/>
    </row>
    <row r="2742" spans="2:15" ht="26.25" customHeight="1" x14ac:dyDescent="0.25">
      <c r="B2742" s="130"/>
      <c r="C2742" s="135"/>
      <c r="D2742" s="177"/>
      <c r="E2742" s="178"/>
      <c r="F2742" s="178"/>
      <c r="G2742" s="340"/>
      <c r="H2742" s="340"/>
      <c r="I2742" s="179"/>
      <c r="J2742" s="344"/>
      <c r="K2742" s="345"/>
      <c r="L2742" s="346"/>
      <c r="M2742" s="347"/>
      <c r="N2742" s="347"/>
      <c r="O2742" s="132"/>
    </row>
    <row r="2743" spans="2:15" ht="26.25" customHeight="1" x14ac:dyDescent="0.25">
      <c r="B2743" s="130"/>
      <c r="C2743" s="135"/>
      <c r="D2743" s="177"/>
      <c r="E2743" s="178"/>
      <c r="F2743" s="178"/>
      <c r="G2743" s="340"/>
      <c r="H2743" s="340"/>
      <c r="I2743" s="179"/>
      <c r="J2743" s="344"/>
      <c r="K2743" s="345"/>
      <c r="L2743" s="346"/>
      <c r="M2743" s="347"/>
      <c r="N2743" s="347"/>
      <c r="O2743" s="132"/>
    </row>
    <row r="2744" spans="2:15" ht="26.25" customHeight="1" x14ac:dyDescent="0.25">
      <c r="B2744" s="130"/>
      <c r="C2744" s="135"/>
      <c r="D2744" s="177"/>
      <c r="E2744" s="178"/>
      <c r="F2744" s="178"/>
      <c r="G2744" s="340"/>
      <c r="H2744" s="340"/>
      <c r="I2744" s="179"/>
      <c r="J2744" s="344"/>
      <c r="K2744" s="345"/>
      <c r="L2744" s="346"/>
      <c r="M2744" s="347"/>
      <c r="N2744" s="347"/>
      <c r="O2744" s="132"/>
    </row>
    <row r="2745" spans="2:15" ht="26.25" customHeight="1" x14ac:dyDescent="0.25">
      <c r="B2745" s="130"/>
      <c r="C2745" s="135"/>
      <c r="D2745" s="177"/>
      <c r="E2745" s="178"/>
      <c r="F2745" s="178"/>
      <c r="G2745" s="340"/>
      <c r="H2745" s="340"/>
      <c r="I2745" s="179"/>
      <c r="J2745" s="344"/>
      <c r="K2745" s="345"/>
      <c r="L2745" s="346"/>
      <c r="M2745" s="347"/>
      <c r="N2745" s="347"/>
      <c r="O2745" s="132"/>
    </row>
    <row r="2746" spans="2:15" ht="26.25" customHeight="1" x14ac:dyDescent="0.25">
      <c r="B2746" s="130"/>
      <c r="C2746" s="135"/>
      <c r="D2746" s="177"/>
      <c r="E2746" s="178"/>
      <c r="F2746" s="178"/>
      <c r="G2746" s="340"/>
      <c r="H2746" s="340"/>
      <c r="I2746" s="179"/>
      <c r="J2746" s="344"/>
      <c r="K2746" s="345"/>
      <c r="L2746" s="346"/>
      <c r="M2746" s="347"/>
      <c r="N2746" s="347"/>
      <c r="O2746" s="132"/>
    </row>
    <row r="2747" spans="2:15" ht="26.25" customHeight="1" x14ac:dyDescent="0.25">
      <c r="B2747" s="130"/>
      <c r="C2747" s="135"/>
      <c r="D2747" s="177"/>
      <c r="E2747" s="178"/>
      <c r="F2747" s="178"/>
      <c r="G2747" s="340"/>
      <c r="H2747" s="340"/>
      <c r="I2747" s="179"/>
      <c r="J2747" s="344"/>
      <c r="K2747" s="345"/>
      <c r="L2747" s="346"/>
      <c r="M2747" s="347"/>
      <c r="N2747" s="347"/>
      <c r="O2747" s="132"/>
    </row>
    <row r="2748" spans="2:15" ht="26.25" customHeight="1" x14ac:dyDescent="0.25">
      <c r="B2748" s="130"/>
      <c r="C2748" s="135"/>
      <c r="D2748" s="177"/>
      <c r="E2748" s="178"/>
      <c r="F2748" s="178"/>
      <c r="G2748" s="340"/>
      <c r="H2748" s="340"/>
      <c r="I2748" s="179"/>
      <c r="J2748" s="344"/>
      <c r="K2748" s="345"/>
      <c r="L2748" s="346"/>
      <c r="M2748" s="347"/>
      <c r="N2748" s="347"/>
      <c r="O2748" s="132"/>
    </row>
    <row r="2749" spans="2:15" ht="26.25" customHeight="1" x14ac:dyDescent="0.25">
      <c r="B2749" s="130"/>
      <c r="C2749" s="135"/>
      <c r="D2749" s="177"/>
      <c r="E2749" s="178"/>
      <c r="F2749" s="178"/>
      <c r="G2749" s="340"/>
      <c r="H2749" s="340"/>
      <c r="I2749" s="179"/>
      <c r="J2749" s="344"/>
      <c r="K2749" s="345"/>
      <c r="L2749" s="346"/>
      <c r="M2749" s="347"/>
      <c r="N2749" s="347"/>
      <c r="O2749" s="132"/>
    </row>
    <row r="2750" spans="2:15" ht="26.25" customHeight="1" x14ac:dyDescent="0.25">
      <c r="B2750" s="130"/>
      <c r="C2750" s="135"/>
      <c r="D2750" s="177"/>
      <c r="E2750" s="178"/>
      <c r="F2750" s="178"/>
      <c r="G2750" s="340"/>
      <c r="H2750" s="340"/>
      <c r="I2750" s="179"/>
      <c r="J2750" s="344"/>
      <c r="K2750" s="345"/>
      <c r="L2750" s="346"/>
      <c r="M2750" s="347"/>
      <c r="N2750" s="347"/>
      <c r="O2750" s="132"/>
    </row>
    <row r="2751" spans="2:15" ht="26.25" customHeight="1" x14ac:dyDescent="0.25">
      <c r="B2751" s="130"/>
      <c r="C2751" s="135"/>
      <c r="D2751" s="177"/>
      <c r="E2751" s="178"/>
      <c r="F2751" s="178"/>
      <c r="G2751" s="340"/>
      <c r="H2751" s="340"/>
      <c r="I2751" s="179"/>
      <c r="J2751" s="344"/>
      <c r="K2751" s="345"/>
      <c r="L2751" s="346"/>
      <c r="M2751" s="347"/>
      <c r="N2751" s="347"/>
      <c r="O2751" s="132"/>
    </row>
    <row r="2752" spans="2:15" ht="26.25" customHeight="1" x14ac:dyDescent="0.25">
      <c r="B2752" s="130"/>
      <c r="C2752" s="135"/>
      <c r="D2752" s="177"/>
      <c r="E2752" s="178"/>
      <c r="F2752" s="178"/>
      <c r="G2752" s="340"/>
      <c r="H2752" s="340"/>
      <c r="I2752" s="179"/>
      <c r="J2752" s="344"/>
      <c r="K2752" s="345"/>
      <c r="L2752" s="346"/>
      <c r="M2752" s="347"/>
      <c r="N2752" s="347"/>
      <c r="O2752" s="132"/>
    </row>
    <row r="2753" spans="2:15" ht="26.25" customHeight="1" x14ac:dyDescent="0.25">
      <c r="B2753" s="130"/>
      <c r="C2753" s="135"/>
      <c r="D2753" s="177"/>
      <c r="E2753" s="178"/>
      <c r="F2753" s="178"/>
      <c r="G2753" s="340"/>
      <c r="H2753" s="340"/>
      <c r="I2753" s="179"/>
      <c r="J2753" s="344"/>
      <c r="K2753" s="345"/>
      <c r="L2753" s="346"/>
      <c r="M2753" s="347"/>
      <c r="N2753" s="347"/>
      <c r="O2753" s="132"/>
    </row>
    <row r="2754" spans="2:15" ht="26.25" customHeight="1" x14ac:dyDescent="0.25">
      <c r="B2754" s="130"/>
      <c r="C2754" s="135"/>
      <c r="D2754" s="177"/>
      <c r="E2754" s="178"/>
      <c r="F2754" s="178"/>
      <c r="G2754" s="340"/>
      <c r="H2754" s="340"/>
      <c r="I2754" s="179"/>
      <c r="J2754" s="344"/>
      <c r="K2754" s="345"/>
      <c r="L2754" s="346"/>
      <c r="M2754" s="347"/>
      <c r="N2754" s="347"/>
      <c r="O2754" s="132"/>
    </row>
    <row r="2755" spans="2:15" ht="26.25" customHeight="1" x14ac:dyDescent="0.25">
      <c r="B2755" s="130"/>
      <c r="C2755" s="135"/>
      <c r="D2755" s="177"/>
      <c r="E2755" s="178"/>
      <c r="F2755" s="178"/>
      <c r="G2755" s="340"/>
      <c r="H2755" s="340"/>
      <c r="I2755" s="179"/>
      <c r="J2755" s="344"/>
      <c r="K2755" s="345"/>
      <c r="L2755" s="346"/>
      <c r="M2755" s="347"/>
      <c r="N2755" s="347"/>
      <c r="O2755" s="132"/>
    </row>
    <row r="2756" spans="2:15" ht="26.25" customHeight="1" x14ac:dyDescent="0.25">
      <c r="B2756" s="130"/>
      <c r="C2756" s="135"/>
      <c r="D2756" s="177"/>
      <c r="E2756" s="178"/>
      <c r="F2756" s="178"/>
      <c r="G2756" s="340"/>
      <c r="H2756" s="340"/>
      <c r="I2756" s="179"/>
      <c r="J2756" s="344"/>
      <c r="K2756" s="345"/>
      <c r="L2756" s="346"/>
      <c r="M2756" s="347"/>
      <c r="N2756" s="347"/>
      <c r="O2756" s="132"/>
    </row>
    <row r="2757" spans="2:15" ht="26.25" customHeight="1" x14ac:dyDescent="0.25">
      <c r="B2757" s="130"/>
      <c r="C2757" s="135"/>
      <c r="D2757" s="177"/>
      <c r="E2757" s="178"/>
      <c r="F2757" s="178"/>
      <c r="G2757" s="340"/>
      <c r="H2757" s="340"/>
      <c r="I2757" s="179"/>
      <c r="J2757" s="344"/>
      <c r="K2757" s="345"/>
      <c r="L2757" s="346"/>
      <c r="M2757" s="347"/>
      <c r="N2757" s="347"/>
      <c r="O2757" s="132"/>
    </row>
    <row r="2758" spans="2:15" ht="26.25" customHeight="1" x14ac:dyDescent="0.25">
      <c r="B2758" s="130"/>
      <c r="C2758" s="135"/>
      <c r="D2758" s="177"/>
      <c r="E2758" s="178"/>
      <c r="F2758" s="178"/>
      <c r="G2758" s="340"/>
      <c r="H2758" s="340"/>
      <c r="I2758" s="179"/>
      <c r="J2758" s="344"/>
      <c r="K2758" s="345"/>
      <c r="L2758" s="346"/>
      <c r="M2758" s="347"/>
      <c r="N2758" s="347"/>
      <c r="O2758" s="132"/>
    </row>
    <row r="2759" spans="2:15" ht="26.25" customHeight="1" x14ac:dyDescent="0.25">
      <c r="B2759" s="130"/>
      <c r="C2759" s="135"/>
      <c r="D2759" s="177"/>
      <c r="E2759" s="178"/>
      <c r="F2759" s="178"/>
      <c r="G2759" s="340"/>
      <c r="H2759" s="340"/>
      <c r="I2759" s="179"/>
      <c r="J2759" s="344"/>
      <c r="K2759" s="345"/>
      <c r="L2759" s="346"/>
      <c r="M2759" s="347"/>
      <c r="N2759" s="347"/>
      <c r="O2759" s="132"/>
    </row>
    <row r="2760" spans="2:15" ht="26.25" customHeight="1" x14ac:dyDescent="0.25">
      <c r="B2760" s="130"/>
      <c r="C2760" s="135"/>
      <c r="D2760" s="177"/>
      <c r="E2760" s="178"/>
      <c r="F2760" s="178"/>
      <c r="G2760" s="340"/>
      <c r="H2760" s="340"/>
      <c r="I2760" s="179"/>
      <c r="J2760" s="344"/>
      <c r="K2760" s="345"/>
      <c r="L2760" s="346"/>
      <c r="M2760" s="347"/>
      <c r="N2760" s="347"/>
      <c r="O2760" s="132"/>
    </row>
    <row r="2761" spans="2:15" ht="26.25" customHeight="1" x14ac:dyDescent="0.25">
      <c r="B2761" s="130"/>
      <c r="C2761" s="135"/>
      <c r="D2761" s="177"/>
      <c r="E2761" s="178"/>
      <c r="F2761" s="178"/>
      <c r="G2761" s="340"/>
      <c r="H2761" s="340"/>
      <c r="I2761" s="179"/>
      <c r="J2761" s="344"/>
      <c r="K2761" s="345"/>
      <c r="L2761" s="346"/>
      <c r="M2761" s="347"/>
      <c r="N2761" s="347"/>
      <c r="O2761" s="132"/>
    </row>
    <row r="2762" spans="2:15" ht="26.25" customHeight="1" x14ac:dyDescent="0.25">
      <c r="B2762" s="130"/>
      <c r="C2762" s="135"/>
      <c r="D2762" s="177"/>
      <c r="E2762" s="178"/>
      <c r="F2762" s="178"/>
      <c r="G2762" s="340"/>
      <c r="H2762" s="340"/>
      <c r="I2762" s="179"/>
      <c r="J2762" s="344"/>
      <c r="K2762" s="345"/>
      <c r="L2762" s="346"/>
      <c r="M2762" s="347"/>
      <c r="N2762" s="347"/>
      <c r="O2762" s="132"/>
    </row>
    <row r="2763" spans="2:15" ht="26.25" customHeight="1" x14ac:dyDescent="0.25">
      <c r="B2763" s="130"/>
      <c r="C2763" s="135"/>
      <c r="D2763" s="177"/>
      <c r="E2763" s="178"/>
      <c r="F2763" s="178"/>
      <c r="G2763" s="340"/>
      <c r="H2763" s="340"/>
      <c r="I2763" s="179"/>
      <c r="J2763" s="344"/>
      <c r="K2763" s="345"/>
      <c r="L2763" s="346"/>
      <c r="M2763" s="347"/>
      <c r="N2763" s="347"/>
      <c r="O2763" s="132"/>
    </row>
    <row r="2764" spans="2:15" ht="26.25" customHeight="1" x14ac:dyDescent="0.25">
      <c r="B2764" s="130"/>
      <c r="C2764" s="135"/>
      <c r="D2764" s="177"/>
      <c r="E2764" s="178"/>
      <c r="F2764" s="178"/>
      <c r="G2764" s="340"/>
      <c r="H2764" s="340"/>
      <c r="I2764" s="179"/>
      <c r="J2764" s="344"/>
      <c r="K2764" s="345"/>
      <c r="L2764" s="346"/>
      <c r="M2764" s="347"/>
      <c r="N2764" s="347"/>
      <c r="O2764" s="132"/>
    </row>
    <row r="2765" spans="2:15" ht="26.25" customHeight="1" x14ac:dyDescent="0.25">
      <c r="B2765" s="130"/>
      <c r="C2765" s="135"/>
      <c r="D2765" s="177"/>
      <c r="E2765" s="178"/>
      <c r="F2765" s="178"/>
      <c r="G2765" s="340"/>
      <c r="H2765" s="340"/>
      <c r="I2765" s="179"/>
      <c r="J2765" s="344"/>
      <c r="K2765" s="345"/>
      <c r="L2765" s="346"/>
      <c r="M2765" s="347"/>
      <c r="N2765" s="347"/>
      <c r="O2765" s="132"/>
    </row>
    <row r="2766" spans="2:15" ht="26.25" customHeight="1" x14ac:dyDescent="0.25">
      <c r="B2766" s="130"/>
      <c r="C2766" s="135"/>
      <c r="D2766" s="177"/>
      <c r="E2766" s="178"/>
      <c r="F2766" s="178"/>
      <c r="G2766" s="340"/>
      <c r="H2766" s="340"/>
      <c r="I2766" s="179"/>
      <c r="J2766" s="344"/>
      <c r="K2766" s="345"/>
      <c r="L2766" s="346"/>
      <c r="M2766" s="347"/>
      <c r="N2766" s="347"/>
      <c r="O2766" s="132"/>
    </row>
    <row r="2767" spans="2:15" ht="26.25" customHeight="1" x14ac:dyDescent="0.25">
      <c r="B2767" s="130"/>
      <c r="C2767" s="135"/>
      <c r="D2767" s="177"/>
      <c r="E2767" s="178"/>
      <c r="F2767" s="178"/>
      <c r="G2767" s="340"/>
      <c r="H2767" s="340"/>
      <c r="I2767" s="179"/>
      <c r="J2767" s="344"/>
      <c r="K2767" s="345"/>
      <c r="L2767" s="346"/>
      <c r="M2767" s="347"/>
      <c r="N2767" s="347"/>
      <c r="O2767" s="132"/>
    </row>
    <row r="2768" spans="2:15" ht="26.25" customHeight="1" x14ac:dyDescent="0.25">
      <c r="B2768" s="130"/>
      <c r="C2768" s="135"/>
      <c r="D2768" s="177"/>
      <c r="E2768" s="178"/>
      <c r="F2768" s="178"/>
      <c r="G2768" s="340"/>
      <c r="H2768" s="340"/>
      <c r="I2768" s="179"/>
      <c r="J2768" s="344"/>
      <c r="K2768" s="345"/>
      <c r="L2768" s="346"/>
      <c r="M2768" s="347"/>
      <c r="N2768" s="347"/>
      <c r="O2768" s="132"/>
    </row>
    <row r="2769" spans="2:15" ht="26.25" customHeight="1" x14ac:dyDescent="0.25">
      <c r="B2769" s="130"/>
      <c r="C2769" s="135"/>
      <c r="D2769" s="177"/>
      <c r="E2769" s="178"/>
      <c r="F2769" s="178"/>
      <c r="G2769" s="340"/>
      <c r="H2769" s="340"/>
      <c r="I2769" s="179"/>
      <c r="J2769" s="344"/>
      <c r="K2769" s="345"/>
      <c r="L2769" s="346"/>
      <c r="M2769" s="347"/>
      <c r="N2769" s="347"/>
      <c r="O2769" s="132"/>
    </row>
    <row r="2770" spans="2:15" ht="26.25" customHeight="1" x14ac:dyDescent="0.25">
      <c r="B2770" s="130"/>
      <c r="C2770" s="135"/>
      <c r="D2770" s="177"/>
      <c r="E2770" s="178"/>
      <c r="F2770" s="178"/>
      <c r="G2770" s="340"/>
      <c r="H2770" s="340"/>
      <c r="I2770" s="179"/>
      <c r="J2770" s="344"/>
      <c r="K2770" s="345"/>
      <c r="L2770" s="346"/>
      <c r="M2770" s="347"/>
      <c r="N2770" s="347"/>
      <c r="O2770" s="132"/>
    </row>
    <row r="2771" spans="2:15" ht="26.25" customHeight="1" x14ac:dyDescent="0.25">
      <c r="B2771" s="130"/>
      <c r="C2771" s="135"/>
      <c r="D2771" s="177"/>
      <c r="E2771" s="178"/>
      <c r="F2771" s="178"/>
      <c r="G2771" s="340"/>
      <c r="H2771" s="340"/>
      <c r="I2771" s="179"/>
      <c r="J2771" s="344"/>
      <c r="K2771" s="345"/>
      <c r="L2771" s="346"/>
      <c r="M2771" s="347"/>
      <c r="N2771" s="347"/>
      <c r="O2771" s="132"/>
    </row>
    <row r="2772" spans="2:15" ht="26.25" customHeight="1" x14ac:dyDescent="0.25">
      <c r="B2772" s="130"/>
      <c r="C2772" s="135"/>
      <c r="D2772" s="177"/>
      <c r="E2772" s="178"/>
      <c r="F2772" s="178"/>
      <c r="G2772" s="340"/>
      <c r="H2772" s="340"/>
      <c r="I2772" s="179"/>
      <c r="J2772" s="344"/>
      <c r="K2772" s="345"/>
      <c r="L2772" s="346"/>
      <c r="M2772" s="347"/>
      <c r="N2772" s="347"/>
      <c r="O2772" s="132"/>
    </row>
    <row r="2773" spans="2:15" ht="26.25" customHeight="1" x14ac:dyDescent="0.25">
      <c r="B2773" s="130"/>
      <c r="C2773" s="135"/>
      <c r="D2773" s="177"/>
      <c r="E2773" s="178"/>
      <c r="F2773" s="178"/>
      <c r="G2773" s="340"/>
      <c r="H2773" s="340"/>
      <c r="I2773" s="179"/>
      <c r="J2773" s="344"/>
      <c r="K2773" s="345"/>
      <c r="L2773" s="346"/>
      <c r="M2773" s="347"/>
      <c r="N2773" s="347"/>
      <c r="O2773" s="132"/>
    </row>
    <row r="2774" spans="2:15" ht="26.25" customHeight="1" x14ac:dyDescent="0.25">
      <c r="B2774" s="130"/>
      <c r="C2774" s="135"/>
      <c r="D2774" s="177"/>
      <c r="E2774" s="178"/>
      <c r="F2774" s="178"/>
      <c r="G2774" s="340"/>
      <c r="H2774" s="340"/>
      <c r="I2774" s="179"/>
      <c r="J2774" s="344"/>
      <c r="K2774" s="345"/>
      <c r="L2774" s="346"/>
      <c r="M2774" s="347"/>
      <c r="N2774" s="347"/>
      <c r="O2774" s="132"/>
    </row>
    <row r="2775" spans="2:15" ht="26.25" customHeight="1" x14ac:dyDescent="0.25">
      <c r="B2775" s="130"/>
      <c r="C2775" s="135"/>
      <c r="D2775" s="177"/>
      <c r="E2775" s="178"/>
      <c r="F2775" s="178"/>
      <c r="G2775" s="340"/>
      <c r="H2775" s="340"/>
      <c r="I2775" s="179"/>
      <c r="J2775" s="344"/>
      <c r="K2775" s="345"/>
      <c r="L2775" s="346"/>
      <c r="M2775" s="347"/>
      <c r="N2775" s="347"/>
      <c r="O2775" s="132"/>
    </row>
    <row r="2776" spans="2:15" ht="26.25" customHeight="1" x14ac:dyDescent="0.25">
      <c r="B2776" s="130"/>
      <c r="C2776" s="135"/>
      <c r="D2776" s="177"/>
      <c r="E2776" s="178"/>
      <c r="F2776" s="178"/>
      <c r="G2776" s="340"/>
      <c r="H2776" s="340"/>
      <c r="I2776" s="179"/>
      <c r="J2776" s="344"/>
      <c r="K2776" s="345"/>
      <c r="L2776" s="346"/>
      <c r="M2776" s="347"/>
      <c r="N2776" s="347"/>
      <c r="O2776" s="132"/>
    </row>
    <row r="2777" spans="2:15" ht="26.25" customHeight="1" x14ac:dyDescent="0.25">
      <c r="B2777" s="130"/>
      <c r="C2777" s="135"/>
      <c r="D2777" s="177"/>
      <c r="E2777" s="178"/>
      <c r="F2777" s="178"/>
      <c r="G2777" s="340"/>
      <c r="H2777" s="340"/>
      <c r="I2777" s="179"/>
      <c r="J2777" s="344"/>
      <c r="K2777" s="345"/>
      <c r="L2777" s="346"/>
      <c r="M2777" s="347"/>
      <c r="N2777" s="347"/>
      <c r="O2777" s="132"/>
    </row>
    <row r="2778" spans="2:15" ht="26.25" customHeight="1" x14ac:dyDescent="0.25">
      <c r="B2778" s="130"/>
      <c r="C2778" s="135"/>
      <c r="D2778" s="177"/>
      <c r="E2778" s="178"/>
      <c r="F2778" s="178"/>
      <c r="G2778" s="340"/>
      <c r="H2778" s="340"/>
      <c r="I2778" s="179"/>
      <c r="J2778" s="344"/>
      <c r="K2778" s="345"/>
      <c r="L2778" s="346"/>
      <c r="M2778" s="347"/>
      <c r="N2778" s="347"/>
      <c r="O2778" s="132"/>
    </row>
    <row r="2779" spans="2:15" ht="26.25" customHeight="1" x14ac:dyDescent="0.25">
      <c r="B2779" s="130"/>
      <c r="C2779" s="135"/>
      <c r="D2779" s="177"/>
      <c r="E2779" s="178"/>
      <c r="F2779" s="178"/>
      <c r="G2779" s="340"/>
      <c r="H2779" s="340"/>
      <c r="I2779" s="179"/>
      <c r="J2779" s="344"/>
      <c r="K2779" s="345"/>
      <c r="L2779" s="346"/>
      <c r="M2779" s="347"/>
      <c r="N2779" s="347"/>
      <c r="O2779" s="132"/>
    </row>
    <row r="2780" spans="2:15" ht="26.25" customHeight="1" x14ac:dyDescent="0.25">
      <c r="B2780" s="130"/>
      <c r="C2780" s="135"/>
      <c r="D2780" s="177"/>
      <c r="E2780" s="178"/>
      <c r="F2780" s="178"/>
      <c r="G2780" s="340"/>
      <c r="H2780" s="340"/>
      <c r="I2780" s="179"/>
      <c r="J2780" s="344"/>
      <c r="K2780" s="345"/>
      <c r="L2780" s="346"/>
      <c r="M2780" s="347"/>
      <c r="N2780" s="347"/>
      <c r="O2780" s="132"/>
    </row>
    <row r="2781" spans="2:15" ht="26.25" customHeight="1" x14ac:dyDescent="0.25">
      <c r="B2781" s="130"/>
      <c r="C2781" s="135"/>
      <c r="D2781" s="177"/>
      <c r="E2781" s="178"/>
      <c r="F2781" s="178"/>
      <c r="G2781" s="340"/>
      <c r="H2781" s="340"/>
      <c r="I2781" s="179"/>
      <c r="J2781" s="344"/>
      <c r="K2781" s="345"/>
      <c r="L2781" s="346"/>
      <c r="M2781" s="347"/>
      <c r="N2781" s="347"/>
      <c r="O2781" s="132"/>
    </row>
    <row r="2782" spans="2:15" ht="26.25" customHeight="1" x14ac:dyDescent="0.25">
      <c r="B2782" s="130"/>
      <c r="C2782" s="135"/>
      <c r="D2782" s="177"/>
      <c r="E2782" s="178"/>
      <c r="F2782" s="178"/>
      <c r="G2782" s="340"/>
      <c r="H2782" s="340"/>
      <c r="I2782" s="179"/>
      <c r="J2782" s="344"/>
      <c r="K2782" s="345"/>
      <c r="L2782" s="346"/>
      <c r="M2782" s="347"/>
      <c r="N2782" s="347"/>
      <c r="O2782" s="132"/>
    </row>
    <row r="2783" spans="2:15" ht="26.25" customHeight="1" x14ac:dyDescent="0.25">
      <c r="B2783" s="130"/>
      <c r="C2783" s="135"/>
      <c r="D2783" s="177"/>
      <c r="E2783" s="178"/>
      <c r="F2783" s="178"/>
      <c r="G2783" s="340"/>
      <c r="H2783" s="340"/>
      <c r="I2783" s="179"/>
      <c r="J2783" s="344"/>
      <c r="K2783" s="345"/>
      <c r="L2783" s="346"/>
      <c r="M2783" s="347"/>
      <c r="N2783" s="347"/>
      <c r="O2783" s="132"/>
    </row>
    <row r="2784" spans="2:15" ht="26.25" customHeight="1" x14ac:dyDescent="0.25">
      <c r="B2784" s="130"/>
      <c r="C2784" s="135"/>
      <c r="D2784" s="177"/>
      <c r="E2784" s="178"/>
      <c r="F2784" s="178"/>
      <c r="G2784" s="340"/>
      <c r="H2784" s="340"/>
      <c r="I2784" s="179"/>
      <c r="J2784" s="344"/>
      <c r="K2784" s="345"/>
      <c r="L2784" s="346"/>
      <c r="M2784" s="347"/>
      <c r="N2784" s="347"/>
      <c r="O2784" s="132"/>
    </row>
    <row r="2785" spans="2:15" ht="26.25" customHeight="1" x14ac:dyDescent="0.25">
      <c r="B2785" s="130"/>
      <c r="C2785" s="135"/>
      <c r="D2785" s="177"/>
      <c r="E2785" s="178"/>
      <c r="F2785" s="178"/>
      <c r="G2785" s="340"/>
      <c r="H2785" s="340"/>
      <c r="I2785" s="179"/>
      <c r="J2785" s="344"/>
      <c r="K2785" s="345"/>
      <c r="L2785" s="346"/>
      <c r="M2785" s="347"/>
      <c r="N2785" s="347"/>
      <c r="O2785" s="132"/>
    </row>
    <row r="2786" spans="2:15" ht="26.25" customHeight="1" x14ac:dyDescent="0.25">
      <c r="B2786" s="130"/>
      <c r="C2786" s="135"/>
      <c r="D2786" s="177"/>
      <c r="E2786" s="178"/>
      <c r="F2786" s="178"/>
      <c r="G2786" s="340"/>
      <c r="H2786" s="340"/>
      <c r="I2786" s="179"/>
      <c r="J2786" s="344"/>
      <c r="K2786" s="345"/>
      <c r="L2786" s="346"/>
      <c r="M2786" s="347"/>
      <c r="N2786" s="347"/>
      <c r="O2786" s="132"/>
    </row>
    <row r="2787" spans="2:15" ht="26.25" customHeight="1" x14ac:dyDescent="0.25">
      <c r="B2787" s="130"/>
      <c r="C2787" s="135"/>
      <c r="D2787" s="177"/>
      <c r="E2787" s="178"/>
      <c r="F2787" s="178"/>
      <c r="G2787" s="340"/>
      <c r="H2787" s="340"/>
      <c r="I2787" s="179"/>
      <c r="J2787" s="344"/>
      <c r="K2787" s="345"/>
      <c r="L2787" s="346"/>
      <c r="M2787" s="347"/>
      <c r="N2787" s="347"/>
      <c r="O2787" s="132"/>
    </row>
    <row r="2788" spans="2:15" ht="26.25" customHeight="1" x14ac:dyDescent="0.25">
      <c r="B2788" s="130"/>
      <c r="C2788" s="135"/>
      <c r="D2788" s="177"/>
      <c r="E2788" s="178"/>
      <c r="F2788" s="178"/>
      <c r="G2788" s="340"/>
      <c r="H2788" s="340"/>
      <c r="I2788" s="179"/>
      <c r="J2788" s="344"/>
      <c r="K2788" s="345"/>
      <c r="L2788" s="346"/>
      <c r="M2788" s="347"/>
      <c r="N2788" s="347"/>
      <c r="O2788" s="132"/>
    </row>
    <row r="2789" spans="2:15" ht="26.25" customHeight="1" x14ac:dyDescent="0.25">
      <c r="B2789" s="130"/>
      <c r="C2789" s="135"/>
      <c r="D2789" s="177"/>
      <c r="E2789" s="178"/>
      <c r="F2789" s="178"/>
      <c r="G2789" s="340"/>
      <c r="H2789" s="340"/>
      <c r="I2789" s="179"/>
      <c r="J2789" s="344"/>
      <c r="K2789" s="345"/>
      <c r="L2789" s="346"/>
      <c r="M2789" s="347"/>
      <c r="N2789" s="347"/>
      <c r="O2789" s="132"/>
    </row>
    <row r="2790" spans="2:15" ht="26.25" customHeight="1" x14ac:dyDescent="0.25">
      <c r="B2790" s="130"/>
      <c r="C2790" s="135"/>
      <c r="D2790" s="177"/>
      <c r="E2790" s="178"/>
      <c r="F2790" s="178"/>
      <c r="G2790" s="340"/>
      <c r="H2790" s="340"/>
      <c r="I2790" s="179"/>
      <c r="J2790" s="344"/>
      <c r="K2790" s="345"/>
      <c r="L2790" s="346"/>
      <c r="M2790" s="347"/>
      <c r="N2790" s="347"/>
      <c r="O2790" s="132"/>
    </row>
    <row r="2791" spans="2:15" ht="26.25" customHeight="1" x14ac:dyDescent="0.25">
      <c r="B2791" s="130"/>
      <c r="C2791" s="135"/>
      <c r="D2791" s="177"/>
      <c r="E2791" s="178"/>
      <c r="F2791" s="178"/>
      <c r="G2791" s="340"/>
      <c r="H2791" s="340"/>
      <c r="I2791" s="179"/>
      <c r="J2791" s="344"/>
      <c r="K2791" s="345"/>
      <c r="L2791" s="346"/>
      <c r="M2791" s="347"/>
      <c r="N2791" s="347"/>
      <c r="O2791" s="132"/>
    </row>
    <row r="2792" spans="2:15" ht="26.25" customHeight="1" x14ac:dyDescent="0.25">
      <c r="B2792" s="130"/>
      <c r="C2792" s="135"/>
      <c r="D2792" s="177"/>
      <c r="E2792" s="178"/>
      <c r="F2792" s="178"/>
      <c r="G2792" s="340"/>
      <c r="H2792" s="340"/>
      <c r="I2792" s="179"/>
      <c r="J2792" s="344"/>
      <c r="K2792" s="345"/>
      <c r="L2792" s="346"/>
      <c r="M2792" s="347"/>
      <c r="N2792" s="347"/>
      <c r="O2792" s="132"/>
    </row>
    <row r="2793" spans="2:15" ht="26.25" customHeight="1" x14ac:dyDescent="0.25">
      <c r="B2793" s="130"/>
      <c r="C2793" s="135"/>
      <c r="D2793" s="177"/>
      <c r="E2793" s="178"/>
      <c r="F2793" s="178"/>
      <c r="G2793" s="340"/>
      <c r="H2793" s="340"/>
      <c r="I2793" s="179"/>
      <c r="J2793" s="344"/>
      <c r="K2793" s="345"/>
      <c r="L2793" s="346"/>
      <c r="M2793" s="347"/>
      <c r="N2793" s="347"/>
      <c r="O2793" s="132"/>
    </row>
    <row r="2794" spans="2:15" ht="26.25" customHeight="1" x14ac:dyDescent="0.25">
      <c r="B2794" s="130"/>
      <c r="C2794" s="135"/>
      <c r="D2794" s="177"/>
      <c r="E2794" s="178"/>
      <c r="F2794" s="178"/>
      <c r="G2794" s="340"/>
      <c r="H2794" s="340"/>
      <c r="I2794" s="179"/>
      <c r="J2794" s="344"/>
      <c r="K2794" s="345"/>
      <c r="L2794" s="346"/>
      <c r="M2794" s="347"/>
      <c r="N2794" s="347"/>
      <c r="O2794" s="132"/>
    </row>
    <row r="2795" spans="2:15" ht="26.25" customHeight="1" x14ac:dyDescent="0.25">
      <c r="B2795" s="130"/>
      <c r="C2795" s="135"/>
      <c r="D2795" s="177"/>
      <c r="E2795" s="178"/>
      <c r="F2795" s="178"/>
      <c r="G2795" s="340"/>
      <c r="H2795" s="340"/>
      <c r="I2795" s="179"/>
      <c r="J2795" s="344"/>
      <c r="K2795" s="345"/>
      <c r="L2795" s="346"/>
      <c r="M2795" s="347"/>
      <c r="N2795" s="347"/>
      <c r="O2795" s="132"/>
    </row>
    <row r="2796" spans="2:15" ht="26.25" customHeight="1" x14ac:dyDescent="0.25">
      <c r="B2796" s="130"/>
      <c r="C2796" s="135"/>
      <c r="D2796" s="177"/>
      <c r="E2796" s="178"/>
      <c r="F2796" s="178"/>
      <c r="G2796" s="340"/>
      <c r="H2796" s="340"/>
      <c r="I2796" s="179"/>
      <c r="J2796" s="344"/>
      <c r="K2796" s="345"/>
      <c r="L2796" s="346"/>
      <c r="M2796" s="347"/>
      <c r="N2796" s="347"/>
      <c r="O2796" s="132"/>
    </row>
    <row r="2797" spans="2:15" ht="26.25" customHeight="1" x14ac:dyDescent="0.25">
      <c r="B2797" s="130"/>
      <c r="C2797" s="135"/>
      <c r="D2797" s="177"/>
      <c r="E2797" s="178"/>
      <c r="F2797" s="178"/>
      <c r="G2797" s="340"/>
      <c r="H2797" s="340"/>
      <c r="I2797" s="179"/>
      <c r="J2797" s="344"/>
      <c r="K2797" s="345"/>
      <c r="L2797" s="346"/>
      <c r="M2797" s="347"/>
      <c r="N2797" s="347"/>
      <c r="O2797" s="132"/>
    </row>
    <row r="2798" spans="2:15" ht="26.25" customHeight="1" x14ac:dyDescent="0.25">
      <c r="B2798" s="130"/>
      <c r="C2798" s="135"/>
      <c r="D2798" s="177"/>
      <c r="E2798" s="178"/>
      <c r="F2798" s="178"/>
      <c r="G2798" s="340"/>
      <c r="H2798" s="340"/>
      <c r="I2798" s="179"/>
      <c r="J2798" s="344"/>
      <c r="K2798" s="345"/>
      <c r="L2798" s="346"/>
      <c r="M2798" s="347"/>
      <c r="N2798" s="347"/>
      <c r="O2798" s="132"/>
    </row>
    <row r="2799" spans="2:15" ht="26.25" customHeight="1" x14ac:dyDescent="0.25">
      <c r="B2799" s="130"/>
      <c r="C2799" s="135"/>
      <c r="D2799" s="177"/>
      <c r="E2799" s="178"/>
      <c r="F2799" s="178"/>
      <c r="G2799" s="340"/>
      <c r="H2799" s="340"/>
      <c r="I2799" s="179"/>
      <c r="J2799" s="344"/>
      <c r="K2799" s="345"/>
      <c r="L2799" s="346"/>
      <c r="M2799" s="347"/>
      <c r="N2799" s="347"/>
      <c r="O2799" s="132"/>
    </row>
    <row r="2800" spans="2:15" ht="26.25" customHeight="1" x14ac:dyDescent="0.25">
      <c r="B2800" s="130"/>
      <c r="C2800" s="135"/>
      <c r="D2800" s="177"/>
      <c r="E2800" s="178"/>
      <c r="F2800" s="178"/>
      <c r="G2800" s="340"/>
      <c r="H2800" s="340"/>
      <c r="I2800" s="179"/>
      <c r="J2800" s="344"/>
      <c r="K2800" s="345"/>
      <c r="L2800" s="346"/>
      <c r="M2800" s="347"/>
      <c r="N2800" s="347"/>
      <c r="O2800" s="132"/>
    </row>
    <row r="2801" spans="2:15" ht="26.25" customHeight="1" x14ac:dyDescent="0.25">
      <c r="B2801" s="130"/>
      <c r="C2801" s="135"/>
      <c r="D2801" s="177"/>
      <c r="E2801" s="178"/>
      <c r="F2801" s="178"/>
      <c r="G2801" s="340"/>
      <c r="H2801" s="340"/>
      <c r="I2801" s="179"/>
      <c r="J2801" s="344"/>
      <c r="K2801" s="345"/>
      <c r="L2801" s="346"/>
      <c r="M2801" s="347"/>
      <c r="N2801" s="347"/>
      <c r="O2801" s="132"/>
    </row>
    <row r="2802" spans="2:15" ht="26.25" customHeight="1" x14ac:dyDescent="0.25">
      <c r="B2802" s="130"/>
      <c r="C2802" s="135"/>
      <c r="D2802" s="177"/>
      <c r="E2802" s="178"/>
      <c r="F2802" s="178"/>
      <c r="G2802" s="340"/>
      <c r="H2802" s="340"/>
      <c r="I2802" s="179"/>
      <c r="J2802" s="344"/>
      <c r="K2802" s="345"/>
      <c r="L2802" s="346"/>
      <c r="M2802" s="347"/>
      <c r="N2802" s="347"/>
      <c r="O2802" s="132"/>
    </row>
    <row r="2803" spans="2:15" ht="26.25" customHeight="1" x14ac:dyDescent="0.25">
      <c r="B2803" s="130"/>
      <c r="C2803" s="135"/>
      <c r="D2803" s="177"/>
      <c r="E2803" s="178"/>
      <c r="F2803" s="178"/>
      <c r="G2803" s="340"/>
      <c r="H2803" s="340"/>
      <c r="I2803" s="179"/>
      <c r="J2803" s="344"/>
      <c r="K2803" s="345"/>
      <c r="L2803" s="346"/>
      <c r="M2803" s="347"/>
      <c r="N2803" s="347"/>
      <c r="O2803" s="132"/>
    </row>
    <row r="2804" spans="2:15" ht="26.25" customHeight="1" x14ac:dyDescent="0.25">
      <c r="B2804" s="130"/>
      <c r="C2804" s="135"/>
      <c r="D2804" s="177"/>
      <c r="E2804" s="178"/>
      <c r="F2804" s="178"/>
      <c r="G2804" s="340"/>
      <c r="H2804" s="340"/>
      <c r="I2804" s="179"/>
      <c r="J2804" s="344"/>
      <c r="K2804" s="345"/>
      <c r="L2804" s="346"/>
      <c r="M2804" s="347"/>
      <c r="N2804" s="347"/>
      <c r="O2804" s="132"/>
    </row>
    <row r="2805" spans="2:15" ht="26.25" customHeight="1" x14ac:dyDescent="0.25">
      <c r="B2805" s="130"/>
      <c r="C2805" s="135"/>
      <c r="D2805" s="177"/>
      <c r="E2805" s="178"/>
      <c r="F2805" s="178"/>
      <c r="G2805" s="340"/>
      <c r="H2805" s="340"/>
      <c r="I2805" s="179"/>
      <c r="J2805" s="344"/>
      <c r="K2805" s="345"/>
      <c r="L2805" s="346"/>
      <c r="M2805" s="347"/>
      <c r="N2805" s="347"/>
      <c r="O2805" s="132"/>
    </row>
    <row r="2806" spans="2:15" ht="26.25" customHeight="1" x14ac:dyDescent="0.25">
      <c r="B2806" s="130"/>
      <c r="C2806" s="135"/>
      <c r="D2806" s="177"/>
      <c r="E2806" s="178"/>
      <c r="F2806" s="178"/>
      <c r="G2806" s="340"/>
      <c r="H2806" s="340"/>
      <c r="I2806" s="179"/>
      <c r="J2806" s="344"/>
      <c r="K2806" s="345"/>
      <c r="L2806" s="346"/>
      <c r="M2806" s="347"/>
      <c r="N2806" s="347"/>
      <c r="O2806" s="132"/>
    </row>
    <row r="2807" spans="2:15" ht="26.25" customHeight="1" x14ac:dyDescent="0.25">
      <c r="B2807" s="130"/>
      <c r="C2807" s="135"/>
      <c r="D2807" s="177"/>
      <c r="E2807" s="178"/>
      <c r="F2807" s="178"/>
      <c r="G2807" s="340"/>
      <c r="H2807" s="340"/>
      <c r="I2807" s="179"/>
      <c r="J2807" s="344"/>
      <c r="K2807" s="345"/>
      <c r="L2807" s="346"/>
      <c r="M2807" s="347"/>
      <c r="N2807" s="347"/>
      <c r="O2807" s="132"/>
    </row>
    <row r="2808" spans="2:15" ht="26.25" customHeight="1" x14ac:dyDescent="0.25">
      <c r="B2808" s="130"/>
      <c r="C2808" s="135"/>
      <c r="D2808" s="177"/>
      <c r="E2808" s="178"/>
      <c r="F2808" s="178"/>
      <c r="G2808" s="340"/>
      <c r="H2808" s="340"/>
      <c r="I2808" s="179"/>
      <c r="J2808" s="344"/>
      <c r="K2808" s="345"/>
      <c r="L2808" s="346"/>
      <c r="M2808" s="347"/>
      <c r="N2808" s="347"/>
      <c r="O2808" s="132"/>
    </row>
    <row r="2809" spans="2:15" ht="26.25" customHeight="1" x14ac:dyDescent="0.25">
      <c r="B2809" s="130"/>
      <c r="C2809" s="135"/>
      <c r="D2809" s="177"/>
      <c r="E2809" s="178"/>
      <c r="F2809" s="178"/>
      <c r="G2809" s="340"/>
      <c r="H2809" s="340"/>
      <c r="I2809" s="179"/>
      <c r="J2809" s="344"/>
      <c r="K2809" s="345"/>
      <c r="L2809" s="346"/>
      <c r="M2809" s="347"/>
      <c r="N2809" s="347"/>
      <c r="O2809" s="132"/>
    </row>
    <row r="2810" spans="2:15" ht="26.25" customHeight="1" x14ac:dyDescent="0.25">
      <c r="B2810" s="130"/>
      <c r="C2810" s="135"/>
      <c r="D2810" s="177"/>
      <c r="E2810" s="178"/>
      <c r="F2810" s="178"/>
      <c r="G2810" s="340"/>
      <c r="H2810" s="340"/>
      <c r="I2810" s="179"/>
      <c r="J2810" s="344"/>
      <c r="K2810" s="345"/>
      <c r="L2810" s="346"/>
      <c r="M2810" s="347"/>
      <c r="N2810" s="347"/>
      <c r="O2810" s="132"/>
    </row>
    <row r="2811" spans="2:15" ht="26.25" customHeight="1" x14ac:dyDescent="0.25">
      <c r="B2811" s="130"/>
      <c r="C2811" s="135"/>
      <c r="D2811" s="177"/>
      <c r="E2811" s="178"/>
      <c r="F2811" s="178"/>
      <c r="G2811" s="340"/>
      <c r="H2811" s="340"/>
      <c r="I2811" s="179"/>
      <c r="J2811" s="344"/>
      <c r="K2811" s="345"/>
      <c r="L2811" s="346"/>
      <c r="M2811" s="347"/>
      <c r="N2811" s="347"/>
      <c r="O2811" s="132"/>
    </row>
    <row r="2812" spans="2:15" ht="26.25" customHeight="1" x14ac:dyDescent="0.25">
      <c r="B2812" s="130"/>
      <c r="C2812" s="135"/>
      <c r="D2812" s="177"/>
      <c r="E2812" s="178"/>
      <c r="F2812" s="178"/>
      <c r="G2812" s="340"/>
      <c r="H2812" s="340"/>
      <c r="I2812" s="179"/>
      <c r="J2812" s="344"/>
      <c r="K2812" s="345"/>
      <c r="L2812" s="346"/>
      <c r="M2812" s="347"/>
      <c r="N2812" s="347"/>
      <c r="O2812" s="132"/>
    </row>
    <row r="2813" spans="2:15" ht="26.25" customHeight="1" x14ac:dyDescent="0.25">
      <c r="B2813" s="130"/>
      <c r="C2813" s="135"/>
      <c r="D2813" s="177"/>
      <c r="E2813" s="178"/>
      <c r="F2813" s="178"/>
      <c r="G2813" s="340"/>
      <c r="H2813" s="340"/>
      <c r="I2813" s="179"/>
      <c r="J2813" s="344"/>
      <c r="K2813" s="345"/>
      <c r="L2813" s="346"/>
      <c r="M2813" s="347"/>
      <c r="N2813" s="347"/>
      <c r="O2813" s="132"/>
    </row>
    <row r="2814" spans="2:15" ht="26.25" customHeight="1" x14ac:dyDescent="0.25">
      <c r="B2814" s="130"/>
      <c r="C2814" s="135"/>
      <c r="D2814" s="177"/>
      <c r="E2814" s="178"/>
      <c r="F2814" s="178"/>
      <c r="G2814" s="340"/>
      <c r="H2814" s="340"/>
      <c r="I2814" s="179"/>
      <c r="J2814" s="344"/>
      <c r="K2814" s="345"/>
      <c r="L2814" s="346"/>
      <c r="M2814" s="347"/>
      <c r="N2814" s="347"/>
      <c r="O2814" s="132"/>
    </row>
    <row r="2815" spans="2:15" ht="26.25" customHeight="1" x14ac:dyDescent="0.25">
      <c r="B2815" s="130"/>
      <c r="C2815" s="135"/>
      <c r="D2815" s="177"/>
      <c r="E2815" s="178"/>
      <c r="F2815" s="178"/>
      <c r="G2815" s="340"/>
      <c r="H2815" s="340"/>
      <c r="I2815" s="179"/>
      <c r="J2815" s="344"/>
      <c r="K2815" s="345"/>
      <c r="L2815" s="346"/>
      <c r="M2815" s="347"/>
      <c r="N2815" s="347"/>
      <c r="O2815" s="132"/>
    </row>
    <row r="2816" spans="2:15" ht="26.25" customHeight="1" x14ac:dyDescent="0.25">
      <c r="B2816" s="130"/>
      <c r="C2816" s="135"/>
      <c r="D2816" s="177"/>
      <c r="E2816" s="178"/>
      <c r="F2816" s="178"/>
      <c r="G2816" s="340"/>
      <c r="H2816" s="340"/>
      <c r="I2816" s="179"/>
      <c r="J2816" s="344"/>
      <c r="K2816" s="345"/>
      <c r="L2816" s="346"/>
      <c r="M2816" s="347"/>
      <c r="N2816" s="347"/>
      <c r="O2816" s="132"/>
    </row>
    <row r="2817" spans="2:15" ht="26.25" customHeight="1" x14ac:dyDescent="0.25">
      <c r="B2817" s="130"/>
      <c r="C2817" s="135"/>
      <c r="D2817" s="177"/>
      <c r="E2817" s="178"/>
      <c r="F2817" s="178"/>
      <c r="G2817" s="340"/>
      <c r="H2817" s="340"/>
      <c r="I2817" s="179"/>
      <c r="J2817" s="344"/>
      <c r="K2817" s="345"/>
      <c r="L2817" s="346"/>
      <c r="M2817" s="347"/>
      <c r="N2817" s="347"/>
      <c r="O2817" s="132"/>
    </row>
    <row r="2818" spans="2:15" ht="26.25" customHeight="1" x14ac:dyDescent="0.25">
      <c r="B2818" s="130"/>
      <c r="C2818" s="135"/>
      <c r="D2818" s="177"/>
      <c r="E2818" s="178"/>
      <c r="F2818" s="178"/>
      <c r="G2818" s="340"/>
      <c r="H2818" s="340"/>
      <c r="I2818" s="179"/>
      <c r="J2818" s="344"/>
      <c r="K2818" s="345"/>
      <c r="L2818" s="346"/>
      <c r="M2818" s="347"/>
      <c r="N2818" s="347"/>
      <c r="O2818" s="132"/>
    </row>
    <row r="2819" spans="2:15" ht="26.25" customHeight="1" x14ac:dyDescent="0.25">
      <c r="B2819" s="130"/>
      <c r="C2819" s="135"/>
      <c r="D2819" s="177"/>
      <c r="E2819" s="178"/>
      <c r="F2819" s="178"/>
      <c r="G2819" s="340"/>
      <c r="H2819" s="340"/>
      <c r="I2819" s="179"/>
      <c r="J2819" s="344"/>
      <c r="K2819" s="345"/>
      <c r="L2819" s="346"/>
      <c r="M2819" s="347"/>
      <c r="N2819" s="347"/>
      <c r="O2819" s="132"/>
    </row>
    <row r="2820" spans="2:15" ht="26.25" customHeight="1" x14ac:dyDescent="0.25">
      <c r="B2820" s="130"/>
      <c r="C2820" s="135"/>
      <c r="D2820" s="177"/>
      <c r="E2820" s="178"/>
      <c r="F2820" s="178"/>
      <c r="G2820" s="340"/>
      <c r="H2820" s="340"/>
      <c r="I2820" s="179"/>
      <c r="J2820" s="344"/>
      <c r="K2820" s="345"/>
      <c r="L2820" s="346"/>
      <c r="M2820" s="347"/>
      <c r="N2820" s="347"/>
      <c r="O2820" s="132"/>
    </row>
    <row r="2821" spans="2:15" ht="26.25" customHeight="1" x14ac:dyDescent="0.25">
      <c r="B2821" s="130"/>
      <c r="C2821" s="135"/>
      <c r="D2821" s="177"/>
      <c r="E2821" s="178"/>
      <c r="F2821" s="178"/>
      <c r="G2821" s="340"/>
      <c r="H2821" s="340"/>
      <c r="I2821" s="179"/>
      <c r="J2821" s="344"/>
      <c r="K2821" s="345"/>
      <c r="L2821" s="346"/>
      <c r="M2821" s="347"/>
      <c r="N2821" s="347"/>
      <c r="O2821" s="132"/>
    </row>
    <row r="2822" spans="2:15" ht="26.25" customHeight="1" x14ac:dyDescent="0.25">
      <c r="B2822" s="130"/>
      <c r="C2822" s="135"/>
      <c r="D2822" s="177"/>
      <c r="E2822" s="178"/>
      <c r="F2822" s="178"/>
      <c r="G2822" s="340"/>
      <c r="H2822" s="340"/>
      <c r="I2822" s="179"/>
      <c r="J2822" s="344"/>
      <c r="K2822" s="345"/>
      <c r="L2822" s="346"/>
      <c r="M2822" s="347"/>
      <c r="N2822" s="347"/>
      <c r="O2822" s="132"/>
    </row>
    <row r="2823" spans="2:15" ht="26.25" customHeight="1" x14ac:dyDescent="0.25">
      <c r="B2823" s="130"/>
      <c r="C2823" s="135"/>
      <c r="D2823" s="177"/>
      <c r="E2823" s="178"/>
      <c r="F2823" s="178"/>
      <c r="G2823" s="340"/>
      <c r="H2823" s="340"/>
      <c r="I2823" s="179"/>
      <c r="J2823" s="344"/>
      <c r="K2823" s="345"/>
      <c r="L2823" s="346"/>
      <c r="M2823" s="347"/>
      <c r="N2823" s="347"/>
      <c r="O2823" s="132"/>
    </row>
    <row r="2824" spans="2:15" ht="26.25" customHeight="1" x14ac:dyDescent="0.25">
      <c r="B2824" s="130"/>
      <c r="C2824" s="135"/>
      <c r="D2824" s="177"/>
      <c r="E2824" s="178"/>
      <c r="F2824" s="178"/>
      <c r="G2824" s="340"/>
      <c r="H2824" s="340"/>
      <c r="I2824" s="179"/>
      <c r="J2824" s="344"/>
      <c r="K2824" s="345"/>
      <c r="L2824" s="346"/>
      <c r="M2824" s="347"/>
      <c r="N2824" s="347"/>
      <c r="O2824" s="132"/>
    </row>
    <row r="2825" spans="2:15" ht="26.25" customHeight="1" x14ac:dyDescent="0.25">
      <c r="B2825" s="130"/>
      <c r="C2825" s="135"/>
      <c r="D2825" s="177"/>
      <c r="E2825" s="178"/>
      <c r="F2825" s="178"/>
      <c r="G2825" s="340"/>
      <c r="H2825" s="340"/>
      <c r="I2825" s="179"/>
      <c r="J2825" s="344"/>
      <c r="K2825" s="345"/>
      <c r="L2825" s="346"/>
      <c r="M2825" s="347"/>
      <c r="N2825" s="347"/>
      <c r="O2825" s="132"/>
    </row>
    <row r="2826" spans="2:15" ht="26.25" customHeight="1" x14ac:dyDescent="0.25">
      <c r="B2826" s="130"/>
      <c r="C2826" s="135"/>
      <c r="D2826" s="177"/>
      <c r="E2826" s="178"/>
      <c r="F2826" s="178"/>
      <c r="G2826" s="340"/>
      <c r="H2826" s="340"/>
      <c r="I2826" s="179"/>
      <c r="J2826" s="344"/>
      <c r="K2826" s="345"/>
      <c r="L2826" s="346"/>
      <c r="M2826" s="347"/>
      <c r="N2826" s="347"/>
      <c r="O2826" s="132"/>
    </row>
    <row r="2827" spans="2:15" ht="26.25" customHeight="1" x14ac:dyDescent="0.25">
      <c r="B2827" s="130"/>
      <c r="C2827" s="135"/>
      <c r="D2827" s="177"/>
      <c r="E2827" s="178"/>
      <c r="F2827" s="178"/>
      <c r="G2827" s="340"/>
      <c r="H2827" s="340"/>
      <c r="I2827" s="179"/>
      <c r="J2827" s="344"/>
      <c r="K2827" s="345"/>
      <c r="L2827" s="346"/>
      <c r="M2827" s="347"/>
      <c r="N2827" s="347"/>
      <c r="O2827" s="132"/>
    </row>
    <row r="2828" spans="2:15" ht="26.25" customHeight="1" x14ac:dyDescent="0.25">
      <c r="B2828" s="130"/>
      <c r="C2828" s="135"/>
      <c r="D2828" s="177"/>
      <c r="E2828" s="178"/>
      <c r="F2828" s="178"/>
      <c r="G2828" s="340"/>
      <c r="H2828" s="340"/>
      <c r="I2828" s="179"/>
      <c r="J2828" s="344"/>
      <c r="K2828" s="345"/>
      <c r="L2828" s="346"/>
      <c r="M2828" s="347"/>
      <c r="N2828" s="347"/>
      <c r="O2828" s="132"/>
    </row>
    <row r="2829" spans="2:15" ht="26.25" customHeight="1" x14ac:dyDescent="0.25">
      <c r="B2829" s="130"/>
      <c r="C2829" s="135"/>
      <c r="D2829" s="177"/>
      <c r="E2829" s="178"/>
      <c r="F2829" s="178"/>
      <c r="G2829" s="340"/>
      <c r="H2829" s="340"/>
      <c r="I2829" s="179"/>
      <c r="J2829" s="344"/>
      <c r="K2829" s="345"/>
      <c r="L2829" s="346"/>
      <c r="M2829" s="347"/>
      <c r="N2829" s="347"/>
      <c r="O2829" s="132"/>
    </row>
    <row r="2830" spans="2:15" ht="26.25" customHeight="1" x14ac:dyDescent="0.25">
      <c r="B2830" s="130"/>
      <c r="C2830" s="135"/>
      <c r="D2830" s="177"/>
      <c r="E2830" s="178"/>
      <c r="F2830" s="178"/>
      <c r="G2830" s="340"/>
      <c r="H2830" s="340"/>
      <c r="I2830" s="179"/>
      <c r="J2830" s="344"/>
      <c r="K2830" s="345"/>
      <c r="L2830" s="346"/>
      <c r="M2830" s="347"/>
      <c r="N2830" s="347"/>
      <c r="O2830" s="132"/>
    </row>
    <row r="2831" spans="2:15" ht="26.25" customHeight="1" x14ac:dyDescent="0.25">
      <c r="B2831" s="130"/>
      <c r="C2831" s="135"/>
      <c r="D2831" s="177"/>
      <c r="E2831" s="178"/>
      <c r="F2831" s="178"/>
      <c r="G2831" s="340"/>
      <c r="H2831" s="340"/>
      <c r="I2831" s="179"/>
      <c r="J2831" s="344"/>
      <c r="K2831" s="345"/>
      <c r="L2831" s="346"/>
      <c r="M2831" s="347"/>
      <c r="N2831" s="347"/>
      <c r="O2831" s="132"/>
    </row>
    <row r="2832" spans="2:15" ht="26.25" customHeight="1" x14ac:dyDescent="0.25">
      <c r="B2832" s="130"/>
      <c r="C2832" s="135"/>
      <c r="D2832" s="177"/>
      <c r="E2832" s="178"/>
      <c r="F2832" s="178"/>
      <c r="G2832" s="340"/>
      <c r="H2832" s="340"/>
      <c r="I2832" s="179"/>
      <c r="J2832" s="344"/>
      <c r="K2832" s="345"/>
      <c r="L2832" s="346"/>
      <c r="M2832" s="347"/>
      <c r="N2832" s="347"/>
      <c r="O2832" s="132"/>
    </row>
    <row r="2833" spans="2:15" ht="26.25" customHeight="1" x14ac:dyDescent="0.25">
      <c r="B2833" s="130"/>
      <c r="C2833" s="135"/>
      <c r="D2833" s="177"/>
      <c r="E2833" s="178"/>
      <c r="F2833" s="178"/>
      <c r="G2833" s="340"/>
      <c r="H2833" s="340"/>
      <c r="I2833" s="179"/>
      <c r="J2833" s="344"/>
      <c r="K2833" s="345"/>
      <c r="L2833" s="346"/>
      <c r="M2833" s="347"/>
      <c r="N2833" s="347"/>
      <c r="O2833" s="132"/>
    </row>
    <row r="2834" spans="2:15" ht="26.25" customHeight="1" x14ac:dyDescent="0.25">
      <c r="B2834" s="130"/>
      <c r="C2834" s="135"/>
      <c r="D2834" s="177"/>
      <c r="E2834" s="178"/>
      <c r="F2834" s="178"/>
      <c r="G2834" s="340"/>
      <c r="H2834" s="340"/>
      <c r="I2834" s="179"/>
      <c r="J2834" s="344"/>
      <c r="K2834" s="345"/>
      <c r="L2834" s="346"/>
      <c r="M2834" s="347"/>
      <c r="N2834" s="347"/>
      <c r="O2834" s="132"/>
    </row>
    <row r="2835" spans="2:15" ht="26.25" customHeight="1" x14ac:dyDescent="0.25">
      <c r="B2835" s="130"/>
      <c r="C2835" s="135"/>
      <c r="D2835" s="177"/>
      <c r="E2835" s="178"/>
      <c r="F2835" s="178"/>
      <c r="G2835" s="340"/>
      <c r="H2835" s="340"/>
      <c r="I2835" s="179"/>
      <c r="J2835" s="344"/>
      <c r="K2835" s="345"/>
      <c r="L2835" s="346"/>
      <c r="M2835" s="347"/>
      <c r="N2835" s="347"/>
      <c r="O2835" s="132"/>
    </row>
    <row r="2836" spans="2:15" ht="26.25" customHeight="1" x14ac:dyDescent="0.25">
      <c r="B2836" s="130"/>
      <c r="C2836" s="135"/>
      <c r="D2836" s="177"/>
      <c r="E2836" s="178"/>
      <c r="F2836" s="178"/>
      <c r="G2836" s="340"/>
      <c r="H2836" s="340"/>
      <c r="I2836" s="179"/>
      <c r="J2836" s="344"/>
      <c r="K2836" s="345"/>
      <c r="L2836" s="346"/>
      <c r="M2836" s="347"/>
      <c r="N2836" s="347"/>
      <c r="O2836" s="132"/>
    </row>
    <row r="2837" spans="2:15" ht="26.25" customHeight="1" x14ac:dyDescent="0.25">
      <c r="B2837" s="130"/>
      <c r="C2837" s="135"/>
      <c r="D2837" s="177"/>
      <c r="E2837" s="178"/>
      <c r="F2837" s="178"/>
      <c r="G2837" s="340"/>
      <c r="H2837" s="340"/>
      <c r="I2837" s="179"/>
      <c r="J2837" s="344"/>
      <c r="K2837" s="345"/>
      <c r="L2837" s="346"/>
      <c r="M2837" s="347"/>
      <c r="N2837" s="347"/>
      <c r="O2837" s="132"/>
    </row>
    <row r="2838" spans="2:15" ht="26.25" customHeight="1" x14ac:dyDescent="0.25">
      <c r="B2838" s="130"/>
      <c r="C2838" s="135"/>
      <c r="D2838" s="177"/>
      <c r="E2838" s="178"/>
      <c r="F2838" s="178"/>
      <c r="G2838" s="340"/>
      <c r="H2838" s="340"/>
      <c r="I2838" s="179"/>
      <c r="J2838" s="344"/>
      <c r="K2838" s="345"/>
      <c r="L2838" s="346"/>
      <c r="M2838" s="347"/>
      <c r="N2838" s="347"/>
      <c r="O2838" s="132"/>
    </row>
    <row r="2839" spans="2:15" ht="26.25" customHeight="1" x14ac:dyDescent="0.25">
      <c r="B2839" s="130"/>
      <c r="C2839" s="135"/>
      <c r="D2839" s="177"/>
      <c r="E2839" s="178"/>
      <c r="F2839" s="178"/>
      <c r="G2839" s="340"/>
      <c r="H2839" s="340"/>
      <c r="I2839" s="179"/>
      <c r="J2839" s="344"/>
      <c r="K2839" s="345"/>
      <c r="L2839" s="346"/>
      <c r="M2839" s="347"/>
      <c r="N2839" s="347"/>
      <c r="O2839" s="132"/>
    </row>
    <row r="2840" spans="2:15" ht="26.25" customHeight="1" x14ac:dyDescent="0.25">
      <c r="B2840" s="130"/>
      <c r="C2840" s="135"/>
      <c r="D2840" s="177"/>
      <c r="E2840" s="178"/>
      <c r="F2840" s="178"/>
      <c r="G2840" s="340"/>
      <c r="H2840" s="340"/>
      <c r="I2840" s="179"/>
      <c r="J2840" s="344"/>
      <c r="K2840" s="345"/>
      <c r="L2840" s="346"/>
      <c r="M2840" s="347"/>
      <c r="N2840" s="347"/>
      <c r="O2840" s="132"/>
    </row>
    <row r="2841" spans="2:15" ht="26.25" customHeight="1" x14ac:dyDescent="0.25">
      <c r="B2841" s="130"/>
      <c r="C2841" s="135"/>
      <c r="D2841" s="177"/>
      <c r="E2841" s="178"/>
      <c r="F2841" s="178"/>
      <c r="G2841" s="340"/>
      <c r="H2841" s="340"/>
      <c r="I2841" s="179"/>
      <c r="J2841" s="344"/>
      <c r="K2841" s="345"/>
      <c r="L2841" s="346"/>
      <c r="M2841" s="347"/>
      <c r="N2841" s="347"/>
      <c r="O2841" s="132"/>
    </row>
    <row r="2842" spans="2:15" ht="26.25" customHeight="1" x14ac:dyDescent="0.25">
      <c r="B2842" s="130"/>
      <c r="C2842" s="135"/>
      <c r="D2842" s="177"/>
      <c r="E2842" s="178"/>
      <c r="F2842" s="178"/>
      <c r="G2842" s="340"/>
      <c r="H2842" s="340"/>
      <c r="I2842" s="179"/>
      <c r="J2842" s="344"/>
      <c r="K2842" s="345"/>
      <c r="L2842" s="346"/>
      <c r="M2842" s="347"/>
      <c r="N2842" s="347"/>
      <c r="O2842" s="132"/>
    </row>
    <row r="2843" spans="2:15" ht="26.25" customHeight="1" x14ac:dyDescent="0.25">
      <c r="B2843" s="130"/>
      <c r="C2843" s="135"/>
      <c r="D2843" s="177"/>
      <c r="E2843" s="178"/>
      <c r="F2843" s="178"/>
      <c r="G2843" s="340"/>
      <c r="H2843" s="340"/>
      <c r="I2843" s="179"/>
      <c r="J2843" s="344"/>
      <c r="K2843" s="345"/>
      <c r="L2843" s="346"/>
      <c r="M2843" s="347"/>
      <c r="N2843" s="347"/>
      <c r="O2843" s="132"/>
    </row>
    <row r="2844" spans="2:15" ht="26.25" customHeight="1" x14ac:dyDescent="0.25">
      <c r="B2844" s="130"/>
      <c r="C2844" s="135"/>
      <c r="D2844" s="177"/>
      <c r="E2844" s="178"/>
      <c r="F2844" s="178"/>
      <c r="G2844" s="340"/>
      <c r="H2844" s="340"/>
      <c r="I2844" s="179"/>
      <c r="J2844" s="344"/>
      <c r="K2844" s="345"/>
      <c r="L2844" s="346"/>
      <c r="M2844" s="347"/>
      <c r="N2844" s="347"/>
      <c r="O2844" s="132"/>
    </row>
    <row r="2845" spans="2:15" ht="26.25" customHeight="1" x14ac:dyDescent="0.25">
      <c r="B2845" s="130"/>
      <c r="C2845" s="135"/>
      <c r="D2845" s="177"/>
      <c r="E2845" s="178"/>
      <c r="F2845" s="178"/>
      <c r="G2845" s="340"/>
      <c r="H2845" s="340"/>
      <c r="I2845" s="179"/>
      <c r="J2845" s="344"/>
      <c r="K2845" s="345"/>
      <c r="L2845" s="346"/>
      <c r="M2845" s="347"/>
      <c r="N2845" s="347"/>
      <c r="O2845" s="132"/>
    </row>
    <row r="2846" spans="2:15" ht="26.25" customHeight="1" x14ac:dyDescent="0.25">
      <c r="B2846" s="130"/>
      <c r="C2846" s="135"/>
      <c r="D2846" s="177"/>
      <c r="E2846" s="178"/>
      <c r="F2846" s="178"/>
      <c r="G2846" s="340"/>
      <c r="H2846" s="340"/>
      <c r="I2846" s="179"/>
      <c r="J2846" s="344"/>
      <c r="K2846" s="345"/>
      <c r="L2846" s="346"/>
      <c r="M2846" s="347"/>
      <c r="N2846" s="347"/>
      <c r="O2846" s="132"/>
    </row>
    <row r="2847" spans="2:15" ht="26.25" customHeight="1" x14ac:dyDescent="0.25">
      <c r="B2847" s="130"/>
      <c r="C2847" s="135"/>
      <c r="D2847" s="177"/>
      <c r="E2847" s="178"/>
      <c r="F2847" s="178"/>
      <c r="G2847" s="340"/>
      <c r="H2847" s="340"/>
      <c r="I2847" s="179"/>
      <c r="J2847" s="344"/>
      <c r="K2847" s="345"/>
      <c r="L2847" s="346"/>
      <c r="M2847" s="347"/>
      <c r="N2847" s="347"/>
      <c r="O2847" s="132"/>
    </row>
    <row r="2848" spans="2:15" ht="26.25" customHeight="1" x14ac:dyDescent="0.25">
      <c r="B2848" s="130"/>
      <c r="C2848" s="135"/>
      <c r="D2848" s="177"/>
      <c r="E2848" s="178"/>
      <c r="F2848" s="178"/>
      <c r="G2848" s="340"/>
      <c r="H2848" s="340"/>
      <c r="I2848" s="179"/>
      <c r="J2848" s="344"/>
      <c r="K2848" s="345"/>
      <c r="L2848" s="346"/>
      <c r="M2848" s="347"/>
      <c r="N2848" s="347"/>
      <c r="O2848" s="132"/>
    </row>
    <row r="2849" spans="2:15" ht="26.25" customHeight="1" x14ac:dyDescent="0.25">
      <c r="B2849" s="130"/>
      <c r="C2849" s="135"/>
      <c r="D2849" s="177"/>
      <c r="E2849" s="178"/>
      <c r="F2849" s="178"/>
      <c r="G2849" s="340"/>
      <c r="H2849" s="340"/>
      <c r="I2849" s="179"/>
      <c r="J2849" s="344"/>
      <c r="K2849" s="345"/>
      <c r="L2849" s="346"/>
      <c r="M2849" s="347"/>
      <c r="N2849" s="347"/>
      <c r="O2849" s="132"/>
    </row>
    <row r="2850" spans="2:15" ht="26.25" customHeight="1" x14ac:dyDescent="0.25">
      <c r="B2850" s="130"/>
      <c r="C2850" s="135"/>
      <c r="D2850" s="177"/>
      <c r="E2850" s="178"/>
      <c r="F2850" s="178"/>
      <c r="G2850" s="340"/>
      <c r="H2850" s="340"/>
      <c r="I2850" s="179"/>
      <c r="J2850" s="344"/>
      <c r="K2850" s="345"/>
      <c r="L2850" s="346"/>
      <c r="M2850" s="347"/>
      <c r="N2850" s="347"/>
      <c r="O2850" s="132"/>
    </row>
    <row r="2851" spans="2:15" ht="26.25" customHeight="1" x14ac:dyDescent="0.25">
      <c r="B2851" s="130"/>
      <c r="C2851" s="135"/>
      <c r="D2851" s="177"/>
      <c r="E2851" s="178"/>
      <c r="F2851" s="178"/>
      <c r="G2851" s="340"/>
      <c r="H2851" s="340"/>
      <c r="I2851" s="179"/>
      <c r="J2851" s="344"/>
      <c r="K2851" s="345"/>
      <c r="L2851" s="346"/>
      <c r="M2851" s="347"/>
      <c r="N2851" s="347"/>
      <c r="O2851" s="132"/>
    </row>
    <row r="2852" spans="2:15" ht="26.25" customHeight="1" x14ac:dyDescent="0.25">
      <c r="B2852" s="130"/>
      <c r="C2852" s="135"/>
      <c r="D2852" s="177"/>
      <c r="E2852" s="178"/>
      <c r="F2852" s="178"/>
      <c r="G2852" s="340"/>
      <c r="H2852" s="340"/>
      <c r="I2852" s="179"/>
      <c r="J2852" s="344"/>
      <c r="K2852" s="345"/>
      <c r="L2852" s="346"/>
      <c r="M2852" s="347"/>
      <c r="N2852" s="347"/>
      <c r="O2852" s="132"/>
    </row>
    <row r="2853" spans="2:15" ht="26.25" customHeight="1" x14ac:dyDescent="0.25">
      <c r="B2853" s="130"/>
      <c r="C2853" s="135"/>
      <c r="D2853" s="177"/>
      <c r="E2853" s="178"/>
      <c r="F2853" s="178"/>
      <c r="G2853" s="340"/>
      <c r="H2853" s="340"/>
      <c r="I2853" s="179"/>
      <c r="J2853" s="344"/>
      <c r="K2853" s="345"/>
      <c r="L2853" s="346"/>
      <c r="M2853" s="347"/>
      <c r="N2853" s="347"/>
      <c r="O2853" s="132"/>
    </row>
    <row r="2854" spans="2:15" ht="26.25" customHeight="1" x14ac:dyDescent="0.25">
      <c r="B2854" s="130"/>
      <c r="C2854" s="135"/>
      <c r="D2854" s="177"/>
      <c r="E2854" s="178"/>
      <c r="F2854" s="178"/>
      <c r="G2854" s="340"/>
      <c r="H2854" s="340"/>
      <c r="I2854" s="179"/>
      <c r="J2854" s="344"/>
      <c r="K2854" s="345"/>
      <c r="L2854" s="346"/>
      <c r="M2854" s="347"/>
      <c r="N2854" s="347"/>
      <c r="O2854" s="132"/>
    </row>
    <row r="2855" spans="2:15" ht="26.25" customHeight="1" x14ac:dyDescent="0.25">
      <c r="B2855" s="130"/>
      <c r="C2855" s="135"/>
      <c r="D2855" s="177"/>
      <c r="E2855" s="178"/>
      <c r="F2855" s="178"/>
      <c r="G2855" s="340"/>
      <c r="H2855" s="340"/>
      <c r="I2855" s="179"/>
      <c r="J2855" s="344"/>
      <c r="K2855" s="345"/>
      <c r="L2855" s="346"/>
      <c r="M2855" s="347"/>
      <c r="N2855" s="347"/>
      <c r="O2855" s="132"/>
    </row>
    <row r="2856" spans="2:15" ht="26.25" customHeight="1" x14ac:dyDescent="0.25">
      <c r="B2856" s="130"/>
      <c r="C2856" s="135"/>
      <c r="D2856" s="177"/>
      <c r="E2856" s="178"/>
      <c r="F2856" s="178"/>
      <c r="G2856" s="340"/>
      <c r="H2856" s="340"/>
      <c r="I2856" s="179"/>
      <c r="J2856" s="344"/>
      <c r="K2856" s="345"/>
      <c r="L2856" s="346"/>
      <c r="M2856" s="347"/>
      <c r="N2856" s="347"/>
      <c r="O2856" s="132"/>
    </row>
    <row r="2857" spans="2:15" ht="26.25" customHeight="1" x14ac:dyDescent="0.25">
      <c r="B2857" s="130"/>
      <c r="C2857" s="135"/>
      <c r="D2857" s="177"/>
      <c r="E2857" s="178"/>
      <c r="F2857" s="178"/>
      <c r="G2857" s="340"/>
      <c r="H2857" s="340"/>
      <c r="I2857" s="179"/>
      <c r="J2857" s="344"/>
      <c r="K2857" s="345"/>
      <c r="L2857" s="346"/>
      <c r="M2857" s="347"/>
      <c r="N2857" s="347"/>
      <c r="O2857" s="132"/>
    </row>
    <row r="2858" spans="2:15" ht="26.25" customHeight="1" x14ac:dyDescent="0.25">
      <c r="B2858" s="130"/>
      <c r="C2858" s="135"/>
      <c r="D2858" s="177"/>
      <c r="E2858" s="178"/>
      <c r="F2858" s="178"/>
      <c r="G2858" s="340"/>
      <c r="H2858" s="340"/>
      <c r="I2858" s="179"/>
      <c r="J2858" s="344"/>
      <c r="K2858" s="345"/>
      <c r="L2858" s="346"/>
      <c r="M2858" s="347"/>
      <c r="N2858" s="347"/>
      <c r="O2858" s="132"/>
    </row>
    <row r="2859" spans="2:15" ht="26.25" customHeight="1" x14ac:dyDescent="0.25">
      <c r="B2859" s="130"/>
      <c r="C2859" s="135"/>
      <c r="D2859" s="177"/>
      <c r="E2859" s="178"/>
      <c r="F2859" s="178"/>
      <c r="G2859" s="340"/>
      <c r="H2859" s="340"/>
      <c r="I2859" s="179"/>
      <c r="J2859" s="344"/>
      <c r="K2859" s="345"/>
      <c r="L2859" s="346"/>
      <c r="M2859" s="347"/>
      <c r="N2859" s="347"/>
      <c r="O2859" s="132"/>
    </row>
    <row r="2860" spans="2:15" ht="26.25" customHeight="1" x14ac:dyDescent="0.25">
      <c r="B2860" s="130"/>
      <c r="C2860" s="135"/>
      <c r="D2860" s="177"/>
      <c r="E2860" s="178"/>
      <c r="F2860" s="178"/>
      <c r="G2860" s="340"/>
      <c r="H2860" s="340"/>
      <c r="I2860" s="179"/>
      <c r="J2860" s="344"/>
      <c r="K2860" s="345"/>
      <c r="L2860" s="346"/>
      <c r="M2860" s="347"/>
      <c r="N2860" s="347"/>
      <c r="O2860" s="132"/>
    </row>
    <row r="2861" spans="2:15" ht="26.25" customHeight="1" x14ac:dyDescent="0.25">
      <c r="B2861" s="130"/>
      <c r="C2861" s="135"/>
      <c r="D2861" s="177"/>
      <c r="E2861" s="178"/>
      <c r="F2861" s="178"/>
      <c r="G2861" s="340"/>
      <c r="H2861" s="340"/>
      <c r="I2861" s="179"/>
      <c r="J2861" s="344"/>
      <c r="K2861" s="345"/>
      <c r="L2861" s="346"/>
      <c r="M2861" s="347"/>
      <c r="N2861" s="347"/>
      <c r="O2861" s="132"/>
    </row>
    <row r="2862" spans="2:15" ht="26.25" customHeight="1" x14ac:dyDescent="0.25">
      <c r="B2862" s="130"/>
      <c r="C2862" s="135"/>
      <c r="D2862" s="177"/>
      <c r="E2862" s="178"/>
      <c r="F2862" s="178"/>
      <c r="G2862" s="340"/>
      <c r="H2862" s="340"/>
      <c r="I2862" s="179"/>
      <c r="J2862" s="344"/>
      <c r="K2862" s="345"/>
      <c r="L2862" s="346"/>
      <c r="M2862" s="347"/>
      <c r="N2862" s="347"/>
      <c r="O2862" s="132"/>
    </row>
    <row r="2863" spans="2:15" ht="26.25" customHeight="1" x14ac:dyDescent="0.25">
      <c r="B2863" s="130"/>
      <c r="C2863" s="135"/>
      <c r="D2863" s="177"/>
      <c r="E2863" s="178"/>
      <c r="F2863" s="178"/>
      <c r="G2863" s="340"/>
      <c r="H2863" s="340"/>
      <c r="I2863" s="179"/>
      <c r="J2863" s="344"/>
      <c r="K2863" s="345"/>
      <c r="L2863" s="346"/>
      <c r="M2863" s="347"/>
      <c r="N2863" s="347"/>
      <c r="O2863" s="132"/>
    </row>
    <row r="2864" spans="2:15" ht="26.25" customHeight="1" x14ac:dyDescent="0.25">
      <c r="B2864" s="130"/>
      <c r="C2864" s="135"/>
      <c r="D2864" s="177"/>
      <c r="E2864" s="178"/>
      <c r="F2864" s="178"/>
      <c r="G2864" s="340"/>
      <c r="H2864" s="340"/>
      <c r="I2864" s="179"/>
      <c r="J2864" s="344"/>
      <c r="K2864" s="345"/>
      <c r="L2864" s="346"/>
      <c r="M2864" s="347"/>
      <c r="N2864" s="347"/>
      <c r="O2864" s="132"/>
    </row>
    <row r="2865" spans="2:15" ht="26.25" customHeight="1" x14ac:dyDescent="0.25">
      <c r="B2865" s="130"/>
      <c r="C2865" s="135"/>
      <c r="D2865" s="177"/>
      <c r="E2865" s="178"/>
      <c r="F2865" s="178"/>
      <c r="G2865" s="340"/>
      <c r="H2865" s="340"/>
      <c r="I2865" s="179"/>
      <c r="J2865" s="344"/>
      <c r="K2865" s="345"/>
      <c r="L2865" s="346"/>
      <c r="M2865" s="347"/>
      <c r="N2865" s="347"/>
      <c r="O2865" s="132"/>
    </row>
    <row r="2866" spans="2:15" ht="26.25" customHeight="1" x14ac:dyDescent="0.25">
      <c r="B2866" s="130"/>
      <c r="C2866" s="135"/>
      <c r="D2866" s="177"/>
      <c r="E2866" s="178"/>
      <c r="F2866" s="178"/>
      <c r="G2866" s="340"/>
      <c r="H2866" s="340"/>
      <c r="I2866" s="179"/>
      <c r="J2866" s="344"/>
      <c r="K2866" s="345"/>
      <c r="L2866" s="346"/>
      <c r="M2866" s="347"/>
      <c r="N2866" s="347"/>
      <c r="O2866" s="132"/>
    </row>
    <row r="2867" spans="2:15" ht="26.25" customHeight="1" x14ac:dyDescent="0.25">
      <c r="B2867" s="130"/>
      <c r="C2867" s="135"/>
      <c r="D2867" s="177"/>
      <c r="E2867" s="178"/>
      <c r="F2867" s="178"/>
      <c r="G2867" s="340"/>
      <c r="H2867" s="340"/>
      <c r="I2867" s="179"/>
      <c r="J2867" s="344"/>
      <c r="K2867" s="345"/>
      <c r="L2867" s="346"/>
      <c r="M2867" s="347"/>
      <c r="N2867" s="347"/>
      <c r="O2867" s="132"/>
    </row>
    <row r="2868" spans="2:15" ht="26.25" customHeight="1" x14ac:dyDescent="0.25">
      <c r="B2868" s="130"/>
      <c r="C2868" s="135"/>
      <c r="D2868" s="177"/>
      <c r="E2868" s="178"/>
      <c r="F2868" s="178"/>
      <c r="G2868" s="340"/>
      <c r="H2868" s="340"/>
      <c r="I2868" s="179"/>
      <c r="J2868" s="344"/>
      <c r="K2868" s="345"/>
      <c r="L2868" s="346"/>
      <c r="M2868" s="347"/>
      <c r="N2868" s="347"/>
      <c r="O2868" s="132"/>
    </row>
    <row r="2869" spans="2:15" ht="26.25" customHeight="1" x14ac:dyDescent="0.25">
      <c r="B2869" s="130"/>
      <c r="C2869" s="135"/>
      <c r="D2869" s="177"/>
      <c r="E2869" s="178"/>
      <c r="F2869" s="178"/>
      <c r="G2869" s="340"/>
      <c r="H2869" s="340"/>
      <c r="I2869" s="179"/>
      <c r="J2869" s="344"/>
      <c r="K2869" s="345"/>
      <c r="L2869" s="346"/>
      <c r="M2869" s="347"/>
      <c r="N2869" s="347"/>
      <c r="O2869" s="132"/>
    </row>
    <row r="2870" spans="2:15" ht="26.25" customHeight="1" x14ac:dyDescent="0.25">
      <c r="B2870" s="130"/>
      <c r="C2870" s="135"/>
      <c r="D2870" s="177"/>
      <c r="E2870" s="178"/>
      <c r="F2870" s="178"/>
      <c r="G2870" s="340"/>
      <c r="H2870" s="340"/>
      <c r="I2870" s="179"/>
      <c r="J2870" s="344"/>
      <c r="K2870" s="345"/>
      <c r="L2870" s="346"/>
      <c r="M2870" s="347"/>
      <c r="N2870" s="347"/>
      <c r="O2870" s="132"/>
    </row>
    <row r="2871" spans="2:15" ht="26.25" customHeight="1" x14ac:dyDescent="0.25">
      <c r="B2871" s="130"/>
      <c r="C2871" s="135"/>
      <c r="D2871" s="177"/>
      <c r="E2871" s="178"/>
      <c r="F2871" s="178"/>
      <c r="G2871" s="340"/>
      <c r="H2871" s="340"/>
      <c r="I2871" s="179"/>
      <c r="J2871" s="344"/>
      <c r="K2871" s="345"/>
      <c r="L2871" s="346"/>
      <c r="M2871" s="347"/>
      <c r="N2871" s="347"/>
      <c r="O2871" s="132"/>
    </row>
    <row r="2872" spans="2:15" ht="26.25" customHeight="1" x14ac:dyDescent="0.25">
      <c r="B2872" s="130"/>
      <c r="C2872" s="135"/>
      <c r="D2872" s="177"/>
      <c r="E2872" s="178"/>
      <c r="F2872" s="178"/>
      <c r="G2872" s="340"/>
      <c r="H2872" s="340"/>
      <c r="I2872" s="179"/>
      <c r="J2872" s="344"/>
      <c r="K2872" s="345"/>
      <c r="L2872" s="346"/>
      <c r="M2872" s="347"/>
      <c r="N2872" s="347"/>
      <c r="O2872" s="132"/>
    </row>
    <row r="2873" spans="2:15" ht="26.25" customHeight="1" x14ac:dyDescent="0.25">
      <c r="B2873" s="130"/>
      <c r="C2873" s="135"/>
      <c r="D2873" s="177"/>
      <c r="E2873" s="178"/>
      <c r="F2873" s="178"/>
      <c r="G2873" s="340"/>
      <c r="H2873" s="340"/>
      <c r="I2873" s="179"/>
      <c r="J2873" s="344"/>
      <c r="K2873" s="345"/>
      <c r="L2873" s="346"/>
      <c r="M2873" s="347"/>
      <c r="N2873" s="347"/>
      <c r="O2873" s="132"/>
    </row>
    <row r="2874" spans="2:15" ht="26.25" customHeight="1" x14ac:dyDescent="0.25">
      <c r="B2874" s="130"/>
      <c r="C2874" s="135"/>
      <c r="D2874" s="177"/>
      <c r="E2874" s="178"/>
      <c r="F2874" s="178"/>
      <c r="G2874" s="340"/>
      <c r="H2874" s="340"/>
      <c r="I2874" s="179"/>
      <c r="J2874" s="344"/>
      <c r="K2874" s="345"/>
      <c r="L2874" s="346"/>
      <c r="M2874" s="347"/>
      <c r="N2874" s="347"/>
      <c r="O2874" s="132"/>
    </row>
    <row r="2875" spans="2:15" ht="26.25" customHeight="1" x14ac:dyDescent="0.25">
      <c r="B2875" s="130"/>
      <c r="C2875" s="135"/>
      <c r="D2875" s="177"/>
      <c r="E2875" s="178"/>
      <c r="F2875" s="178"/>
      <c r="G2875" s="340"/>
      <c r="H2875" s="340"/>
      <c r="I2875" s="179"/>
      <c r="J2875" s="344"/>
      <c r="K2875" s="345"/>
      <c r="L2875" s="346"/>
      <c r="M2875" s="347"/>
      <c r="N2875" s="347"/>
      <c r="O2875" s="132"/>
    </row>
    <row r="2876" spans="2:15" ht="26.25" customHeight="1" x14ac:dyDescent="0.25">
      <c r="B2876" s="130"/>
      <c r="C2876" s="135"/>
      <c r="D2876" s="177"/>
      <c r="E2876" s="178"/>
      <c r="F2876" s="178"/>
      <c r="G2876" s="340"/>
      <c r="H2876" s="340"/>
      <c r="I2876" s="179"/>
      <c r="J2876" s="344"/>
      <c r="K2876" s="345"/>
      <c r="L2876" s="346"/>
      <c r="M2876" s="347"/>
      <c r="N2876" s="347"/>
      <c r="O2876" s="132"/>
    </row>
    <row r="2877" spans="2:15" ht="26.25" customHeight="1" x14ac:dyDescent="0.25">
      <c r="B2877" s="130"/>
      <c r="C2877" s="135"/>
      <c r="D2877" s="177"/>
      <c r="E2877" s="178"/>
      <c r="F2877" s="178"/>
      <c r="G2877" s="340"/>
      <c r="H2877" s="340"/>
      <c r="I2877" s="179"/>
      <c r="J2877" s="344"/>
      <c r="K2877" s="345"/>
      <c r="L2877" s="346"/>
      <c r="M2877" s="347"/>
      <c r="N2877" s="347"/>
      <c r="O2877" s="132"/>
    </row>
    <row r="2878" spans="2:15" ht="26.25" customHeight="1" x14ac:dyDescent="0.25">
      <c r="B2878" s="130"/>
      <c r="C2878" s="135"/>
      <c r="D2878" s="177"/>
      <c r="E2878" s="178"/>
      <c r="F2878" s="178"/>
      <c r="G2878" s="340"/>
      <c r="H2878" s="340"/>
      <c r="I2878" s="179"/>
      <c r="J2878" s="344"/>
      <c r="K2878" s="345"/>
      <c r="L2878" s="346"/>
      <c r="M2878" s="347"/>
      <c r="N2878" s="347"/>
      <c r="O2878" s="132"/>
    </row>
    <row r="2879" spans="2:15" ht="26.25" customHeight="1" x14ac:dyDescent="0.25">
      <c r="B2879" s="130"/>
      <c r="C2879" s="135"/>
      <c r="D2879" s="177"/>
      <c r="E2879" s="178"/>
      <c r="F2879" s="178"/>
      <c r="G2879" s="340"/>
      <c r="H2879" s="340"/>
      <c r="I2879" s="179"/>
      <c r="J2879" s="344"/>
      <c r="K2879" s="345"/>
      <c r="L2879" s="346"/>
      <c r="M2879" s="347"/>
      <c r="N2879" s="347"/>
      <c r="O2879" s="132"/>
    </row>
    <row r="2880" spans="2:15" ht="26.25" customHeight="1" x14ac:dyDescent="0.25">
      <c r="B2880" s="130"/>
      <c r="C2880" s="135"/>
      <c r="D2880" s="177"/>
      <c r="E2880" s="178"/>
      <c r="F2880" s="178"/>
      <c r="G2880" s="340"/>
      <c r="H2880" s="340"/>
      <c r="I2880" s="179"/>
      <c r="J2880" s="344"/>
      <c r="K2880" s="345"/>
      <c r="L2880" s="346"/>
      <c r="M2880" s="347"/>
      <c r="N2880" s="347"/>
      <c r="O2880" s="132"/>
    </row>
    <row r="2881" spans="2:15" ht="26.25" customHeight="1" x14ac:dyDescent="0.25">
      <c r="B2881" s="130"/>
      <c r="C2881" s="135"/>
      <c r="D2881" s="177"/>
      <c r="E2881" s="178"/>
      <c r="F2881" s="178"/>
      <c r="G2881" s="340"/>
      <c r="H2881" s="340"/>
      <c r="I2881" s="179"/>
      <c r="J2881" s="344"/>
      <c r="K2881" s="345"/>
      <c r="L2881" s="346"/>
      <c r="M2881" s="347"/>
      <c r="N2881" s="347"/>
      <c r="O2881" s="132"/>
    </row>
    <row r="2882" spans="2:15" ht="26.25" customHeight="1" x14ac:dyDescent="0.25">
      <c r="B2882" s="130"/>
      <c r="C2882" s="135"/>
      <c r="D2882" s="177"/>
      <c r="E2882" s="178"/>
      <c r="F2882" s="178"/>
      <c r="G2882" s="340"/>
      <c r="H2882" s="340"/>
      <c r="I2882" s="179"/>
      <c r="J2882" s="344"/>
      <c r="K2882" s="345"/>
      <c r="L2882" s="346"/>
      <c r="M2882" s="347"/>
      <c r="N2882" s="347"/>
      <c r="O2882" s="132"/>
    </row>
    <row r="2883" spans="2:15" ht="26.25" customHeight="1" x14ac:dyDescent="0.25">
      <c r="B2883" s="130"/>
      <c r="C2883" s="135"/>
      <c r="D2883" s="177"/>
      <c r="E2883" s="178"/>
      <c r="F2883" s="178"/>
      <c r="G2883" s="340"/>
      <c r="H2883" s="340"/>
      <c r="I2883" s="179"/>
      <c r="J2883" s="344"/>
      <c r="K2883" s="345"/>
      <c r="L2883" s="346"/>
      <c r="M2883" s="347"/>
      <c r="N2883" s="347"/>
      <c r="O2883" s="132"/>
    </row>
    <row r="2884" spans="2:15" ht="26.25" customHeight="1" x14ac:dyDescent="0.25">
      <c r="B2884" s="130"/>
      <c r="C2884" s="135"/>
      <c r="D2884" s="177"/>
      <c r="E2884" s="178"/>
      <c r="F2884" s="178"/>
      <c r="G2884" s="340"/>
      <c r="H2884" s="340"/>
      <c r="I2884" s="179"/>
      <c r="J2884" s="344"/>
      <c r="K2884" s="345"/>
      <c r="L2884" s="346"/>
      <c r="M2884" s="347"/>
      <c r="N2884" s="347"/>
      <c r="O2884" s="132"/>
    </row>
    <row r="2885" spans="2:15" ht="26.25" customHeight="1" x14ac:dyDescent="0.25">
      <c r="B2885" s="130"/>
      <c r="C2885" s="135"/>
      <c r="D2885" s="177"/>
      <c r="E2885" s="178"/>
      <c r="F2885" s="178"/>
      <c r="G2885" s="340"/>
      <c r="H2885" s="340"/>
      <c r="I2885" s="179"/>
      <c r="J2885" s="344"/>
      <c r="K2885" s="345"/>
      <c r="L2885" s="346"/>
      <c r="M2885" s="347"/>
      <c r="N2885" s="347"/>
      <c r="O2885" s="132"/>
    </row>
    <row r="2886" spans="2:15" ht="26.25" customHeight="1" x14ac:dyDescent="0.25">
      <c r="B2886" s="130"/>
      <c r="C2886" s="135"/>
      <c r="D2886" s="177"/>
      <c r="E2886" s="178"/>
      <c r="F2886" s="178"/>
      <c r="G2886" s="340"/>
      <c r="H2886" s="340"/>
      <c r="I2886" s="179"/>
      <c r="J2886" s="344"/>
      <c r="K2886" s="345"/>
      <c r="L2886" s="346"/>
      <c r="M2886" s="347"/>
      <c r="N2886" s="347"/>
      <c r="O2886" s="132"/>
    </row>
    <row r="2887" spans="2:15" ht="26.25" customHeight="1" x14ac:dyDescent="0.25">
      <c r="B2887" s="130"/>
      <c r="C2887" s="135"/>
      <c r="D2887" s="177"/>
      <c r="E2887" s="178"/>
      <c r="F2887" s="178"/>
      <c r="G2887" s="340"/>
      <c r="H2887" s="340"/>
      <c r="I2887" s="179"/>
      <c r="J2887" s="344"/>
      <c r="K2887" s="345"/>
      <c r="L2887" s="346"/>
      <c r="M2887" s="347"/>
      <c r="N2887" s="347"/>
      <c r="O2887" s="132"/>
    </row>
    <row r="2888" spans="2:15" ht="26.25" customHeight="1" x14ac:dyDescent="0.25">
      <c r="B2888" s="130"/>
      <c r="C2888" s="135"/>
      <c r="D2888" s="177"/>
      <c r="E2888" s="178"/>
      <c r="F2888" s="178"/>
      <c r="G2888" s="340"/>
      <c r="H2888" s="340"/>
      <c r="I2888" s="179"/>
      <c r="J2888" s="344"/>
      <c r="K2888" s="345"/>
      <c r="L2888" s="346"/>
      <c r="M2888" s="347"/>
      <c r="N2888" s="347"/>
      <c r="O2888" s="132"/>
    </row>
    <row r="2889" spans="2:15" ht="26.25" customHeight="1" x14ac:dyDescent="0.25">
      <c r="B2889" s="130"/>
      <c r="C2889" s="135"/>
      <c r="D2889" s="177"/>
      <c r="E2889" s="178"/>
      <c r="F2889" s="178"/>
      <c r="G2889" s="340"/>
      <c r="H2889" s="340"/>
      <c r="I2889" s="179"/>
      <c r="J2889" s="344"/>
      <c r="K2889" s="345"/>
      <c r="L2889" s="346"/>
      <c r="M2889" s="347"/>
      <c r="N2889" s="347"/>
      <c r="O2889" s="132"/>
    </row>
    <row r="2890" spans="2:15" ht="26.25" customHeight="1" x14ac:dyDescent="0.25">
      <c r="B2890" s="130"/>
      <c r="C2890" s="135"/>
      <c r="D2890" s="177"/>
      <c r="E2890" s="178"/>
      <c r="F2890" s="178"/>
      <c r="G2890" s="340"/>
      <c r="H2890" s="340"/>
      <c r="I2890" s="179"/>
      <c r="J2890" s="344"/>
      <c r="K2890" s="345"/>
      <c r="L2890" s="346"/>
      <c r="M2890" s="347"/>
      <c r="N2890" s="347"/>
      <c r="O2890" s="132"/>
    </row>
    <row r="2891" spans="2:15" ht="26.25" customHeight="1" x14ac:dyDescent="0.25">
      <c r="B2891" s="130"/>
      <c r="C2891" s="135"/>
      <c r="D2891" s="177"/>
      <c r="E2891" s="178"/>
      <c r="F2891" s="178"/>
      <c r="G2891" s="340"/>
      <c r="H2891" s="340"/>
      <c r="I2891" s="179"/>
      <c r="J2891" s="344"/>
      <c r="K2891" s="345"/>
      <c r="L2891" s="346"/>
      <c r="M2891" s="347"/>
      <c r="N2891" s="347"/>
      <c r="O2891" s="132"/>
    </row>
    <row r="2892" spans="2:15" ht="26.25" customHeight="1" x14ac:dyDescent="0.25">
      <c r="B2892" s="130"/>
      <c r="C2892" s="135"/>
      <c r="D2892" s="177"/>
      <c r="E2892" s="178"/>
      <c r="F2892" s="178"/>
      <c r="G2892" s="340"/>
      <c r="H2892" s="340"/>
      <c r="I2892" s="179"/>
      <c r="J2892" s="344"/>
      <c r="K2892" s="345"/>
      <c r="L2892" s="346"/>
      <c r="M2892" s="347"/>
      <c r="N2892" s="347"/>
      <c r="O2892" s="132"/>
    </row>
    <row r="2893" spans="2:15" ht="26.25" customHeight="1" x14ac:dyDescent="0.25">
      <c r="B2893" s="130"/>
      <c r="C2893" s="135"/>
      <c r="D2893" s="177"/>
      <c r="E2893" s="178"/>
      <c r="F2893" s="178"/>
      <c r="G2893" s="340"/>
      <c r="H2893" s="340"/>
      <c r="I2893" s="179"/>
      <c r="J2893" s="344"/>
      <c r="K2893" s="345"/>
      <c r="L2893" s="346"/>
      <c r="M2893" s="347"/>
      <c r="N2893" s="347"/>
      <c r="O2893" s="132"/>
    </row>
    <row r="2894" spans="2:15" ht="26.25" customHeight="1" x14ac:dyDescent="0.25">
      <c r="B2894" s="130"/>
      <c r="C2894" s="135"/>
      <c r="D2894" s="177"/>
      <c r="E2894" s="178"/>
      <c r="F2894" s="178"/>
      <c r="G2894" s="340"/>
      <c r="H2894" s="340"/>
      <c r="I2894" s="179"/>
      <c r="J2894" s="344"/>
      <c r="K2894" s="345"/>
      <c r="L2894" s="346"/>
      <c r="M2894" s="347"/>
      <c r="N2894" s="347"/>
      <c r="O2894" s="132"/>
    </row>
    <row r="2895" spans="2:15" ht="26.25" customHeight="1" x14ac:dyDescent="0.25">
      <c r="B2895" s="130"/>
      <c r="C2895" s="135"/>
      <c r="D2895" s="177"/>
      <c r="E2895" s="178"/>
      <c r="F2895" s="178"/>
      <c r="G2895" s="340"/>
      <c r="H2895" s="340"/>
      <c r="I2895" s="179"/>
      <c r="J2895" s="344"/>
      <c r="K2895" s="345"/>
      <c r="L2895" s="346"/>
      <c r="M2895" s="347"/>
      <c r="N2895" s="347"/>
      <c r="O2895" s="132"/>
    </row>
    <row r="2896" spans="2:15" ht="26.25" customHeight="1" x14ac:dyDescent="0.25">
      <c r="B2896" s="130"/>
      <c r="C2896" s="135"/>
      <c r="D2896" s="177"/>
      <c r="E2896" s="178"/>
      <c r="F2896" s="178"/>
      <c r="G2896" s="340"/>
      <c r="H2896" s="340"/>
      <c r="I2896" s="179"/>
      <c r="J2896" s="344"/>
      <c r="K2896" s="345"/>
      <c r="L2896" s="346"/>
      <c r="M2896" s="347"/>
      <c r="N2896" s="347"/>
      <c r="O2896" s="132"/>
    </row>
    <row r="2897" spans="2:15" ht="26.25" customHeight="1" x14ac:dyDescent="0.25">
      <c r="B2897" s="130"/>
      <c r="C2897" s="135"/>
      <c r="D2897" s="177"/>
      <c r="E2897" s="178"/>
      <c r="F2897" s="178"/>
      <c r="G2897" s="340"/>
      <c r="H2897" s="340"/>
      <c r="I2897" s="179"/>
      <c r="J2897" s="344"/>
      <c r="K2897" s="345"/>
      <c r="L2897" s="346"/>
      <c r="M2897" s="347"/>
      <c r="N2897" s="347"/>
      <c r="O2897" s="132"/>
    </row>
    <row r="2898" spans="2:15" ht="26.25" customHeight="1" x14ac:dyDescent="0.25">
      <c r="B2898" s="130"/>
      <c r="C2898" s="135"/>
      <c r="D2898" s="177"/>
      <c r="E2898" s="178"/>
      <c r="F2898" s="178"/>
      <c r="G2898" s="340"/>
      <c r="H2898" s="340"/>
      <c r="I2898" s="179"/>
      <c r="J2898" s="344"/>
      <c r="K2898" s="345"/>
      <c r="L2898" s="346"/>
      <c r="M2898" s="347"/>
      <c r="N2898" s="347"/>
      <c r="O2898" s="132"/>
    </row>
    <row r="2899" spans="2:15" ht="26.25" customHeight="1" x14ac:dyDescent="0.25">
      <c r="B2899" s="130"/>
      <c r="C2899" s="135"/>
      <c r="D2899" s="177"/>
      <c r="E2899" s="178"/>
      <c r="F2899" s="178"/>
      <c r="G2899" s="340"/>
      <c r="H2899" s="340"/>
      <c r="I2899" s="179"/>
      <c r="J2899" s="344"/>
      <c r="K2899" s="345"/>
      <c r="L2899" s="346"/>
      <c r="M2899" s="347"/>
      <c r="N2899" s="347"/>
      <c r="O2899" s="132"/>
    </row>
    <row r="2900" spans="2:15" ht="26.25" customHeight="1" x14ac:dyDescent="0.25">
      <c r="B2900" s="130"/>
      <c r="C2900" s="135"/>
      <c r="D2900" s="177"/>
      <c r="E2900" s="178"/>
      <c r="F2900" s="178"/>
      <c r="G2900" s="340"/>
      <c r="H2900" s="340"/>
      <c r="I2900" s="179"/>
      <c r="J2900" s="344"/>
      <c r="K2900" s="345"/>
      <c r="L2900" s="346"/>
      <c r="M2900" s="347"/>
      <c r="N2900" s="347"/>
      <c r="O2900" s="132"/>
    </row>
    <row r="2901" spans="2:15" ht="26.25" customHeight="1" x14ac:dyDescent="0.25">
      <c r="B2901" s="130"/>
      <c r="C2901" s="135"/>
      <c r="D2901" s="177"/>
      <c r="E2901" s="178"/>
      <c r="F2901" s="178"/>
      <c r="G2901" s="340"/>
      <c r="H2901" s="340"/>
      <c r="I2901" s="179"/>
      <c r="J2901" s="344"/>
      <c r="K2901" s="345"/>
      <c r="L2901" s="346"/>
      <c r="M2901" s="347"/>
      <c r="N2901" s="347"/>
      <c r="O2901" s="132"/>
    </row>
    <row r="2902" spans="2:15" ht="26.25" customHeight="1" x14ac:dyDescent="0.25">
      <c r="B2902" s="130"/>
      <c r="C2902" s="135"/>
      <c r="D2902" s="177"/>
      <c r="E2902" s="178"/>
      <c r="F2902" s="178"/>
      <c r="G2902" s="340"/>
      <c r="H2902" s="340"/>
      <c r="I2902" s="179"/>
      <c r="J2902" s="344"/>
      <c r="K2902" s="345"/>
      <c r="L2902" s="346"/>
      <c r="M2902" s="347"/>
      <c r="N2902" s="347"/>
      <c r="O2902" s="132"/>
    </row>
    <row r="2903" spans="2:15" ht="26.25" customHeight="1" x14ac:dyDescent="0.25">
      <c r="B2903" s="130"/>
      <c r="C2903" s="135"/>
      <c r="D2903" s="177"/>
      <c r="E2903" s="178"/>
      <c r="F2903" s="178"/>
      <c r="G2903" s="340"/>
      <c r="H2903" s="340"/>
      <c r="I2903" s="179"/>
      <c r="J2903" s="344"/>
      <c r="K2903" s="345"/>
      <c r="L2903" s="346"/>
      <c r="M2903" s="347"/>
      <c r="N2903" s="347"/>
      <c r="O2903" s="132"/>
    </row>
    <row r="2904" spans="2:15" ht="26.25" customHeight="1" x14ac:dyDescent="0.25">
      <c r="B2904" s="130"/>
      <c r="C2904" s="135"/>
      <c r="D2904" s="177"/>
      <c r="E2904" s="178"/>
      <c r="F2904" s="178"/>
      <c r="G2904" s="340"/>
      <c r="H2904" s="340"/>
      <c r="I2904" s="179"/>
      <c r="J2904" s="344"/>
      <c r="K2904" s="345"/>
      <c r="L2904" s="346"/>
      <c r="M2904" s="347"/>
      <c r="N2904" s="347"/>
      <c r="O2904" s="132"/>
    </row>
    <row r="2905" spans="2:15" ht="26.25" customHeight="1" x14ac:dyDescent="0.25">
      <c r="B2905" s="130"/>
      <c r="C2905" s="135"/>
      <c r="D2905" s="177"/>
      <c r="E2905" s="178"/>
      <c r="F2905" s="178"/>
      <c r="G2905" s="340"/>
      <c r="H2905" s="340"/>
      <c r="I2905" s="179"/>
      <c r="J2905" s="344"/>
      <c r="K2905" s="345"/>
      <c r="L2905" s="346"/>
      <c r="M2905" s="347"/>
      <c r="N2905" s="347"/>
      <c r="O2905" s="132"/>
    </row>
    <row r="2906" spans="2:15" ht="26.25" customHeight="1" x14ac:dyDescent="0.25">
      <c r="B2906" s="130"/>
      <c r="C2906" s="135"/>
      <c r="D2906" s="177"/>
      <c r="E2906" s="178"/>
      <c r="F2906" s="178"/>
      <c r="G2906" s="340"/>
      <c r="H2906" s="340"/>
      <c r="I2906" s="179"/>
      <c r="J2906" s="344"/>
      <c r="K2906" s="345"/>
      <c r="L2906" s="346"/>
      <c r="M2906" s="347"/>
      <c r="N2906" s="347"/>
      <c r="O2906" s="132"/>
    </row>
    <row r="2907" spans="2:15" ht="26.25" customHeight="1" x14ac:dyDescent="0.25">
      <c r="B2907" s="130"/>
      <c r="C2907" s="135"/>
      <c r="D2907" s="177"/>
      <c r="E2907" s="178"/>
      <c r="F2907" s="178"/>
      <c r="G2907" s="340"/>
      <c r="H2907" s="340"/>
      <c r="I2907" s="179"/>
      <c r="J2907" s="344"/>
      <c r="K2907" s="345"/>
      <c r="L2907" s="346"/>
      <c r="M2907" s="347"/>
      <c r="N2907" s="347"/>
      <c r="O2907" s="132"/>
    </row>
    <row r="2908" spans="2:15" ht="26.25" customHeight="1" x14ac:dyDescent="0.25">
      <c r="B2908" s="130"/>
      <c r="C2908" s="135"/>
      <c r="D2908" s="177"/>
      <c r="E2908" s="178"/>
      <c r="F2908" s="178"/>
      <c r="G2908" s="340"/>
      <c r="H2908" s="340"/>
      <c r="I2908" s="179"/>
      <c r="J2908" s="344"/>
      <c r="K2908" s="345"/>
      <c r="L2908" s="346"/>
      <c r="M2908" s="347"/>
      <c r="N2908" s="347"/>
      <c r="O2908" s="132"/>
    </row>
    <row r="2909" spans="2:15" ht="26.25" customHeight="1" x14ac:dyDescent="0.25">
      <c r="B2909" s="130"/>
      <c r="C2909" s="135"/>
      <c r="D2909" s="177"/>
      <c r="E2909" s="178"/>
      <c r="F2909" s="178"/>
      <c r="G2909" s="340"/>
      <c r="H2909" s="340"/>
      <c r="I2909" s="179"/>
      <c r="J2909" s="344"/>
      <c r="K2909" s="345"/>
      <c r="L2909" s="346"/>
      <c r="M2909" s="347"/>
      <c r="N2909" s="347"/>
      <c r="O2909" s="132"/>
    </row>
    <row r="2910" spans="2:15" ht="26.25" customHeight="1" x14ac:dyDescent="0.25">
      <c r="B2910" s="130"/>
      <c r="C2910" s="135"/>
      <c r="D2910" s="177"/>
      <c r="E2910" s="178"/>
      <c r="F2910" s="178"/>
      <c r="G2910" s="340"/>
      <c r="H2910" s="340"/>
      <c r="I2910" s="179"/>
      <c r="J2910" s="344"/>
      <c r="K2910" s="345"/>
      <c r="L2910" s="346"/>
      <c r="M2910" s="347"/>
      <c r="N2910" s="347"/>
      <c r="O2910" s="132"/>
    </row>
    <row r="2911" spans="2:15" ht="26.25" customHeight="1" x14ac:dyDescent="0.25">
      <c r="B2911" s="130"/>
      <c r="C2911" s="135"/>
      <c r="D2911" s="177"/>
      <c r="E2911" s="178"/>
      <c r="F2911" s="178"/>
      <c r="G2911" s="340"/>
      <c r="H2911" s="340"/>
      <c r="I2911" s="179"/>
      <c r="J2911" s="344"/>
      <c r="K2911" s="345"/>
      <c r="L2911" s="346"/>
      <c r="M2911" s="347"/>
      <c r="N2911" s="347"/>
      <c r="O2911" s="132"/>
    </row>
    <row r="2912" spans="2:15" ht="26.25" customHeight="1" x14ac:dyDescent="0.25">
      <c r="B2912" s="130"/>
      <c r="C2912" s="135"/>
      <c r="D2912" s="177"/>
      <c r="E2912" s="178"/>
      <c r="F2912" s="178"/>
      <c r="G2912" s="340"/>
      <c r="H2912" s="340"/>
      <c r="I2912" s="179"/>
      <c r="J2912" s="344"/>
      <c r="K2912" s="345"/>
      <c r="L2912" s="346"/>
      <c r="M2912" s="347"/>
      <c r="N2912" s="347"/>
      <c r="O2912" s="132"/>
    </row>
    <row r="2913" spans="2:15" ht="26.25" customHeight="1" x14ac:dyDescent="0.25">
      <c r="B2913" s="130"/>
      <c r="C2913" s="135"/>
      <c r="D2913" s="177"/>
      <c r="E2913" s="178"/>
      <c r="F2913" s="178"/>
      <c r="G2913" s="340"/>
      <c r="H2913" s="340"/>
      <c r="I2913" s="179"/>
      <c r="J2913" s="344"/>
      <c r="K2913" s="345"/>
      <c r="L2913" s="346"/>
      <c r="M2913" s="347"/>
      <c r="N2913" s="347"/>
      <c r="O2913" s="132"/>
    </row>
    <row r="2914" spans="2:15" ht="26.25" customHeight="1" x14ac:dyDescent="0.25">
      <c r="B2914" s="130"/>
      <c r="C2914" s="135"/>
      <c r="D2914" s="177"/>
      <c r="E2914" s="178"/>
      <c r="F2914" s="178"/>
      <c r="G2914" s="340"/>
      <c r="H2914" s="340"/>
      <c r="I2914" s="179"/>
      <c r="J2914" s="344"/>
      <c r="K2914" s="345"/>
      <c r="L2914" s="346"/>
      <c r="M2914" s="347"/>
      <c r="N2914" s="347"/>
      <c r="O2914" s="132"/>
    </row>
    <row r="2915" spans="2:15" ht="26.25" customHeight="1" x14ac:dyDescent="0.25">
      <c r="B2915" s="130"/>
      <c r="C2915" s="135"/>
      <c r="D2915" s="177"/>
      <c r="E2915" s="178"/>
      <c r="F2915" s="178"/>
      <c r="G2915" s="340"/>
      <c r="H2915" s="340"/>
      <c r="I2915" s="179"/>
      <c r="J2915" s="344"/>
      <c r="K2915" s="345"/>
      <c r="L2915" s="346"/>
      <c r="M2915" s="347"/>
      <c r="N2915" s="347"/>
      <c r="O2915" s="132"/>
    </row>
    <row r="2916" spans="2:15" ht="26.25" customHeight="1" x14ac:dyDescent="0.25">
      <c r="B2916" s="130"/>
      <c r="C2916" s="135"/>
      <c r="D2916" s="177"/>
      <c r="E2916" s="178"/>
      <c r="F2916" s="178"/>
      <c r="G2916" s="340"/>
      <c r="H2916" s="340"/>
      <c r="I2916" s="179"/>
      <c r="J2916" s="344"/>
      <c r="K2916" s="345"/>
      <c r="L2916" s="346"/>
      <c r="M2916" s="347"/>
      <c r="N2916" s="347"/>
      <c r="O2916" s="132"/>
    </row>
    <row r="2917" spans="2:15" ht="26.25" customHeight="1" x14ac:dyDescent="0.25">
      <c r="B2917" s="130"/>
      <c r="C2917" s="135"/>
      <c r="D2917" s="177"/>
      <c r="E2917" s="178"/>
      <c r="F2917" s="178"/>
      <c r="G2917" s="340"/>
      <c r="H2917" s="340"/>
      <c r="I2917" s="179"/>
      <c r="J2917" s="344"/>
      <c r="K2917" s="345"/>
      <c r="L2917" s="346"/>
      <c r="M2917" s="347"/>
      <c r="N2917" s="347"/>
      <c r="O2917" s="132"/>
    </row>
    <row r="2918" spans="2:15" ht="26.25" customHeight="1" x14ac:dyDescent="0.25">
      <c r="B2918" s="130"/>
      <c r="C2918" s="135"/>
      <c r="D2918" s="177"/>
      <c r="E2918" s="178"/>
      <c r="F2918" s="178"/>
      <c r="G2918" s="340"/>
      <c r="H2918" s="340"/>
      <c r="I2918" s="179"/>
      <c r="J2918" s="344"/>
      <c r="K2918" s="345"/>
      <c r="L2918" s="346"/>
      <c r="M2918" s="347"/>
      <c r="N2918" s="347"/>
      <c r="O2918" s="132"/>
    </row>
    <row r="2919" spans="2:15" ht="26.25" customHeight="1" x14ac:dyDescent="0.25">
      <c r="B2919" s="130"/>
      <c r="C2919" s="135"/>
      <c r="D2919" s="177"/>
      <c r="E2919" s="178"/>
      <c r="F2919" s="178"/>
      <c r="G2919" s="340"/>
      <c r="H2919" s="340"/>
      <c r="I2919" s="179"/>
      <c r="J2919" s="344"/>
      <c r="K2919" s="345"/>
      <c r="L2919" s="346"/>
      <c r="M2919" s="347"/>
      <c r="N2919" s="347"/>
      <c r="O2919" s="132"/>
    </row>
    <row r="2920" spans="2:15" ht="26.25" customHeight="1" x14ac:dyDescent="0.25">
      <c r="B2920" s="130"/>
      <c r="C2920" s="135"/>
      <c r="D2920" s="177"/>
      <c r="E2920" s="178"/>
      <c r="F2920" s="178"/>
      <c r="G2920" s="340"/>
      <c r="H2920" s="340"/>
      <c r="I2920" s="179"/>
      <c r="J2920" s="344"/>
      <c r="K2920" s="345"/>
      <c r="L2920" s="346"/>
      <c r="M2920" s="347"/>
      <c r="N2920" s="347"/>
      <c r="O2920" s="132"/>
    </row>
    <row r="2921" spans="2:15" ht="26.25" customHeight="1" x14ac:dyDescent="0.25">
      <c r="B2921" s="130"/>
      <c r="C2921" s="135"/>
      <c r="D2921" s="177"/>
      <c r="E2921" s="178"/>
      <c r="F2921" s="178"/>
      <c r="G2921" s="340"/>
      <c r="H2921" s="340"/>
      <c r="I2921" s="179"/>
      <c r="J2921" s="344"/>
      <c r="K2921" s="345"/>
      <c r="L2921" s="346"/>
      <c r="M2921" s="347"/>
      <c r="N2921" s="347"/>
      <c r="O2921" s="132"/>
    </row>
    <row r="2922" spans="2:15" ht="26.25" customHeight="1" x14ac:dyDescent="0.25">
      <c r="B2922" s="130"/>
      <c r="C2922" s="135"/>
      <c r="D2922" s="177"/>
      <c r="E2922" s="178"/>
      <c r="F2922" s="178"/>
      <c r="G2922" s="340"/>
      <c r="H2922" s="340"/>
      <c r="I2922" s="179"/>
      <c r="J2922" s="344"/>
      <c r="K2922" s="345"/>
      <c r="L2922" s="346"/>
      <c r="M2922" s="347"/>
      <c r="N2922" s="347"/>
      <c r="O2922" s="132"/>
    </row>
    <row r="2923" spans="2:15" ht="26.25" customHeight="1" x14ac:dyDescent="0.25">
      <c r="B2923" s="130"/>
      <c r="C2923" s="135"/>
      <c r="D2923" s="177"/>
      <c r="E2923" s="178"/>
      <c r="F2923" s="178"/>
      <c r="G2923" s="340"/>
      <c r="H2923" s="340"/>
      <c r="I2923" s="179"/>
      <c r="J2923" s="344"/>
      <c r="K2923" s="345"/>
      <c r="L2923" s="346"/>
      <c r="M2923" s="347"/>
      <c r="N2923" s="347"/>
      <c r="O2923" s="132"/>
    </row>
    <row r="2924" spans="2:15" ht="26.25" customHeight="1" x14ac:dyDescent="0.25">
      <c r="B2924" s="130"/>
      <c r="C2924" s="135"/>
      <c r="D2924" s="177"/>
      <c r="E2924" s="178"/>
      <c r="F2924" s="178"/>
      <c r="G2924" s="340"/>
      <c r="H2924" s="340"/>
      <c r="I2924" s="179"/>
      <c r="J2924" s="344"/>
      <c r="K2924" s="345"/>
      <c r="L2924" s="346"/>
      <c r="M2924" s="347"/>
      <c r="N2924" s="347"/>
      <c r="O2924" s="132"/>
    </row>
    <row r="2925" spans="2:15" ht="26.25" customHeight="1" x14ac:dyDescent="0.25">
      <c r="B2925" s="130"/>
      <c r="C2925" s="135"/>
      <c r="D2925" s="177"/>
      <c r="E2925" s="178"/>
      <c r="F2925" s="178"/>
      <c r="G2925" s="340"/>
      <c r="H2925" s="340"/>
      <c r="I2925" s="179"/>
      <c r="J2925" s="344"/>
      <c r="K2925" s="345"/>
      <c r="L2925" s="346"/>
      <c r="M2925" s="347"/>
      <c r="N2925" s="347"/>
      <c r="O2925" s="132"/>
    </row>
    <row r="2926" spans="2:15" ht="26.25" customHeight="1" x14ac:dyDescent="0.25">
      <c r="B2926" s="130"/>
      <c r="C2926" s="135"/>
      <c r="D2926" s="177"/>
      <c r="E2926" s="178"/>
      <c r="F2926" s="178"/>
      <c r="G2926" s="340"/>
      <c r="H2926" s="340"/>
      <c r="I2926" s="179"/>
      <c r="J2926" s="344"/>
      <c r="K2926" s="345"/>
      <c r="L2926" s="346"/>
      <c r="M2926" s="347"/>
      <c r="N2926" s="347"/>
      <c r="O2926" s="132"/>
    </row>
    <row r="2927" spans="2:15" ht="26.25" customHeight="1" x14ac:dyDescent="0.25">
      <c r="B2927" s="130"/>
      <c r="C2927" s="135"/>
      <c r="D2927" s="177"/>
      <c r="E2927" s="178"/>
      <c r="F2927" s="178"/>
      <c r="G2927" s="340"/>
      <c r="H2927" s="340"/>
      <c r="I2927" s="179"/>
      <c r="J2927" s="344"/>
      <c r="K2927" s="345"/>
      <c r="L2927" s="346"/>
      <c r="M2927" s="347"/>
      <c r="N2927" s="347"/>
      <c r="O2927" s="132"/>
    </row>
    <row r="2928" spans="2:15" ht="26.25" customHeight="1" x14ac:dyDescent="0.25">
      <c r="B2928" s="130"/>
      <c r="C2928" s="135"/>
      <c r="D2928" s="177"/>
      <c r="E2928" s="178"/>
      <c r="F2928" s="178"/>
      <c r="G2928" s="340"/>
      <c r="H2928" s="340"/>
      <c r="I2928" s="179"/>
      <c r="J2928" s="344"/>
      <c r="K2928" s="345"/>
      <c r="L2928" s="346"/>
      <c r="M2928" s="347"/>
      <c r="N2928" s="347"/>
      <c r="O2928" s="132"/>
    </row>
    <row r="2929" spans="2:15" ht="26.25" customHeight="1" x14ac:dyDescent="0.25">
      <c r="B2929" s="130"/>
      <c r="C2929" s="135"/>
      <c r="D2929" s="177"/>
      <c r="E2929" s="178"/>
      <c r="F2929" s="178"/>
      <c r="G2929" s="340"/>
      <c r="H2929" s="340"/>
      <c r="I2929" s="179"/>
      <c r="J2929" s="344"/>
      <c r="K2929" s="345"/>
      <c r="L2929" s="346"/>
      <c r="M2929" s="347"/>
      <c r="N2929" s="347"/>
      <c r="O2929" s="132"/>
    </row>
    <row r="2930" spans="2:15" ht="26.25" customHeight="1" x14ac:dyDescent="0.25">
      <c r="B2930" s="130"/>
      <c r="C2930" s="135"/>
      <c r="D2930" s="177"/>
      <c r="E2930" s="178"/>
      <c r="F2930" s="178"/>
      <c r="G2930" s="340"/>
      <c r="H2930" s="340"/>
      <c r="I2930" s="179"/>
      <c r="J2930" s="344"/>
      <c r="K2930" s="345"/>
      <c r="L2930" s="346"/>
      <c r="M2930" s="347"/>
      <c r="N2930" s="347"/>
      <c r="O2930" s="132"/>
    </row>
    <row r="2931" spans="2:15" ht="26.25" customHeight="1" x14ac:dyDescent="0.25">
      <c r="B2931" s="130"/>
      <c r="C2931" s="135"/>
      <c r="D2931" s="177"/>
      <c r="E2931" s="178"/>
      <c r="F2931" s="178"/>
      <c r="G2931" s="340"/>
      <c r="H2931" s="340"/>
      <c r="I2931" s="179"/>
      <c r="J2931" s="344"/>
      <c r="K2931" s="345"/>
      <c r="L2931" s="346"/>
      <c r="M2931" s="347"/>
      <c r="N2931" s="347"/>
      <c r="O2931" s="132"/>
    </row>
    <row r="2932" spans="2:15" ht="26.25" customHeight="1" x14ac:dyDescent="0.25">
      <c r="B2932" s="130"/>
      <c r="C2932" s="135"/>
      <c r="D2932" s="177"/>
      <c r="E2932" s="178"/>
      <c r="F2932" s="178"/>
      <c r="G2932" s="340"/>
      <c r="H2932" s="340"/>
      <c r="I2932" s="179"/>
      <c r="J2932" s="344"/>
      <c r="K2932" s="345"/>
      <c r="L2932" s="346"/>
      <c r="M2932" s="347"/>
      <c r="N2932" s="347"/>
      <c r="O2932" s="132"/>
    </row>
    <row r="2933" spans="2:15" ht="26.25" customHeight="1" x14ac:dyDescent="0.25">
      <c r="B2933" s="130"/>
      <c r="C2933" s="135"/>
      <c r="D2933" s="177"/>
      <c r="E2933" s="178"/>
      <c r="F2933" s="178"/>
      <c r="G2933" s="340"/>
      <c r="H2933" s="340"/>
      <c r="I2933" s="179"/>
      <c r="J2933" s="344"/>
      <c r="K2933" s="345"/>
      <c r="L2933" s="346"/>
      <c r="M2933" s="347"/>
      <c r="N2933" s="347"/>
      <c r="O2933" s="132"/>
    </row>
    <row r="2934" spans="2:15" ht="26.25" customHeight="1" x14ac:dyDescent="0.25">
      <c r="B2934" s="130"/>
      <c r="C2934" s="135"/>
      <c r="D2934" s="177"/>
      <c r="E2934" s="178"/>
      <c r="F2934" s="178"/>
      <c r="G2934" s="340"/>
      <c r="H2934" s="340"/>
      <c r="I2934" s="179"/>
      <c r="J2934" s="344"/>
      <c r="K2934" s="345"/>
      <c r="L2934" s="346"/>
      <c r="M2934" s="347"/>
      <c r="N2934" s="347"/>
      <c r="O2934" s="132"/>
    </row>
    <row r="2935" spans="2:15" ht="26.25" customHeight="1" x14ac:dyDescent="0.25">
      <c r="B2935" s="130"/>
      <c r="C2935" s="135"/>
      <c r="D2935" s="177"/>
      <c r="E2935" s="178"/>
      <c r="F2935" s="178"/>
      <c r="G2935" s="340"/>
      <c r="H2935" s="340"/>
      <c r="I2935" s="179"/>
      <c r="J2935" s="344"/>
      <c r="K2935" s="345"/>
      <c r="L2935" s="346"/>
      <c r="M2935" s="347"/>
      <c r="N2935" s="347"/>
      <c r="O2935" s="132"/>
    </row>
    <row r="2936" spans="2:15" ht="26.25" customHeight="1" x14ac:dyDescent="0.25">
      <c r="B2936" s="130"/>
      <c r="C2936" s="135"/>
      <c r="D2936" s="177"/>
      <c r="E2936" s="178"/>
      <c r="F2936" s="178"/>
      <c r="G2936" s="340"/>
      <c r="H2936" s="340"/>
      <c r="I2936" s="179"/>
      <c r="J2936" s="344"/>
      <c r="K2936" s="345"/>
      <c r="L2936" s="346"/>
      <c r="M2936" s="347"/>
      <c r="N2936" s="347"/>
      <c r="O2936" s="132"/>
    </row>
    <row r="2937" spans="2:15" ht="26.25" customHeight="1" x14ac:dyDescent="0.25">
      <c r="B2937" s="130"/>
      <c r="C2937" s="135"/>
      <c r="D2937" s="177"/>
      <c r="E2937" s="178"/>
      <c r="F2937" s="178"/>
      <c r="G2937" s="340"/>
      <c r="H2937" s="340"/>
      <c r="I2937" s="179"/>
      <c r="J2937" s="344"/>
      <c r="K2937" s="345"/>
      <c r="L2937" s="346"/>
      <c r="M2937" s="347"/>
      <c r="N2937" s="347"/>
      <c r="O2937" s="132"/>
    </row>
    <row r="2938" spans="2:15" ht="26.25" customHeight="1" x14ac:dyDescent="0.25">
      <c r="B2938" s="130"/>
      <c r="C2938" s="135"/>
      <c r="D2938" s="177"/>
      <c r="E2938" s="178"/>
      <c r="F2938" s="178"/>
      <c r="G2938" s="340"/>
      <c r="H2938" s="340"/>
      <c r="I2938" s="179"/>
      <c r="J2938" s="344"/>
      <c r="K2938" s="345"/>
      <c r="L2938" s="346"/>
      <c r="M2938" s="347"/>
      <c r="N2938" s="347"/>
      <c r="O2938" s="132"/>
    </row>
    <row r="2939" spans="2:15" ht="26.25" customHeight="1" x14ac:dyDescent="0.25">
      <c r="B2939" s="130"/>
      <c r="C2939" s="135"/>
      <c r="D2939" s="177"/>
      <c r="E2939" s="178"/>
      <c r="F2939" s="178"/>
      <c r="G2939" s="340"/>
      <c r="H2939" s="340"/>
      <c r="I2939" s="179"/>
      <c r="J2939" s="344"/>
      <c r="K2939" s="345"/>
      <c r="L2939" s="346"/>
      <c r="M2939" s="347"/>
      <c r="N2939" s="347"/>
      <c r="O2939" s="132"/>
    </row>
    <row r="2940" spans="2:15" ht="26.25" customHeight="1" x14ac:dyDescent="0.25">
      <c r="B2940" s="130"/>
      <c r="C2940" s="135"/>
      <c r="D2940" s="177"/>
      <c r="E2940" s="178"/>
      <c r="F2940" s="178"/>
      <c r="G2940" s="340"/>
      <c r="H2940" s="340"/>
      <c r="I2940" s="179"/>
      <c r="J2940" s="344"/>
      <c r="K2940" s="345"/>
      <c r="L2940" s="346"/>
      <c r="M2940" s="347"/>
      <c r="N2940" s="347"/>
      <c r="O2940" s="132"/>
    </row>
    <row r="2941" spans="2:15" ht="26.25" customHeight="1" x14ac:dyDescent="0.25">
      <c r="B2941" s="130"/>
      <c r="C2941" s="135"/>
      <c r="D2941" s="177"/>
      <c r="E2941" s="178"/>
      <c r="F2941" s="178"/>
      <c r="G2941" s="340"/>
      <c r="H2941" s="340"/>
      <c r="I2941" s="179"/>
      <c r="J2941" s="344"/>
      <c r="K2941" s="345"/>
      <c r="L2941" s="346"/>
      <c r="M2941" s="347"/>
      <c r="N2941" s="347"/>
      <c r="O2941" s="132"/>
    </row>
    <row r="2942" spans="2:15" ht="26.25" customHeight="1" x14ac:dyDescent="0.25">
      <c r="B2942" s="130"/>
      <c r="C2942" s="135"/>
      <c r="D2942" s="177"/>
      <c r="E2942" s="178"/>
      <c r="F2942" s="178"/>
      <c r="G2942" s="340"/>
      <c r="H2942" s="340"/>
      <c r="I2942" s="179"/>
      <c r="J2942" s="344"/>
      <c r="K2942" s="345"/>
      <c r="L2942" s="346"/>
      <c r="M2942" s="347"/>
      <c r="N2942" s="347"/>
      <c r="O2942" s="132"/>
    </row>
    <row r="2943" spans="2:15" ht="26.25" customHeight="1" x14ac:dyDescent="0.25">
      <c r="B2943" s="130"/>
      <c r="C2943" s="135"/>
      <c r="D2943" s="177"/>
      <c r="E2943" s="178"/>
      <c r="F2943" s="178"/>
      <c r="G2943" s="340"/>
      <c r="H2943" s="340"/>
      <c r="I2943" s="179"/>
      <c r="J2943" s="344"/>
      <c r="K2943" s="345"/>
      <c r="L2943" s="346"/>
      <c r="M2943" s="347"/>
      <c r="N2943" s="347"/>
      <c r="O2943" s="132"/>
    </row>
    <row r="2944" spans="2:15" ht="26.25" customHeight="1" x14ac:dyDescent="0.25">
      <c r="B2944" s="130"/>
      <c r="C2944" s="135"/>
      <c r="D2944" s="177"/>
      <c r="E2944" s="178"/>
      <c r="F2944" s="178"/>
      <c r="G2944" s="340"/>
      <c r="H2944" s="340"/>
      <c r="I2944" s="179"/>
      <c r="J2944" s="344"/>
      <c r="K2944" s="345"/>
      <c r="L2944" s="346"/>
      <c r="M2944" s="347"/>
      <c r="N2944" s="347"/>
      <c r="O2944" s="132"/>
    </row>
    <row r="2945" spans="2:15" ht="26.25" customHeight="1" x14ac:dyDescent="0.25">
      <c r="B2945" s="130"/>
      <c r="C2945" s="135"/>
      <c r="D2945" s="177"/>
      <c r="E2945" s="178"/>
      <c r="F2945" s="178"/>
      <c r="G2945" s="340"/>
      <c r="H2945" s="340"/>
      <c r="I2945" s="179"/>
      <c r="J2945" s="344"/>
      <c r="K2945" s="345"/>
      <c r="L2945" s="346"/>
      <c r="M2945" s="347"/>
      <c r="N2945" s="347"/>
      <c r="O2945" s="132"/>
    </row>
    <row r="2946" spans="2:15" ht="26.25" customHeight="1" x14ac:dyDescent="0.25">
      <c r="B2946" s="130"/>
      <c r="C2946" s="135"/>
      <c r="D2946" s="177"/>
      <c r="E2946" s="178"/>
      <c r="F2946" s="178"/>
      <c r="G2946" s="340"/>
      <c r="H2946" s="340"/>
      <c r="I2946" s="179"/>
      <c r="J2946" s="344"/>
      <c r="K2946" s="345"/>
      <c r="L2946" s="346"/>
      <c r="M2946" s="347"/>
      <c r="N2946" s="347"/>
      <c r="O2946" s="132"/>
    </row>
    <row r="2947" spans="2:15" ht="26.25" customHeight="1" x14ac:dyDescent="0.25">
      <c r="B2947" s="130"/>
      <c r="C2947" s="135"/>
      <c r="D2947" s="177"/>
      <c r="E2947" s="178"/>
      <c r="F2947" s="178"/>
      <c r="G2947" s="340"/>
      <c r="H2947" s="340"/>
      <c r="I2947" s="179"/>
      <c r="J2947" s="344"/>
      <c r="K2947" s="345"/>
      <c r="L2947" s="346"/>
      <c r="M2947" s="347"/>
      <c r="N2947" s="347"/>
      <c r="O2947" s="132"/>
    </row>
    <row r="2948" spans="2:15" ht="26.25" customHeight="1" x14ac:dyDescent="0.25">
      <c r="B2948" s="130"/>
      <c r="C2948" s="135"/>
      <c r="D2948" s="177"/>
      <c r="E2948" s="178"/>
      <c r="F2948" s="178"/>
      <c r="G2948" s="340"/>
      <c r="H2948" s="340"/>
      <c r="I2948" s="179"/>
      <c r="J2948" s="344"/>
      <c r="K2948" s="345"/>
      <c r="L2948" s="346"/>
      <c r="M2948" s="347"/>
      <c r="N2948" s="347"/>
      <c r="O2948" s="132"/>
    </row>
    <row r="2949" spans="2:15" ht="26.25" customHeight="1" x14ac:dyDescent="0.25">
      <c r="B2949" s="130"/>
      <c r="C2949" s="135"/>
      <c r="D2949" s="177"/>
      <c r="E2949" s="178"/>
      <c r="F2949" s="178"/>
      <c r="G2949" s="340"/>
      <c r="H2949" s="340"/>
      <c r="I2949" s="179"/>
      <c r="J2949" s="344"/>
      <c r="K2949" s="345"/>
      <c r="L2949" s="346"/>
      <c r="M2949" s="347"/>
      <c r="N2949" s="347"/>
      <c r="O2949" s="132"/>
    </row>
    <row r="2950" spans="2:15" ht="26.25" customHeight="1" x14ac:dyDescent="0.25">
      <c r="B2950" s="130"/>
      <c r="C2950" s="135"/>
      <c r="D2950" s="177"/>
      <c r="E2950" s="178"/>
      <c r="F2950" s="178"/>
      <c r="G2950" s="340"/>
      <c r="H2950" s="340"/>
      <c r="I2950" s="179"/>
      <c r="J2950" s="344"/>
      <c r="K2950" s="345"/>
      <c r="L2950" s="346"/>
      <c r="M2950" s="347"/>
      <c r="N2950" s="347"/>
      <c r="O2950" s="132"/>
    </row>
    <row r="2951" spans="2:15" ht="26.25" customHeight="1" x14ac:dyDescent="0.25">
      <c r="B2951" s="130"/>
      <c r="C2951" s="135"/>
      <c r="D2951" s="177"/>
      <c r="E2951" s="178"/>
      <c r="F2951" s="178"/>
      <c r="G2951" s="340"/>
      <c r="H2951" s="340"/>
      <c r="I2951" s="179"/>
      <c r="J2951" s="344"/>
      <c r="K2951" s="345"/>
      <c r="L2951" s="346"/>
      <c r="M2951" s="347"/>
      <c r="N2951" s="347"/>
      <c r="O2951" s="132"/>
    </row>
    <row r="2952" spans="2:15" ht="26.25" customHeight="1" x14ac:dyDescent="0.25">
      <c r="B2952" s="130"/>
      <c r="C2952" s="135"/>
      <c r="D2952" s="177"/>
      <c r="E2952" s="178"/>
      <c r="F2952" s="178"/>
      <c r="G2952" s="340"/>
      <c r="H2952" s="340"/>
      <c r="I2952" s="179"/>
      <c r="J2952" s="344"/>
      <c r="K2952" s="345"/>
      <c r="L2952" s="346"/>
      <c r="M2952" s="347"/>
      <c r="N2952" s="347"/>
      <c r="O2952" s="132"/>
    </row>
    <row r="2953" spans="2:15" ht="26.25" customHeight="1" x14ac:dyDescent="0.25">
      <c r="B2953" s="130"/>
      <c r="C2953" s="135"/>
      <c r="D2953" s="177"/>
      <c r="E2953" s="178"/>
      <c r="F2953" s="178"/>
      <c r="G2953" s="340"/>
      <c r="H2953" s="340"/>
      <c r="I2953" s="179"/>
      <c r="J2953" s="344"/>
      <c r="K2953" s="345"/>
      <c r="L2953" s="346"/>
      <c r="M2953" s="347"/>
      <c r="N2953" s="347"/>
      <c r="O2953" s="132"/>
    </row>
    <row r="2954" spans="2:15" ht="26.25" customHeight="1" x14ac:dyDescent="0.25">
      <c r="B2954" s="130"/>
      <c r="C2954" s="135"/>
      <c r="D2954" s="177"/>
      <c r="E2954" s="178"/>
      <c r="F2954" s="178"/>
      <c r="G2954" s="340"/>
      <c r="H2954" s="340"/>
      <c r="I2954" s="179"/>
      <c r="J2954" s="344"/>
      <c r="K2954" s="345"/>
      <c r="L2954" s="346"/>
      <c r="M2954" s="347"/>
      <c r="N2954" s="347"/>
      <c r="O2954" s="132"/>
    </row>
    <row r="2955" spans="2:15" ht="26.25" customHeight="1" x14ac:dyDescent="0.25">
      <c r="B2955" s="130"/>
      <c r="C2955" s="135"/>
      <c r="D2955" s="177"/>
      <c r="E2955" s="178"/>
      <c r="F2955" s="178"/>
      <c r="G2955" s="340"/>
      <c r="H2955" s="340"/>
      <c r="I2955" s="179"/>
      <c r="J2955" s="344"/>
      <c r="K2955" s="345"/>
      <c r="L2955" s="346"/>
      <c r="M2955" s="347"/>
      <c r="N2955" s="347"/>
      <c r="O2955" s="132"/>
    </row>
    <row r="2956" spans="2:15" ht="26.25" customHeight="1" x14ac:dyDescent="0.25">
      <c r="B2956" s="130"/>
      <c r="C2956" s="135"/>
      <c r="D2956" s="177"/>
      <c r="E2956" s="178"/>
      <c r="F2956" s="178"/>
      <c r="G2956" s="340"/>
      <c r="H2956" s="340"/>
      <c r="I2956" s="179"/>
      <c r="J2956" s="344"/>
      <c r="K2956" s="345"/>
      <c r="L2956" s="346"/>
      <c r="M2956" s="347"/>
      <c r="N2956" s="347"/>
      <c r="O2956" s="132"/>
    </row>
    <row r="2957" spans="2:15" ht="26.25" customHeight="1" x14ac:dyDescent="0.25">
      <c r="B2957" s="130"/>
      <c r="C2957" s="135"/>
      <c r="D2957" s="177"/>
      <c r="E2957" s="178"/>
      <c r="F2957" s="178"/>
      <c r="G2957" s="340"/>
      <c r="H2957" s="340"/>
      <c r="I2957" s="179"/>
      <c r="J2957" s="344"/>
      <c r="K2957" s="345"/>
      <c r="L2957" s="346"/>
      <c r="M2957" s="347"/>
      <c r="N2957" s="347"/>
      <c r="O2957" s="132"/>
    </row>
    <row r="2958" spans="2:15" ht="26.25" customHeight="1" x14ac:dyDescent="0.25">
      <c r="B2958" s="130"/>
      <c r="C2958" s="135"/>
      <c r="D2958" s="177"/>
      <c r="E2958" s="178"/>
      <c r="F2958" s="178"/>
      <c r="G2958" s="340"/>
      <c r="H2958" s="340"/>
      <c r="I2958" s="179"/>
      <c r="J2958" s="344"/>
      <c r="K2958" s="345"/>
      <c r="L2958" s="346"/>
      <c r="M2958" s="347"/>
      <c r="N2958" s="347"/>
      <c r="O2958" s="132"/>
    </row>
    <row r="2959" spans="2:15" ht="26.25" customHeight="1" x14ac:dyDescent="0.25">
      <c r="B2959" s="130"/>
      <c r="C2959" s="135"/>
      <c r="D2959" s="177"/>
      <c r="E2959" s="178"/>
      <c r="F2959" s="178"/>
      <c r="G2959" s="340"/>
      <c r="H2959" s="340"/>
      <c r="I2959" s="179"/>
      <c r="J2959" s="344"/>
      <c r="K2959" s="345"/>
      <c r="L2959" s="346"/>
      <c r="M2959" s="347"/>
      <c r="N2959" s="347"/>
      <c r="O2959" s="132"/>
    </row>
    <row r="2960" spans="2:15" ht="26.25" customHeight="1" x14ac:dyDescent="0.25">
      <c r="B2960" s="130"/>
      <c r="C2960" s="135"/>
      <c r="D2960" s="177"/>
      <c r="E2960" s="178"/>
      <c r="F2960" s="178"/>
      <c r="G2960" s="340"/>
      <c r="H2960" s="340"/>
      <c r="I2960" s="179"/>
      <c r="J2960" s="344"/>
      <c r="K2960" s="345"/>
      <c r="L2960" s="346"/>
      <c r="M2960" s="347"/>
      <c r="N2960" s="347"/>
      <c r="O2960" s="132"/>
    </row>
    <row r="2961" spans="2:15" ht="26.25" customHeight="1" x14ac:dyDescent="0.25">
      <c r="B2961" s="130"/>
      <c r="C2961" s="135"/>
      <c r="D2961" s="177"/>
      <c r="E2961" s="178"/>
      <c r="F2961" s="178"/>
      <c r="G2961" s="340"/>
      <c r="H2961" s="340"/>
      <c r="I2961" s="179"/>
      <c r="J2961" s="344"/>
      <c r="K2961" s="345"/>
      <c r="L2961" s="346"/>
      <c r="M2961" s="347"/>
      <c r="N2961" s="347"/>
      <c r="O2961" s="132"/>
    </row>
    <row r="2962" spans="2:15" ht="26.25" customHeight="1" x14ac:dyDescent="0.25">
      <c r="B2962" s="130"/>
      <c r="C2962" s="135"/>
      <c r="D2962" s="177"/>
      <c r="E2962" s="178"/>
      <c r="F2962" s="178"/>
      <c r="G2962" s="340"/>
      <c r="H2962" s="340"/>
      <c r="I2962" s="179"/>
      <c r="J2962" s="344"/>
      <c r="K2962" s="345"/>
      <c r="L2962" s="346"/>
      <c r="M2962" s="347"/>
      <c r="N2962" s="347"/>
      <c r="O2962" s="132"/>
    </row>
    <row r="2963" spans="2:15" ht="26.25" customHeight="1" x14ac:dyDescent="0.25">
      <c r="B2963" s="130"/>
      <c r="C2963" s="135"/>
      <c r="D2963" s="177"/>
      <c r="E2963" s="178"/>
      <c r="F2963" s="178"/>
      <c r="G2963" s="340"/>
      <c r="H2963" s="340"/>
      <c r="I2963" s="179"/>
      <c r="J2963" s="344"/>
      <c r="K2963" s="345"/>
      <c r="L2963" s="346"/>
      <c r="M2963" s="347"/>
      <c r="N2963" s="347"/>
      <c r="O2963" s="132"/>
    </row>
    <row r="2964" spans="2:15" ht="26.25" customHeight="1" x14ac:dyDescent="0.25">
      <c r="B2964" s="130"/>
      <c r="C2964" s="135"/>
      <c r="D2964" s="177"/>
      <c r="E2964" s="178"/>
      <c r="F2964" s="178"/>
      <c r="G2964" s="340"/>
      <c r="H2964" s="340"/>
      <c r="I2964" s="179"/>
      <c r="J2964" s="344"/>
      <c r="K2964" s="345"/>
      <c r="L2964" s="346"/>
      <c r="M2964" s="347"/>
      <c r="N2964" s="347"/>
      <c r="O2964" s="132"/>
    </row>
    <row r="2965" spans="2:15" ht="26.25" customHeight="1" x14ac:dyDescent="0.25">
      <c r="B2965" s="130"/>
      <c r="C2965" s="135"/>
      <c r="D2965" s="177"/>
      <c r="E2965" s="178"/>
      <c r="F2965" s="178"/>
      <c r="G2965" s="340"/>
      <c r="H2965" s="340"/>
      <c r="I2965" s="179"/>
      <c r="J2965" s="344"/>
      <c r="K2965" s="345"/>
      <c r="L2965" s="346"/>
      <c r="M2965" s="347"/>
      <c r="N2965" s="347"/>
      <c r="O2965" s="132"/>
    </row>
    <row r="2966" spans="2:15" ht="26.25" customHeight="1" x14ac:dyDescent="0.25">
      <c r="B2966" s="130"/>
      <c r="C2966" s="135"/>
      <c r="D2966" s="177"/>
      <c r="E2966" s="178"/>
      <c r="F2966" s="178"/>
      <c r="G2966" s="340"/>
      <c r="H2966" s="340"/>
      <c r="I2966" s="179"/>
      <c r="J2966" s="344"/>
      <c r="K2966" s="345"/>
      <c r="L2966" s="346"/>
      <c r="M2966" s="347"/>
      <c r="N2966" s="347"/>
      <c r="O2966" s="132"/>
    </row>
    <row r="2967" spans="2:15" ht="26.25" customHeight="1" x14ac:dyDescent="0.25">
      <c r="B2967" s="130"/>
      <c r="C2967" s="135"/>
      <c r="D2967" s="177"/>
      <c r="E2967" s="178"/>
      <c r="F2967" s="178"/>
      <c r="G2967" s="340"/>
      <c r="H2967" s="340"/>
      <c r="I2967" s="179"/>
      <c r="J2967" s="344"/>
      <c r="K2967" s="345"/>
      <c r="L2967" s="346"/>
      <c r="M2967" s="347"/>
      <c r="N2967" s="347"/>
      <c r="O2967" s="132"/>
    </row>
    <row r="2968" spans="2:15" ht="26.25" customHeight="1" x14ac:dyDescent="0.25">
      <c r="B2968" s="130"/>
      <c r="C2968" s="135"/>
      <c r="D2968" s="177"/>
      <c r="E2968" s="178"/>
      <c r="F2968" s="178"/>
      <c r="G2968" s="340"/>
      <c r="H2968" s="340"/>
      <c r="I2968" s="179"/>
      <c r="J2968" s="344"/>
      <c r="K2968" s="345"/>
      <c r="L2968" s="346"/>
      <c r="M2968" s="347"/>
      <c r="N2968" s="347"/>
      <c r="O2968" s="132"/>
    </row>
    <row r="2969" spans="2:15" ht="26.25" customHeight="1" x14ac:dyDescent="0.25">
      <c r="B2969" s="130"/>
      <c r="C2969" s="135"/>
      <c r="D2969" s="177"/>
      <c r="E2969" s="178"/>
      <c r="F2969" s="178"/>
      <c r="G2969" s="340"/>
      <c r="H2969" s="340"/>
      <c r="I2969" s="179"/>
      <c r="J2969" s="344"/>
      <c r="K2969" s="345"/>
      <c r="L2969" s="346"/>
      <c r="M2969" s="347"/>
      <c r="N2969" s="347"/>
      <c r="O2969" s="132"/>
    </row>
    <row r="2970" spans="2:15" ht="26.25" customHeight="1" x14ac:dyDescent="0.25">
      <c r="B2970" s="130"/>
      <c r="C2970" s="135"/>
      <c r="D2970" s="177"/>
      <c r="E2970" s="178"/>
      <c r="F2970" s="178"/>
      <c r="G2970" s="340"/>
      <c r="H2970" s="340"/>
      <c r="I2970" s="179"/>
      <c r="J2970" s="344"/>
      <c r="K2970" s="345"/>
      <c r="L2970" s="346"/>
      <c r="M2970" s="347"/>
      <c r="N2970" s="347"/>
      <c r="O2970" s="132"/>
    </row>
    <row r="2971" spans="2:15" ht="26.25" customHeight="1" x14ac:dyDescent="0.25">
      <c r="B2971" s="130"/>
      <c r="C2971" s="135"/>
      <c r="D2971" s="177"/>
      <c r="E2971" s="178"/>
      <c r="F2971" s="178"/>
      <c r="G2971" s="340"/>
      <c r="H2971" s="340"/>
      <c r="I2971" s="179"/>
      <c r="J2971" s="344"/>
      <c r="K2971" s="345"/>
      <c r="L2971" s="346"/>
      <c r="M2971" s="347"/>
      <c r="N2971" s="347"/>
      <c r="O2971" s="132"/>
    </row>
    <row r="2972" spans="2:15" ht="26.25" customHeight="1" x14ac:dyDescent="0.25">
      <c r="B2972" s="130"/>
      <c r="C2972" s="135"/>
      <c r="D2972" s="177"/>
      <c r="E2972" s="178"/>
      <c r="F2972" s="178"/>
      <c r="G2972" s="340"/>
      <c r="H2972" s="340"/>
      <c r="I2972" s="179"/>
      <c r="J2972" s="344"/>
      <c r="K2972" s="345"/>
      <c r="L2972" s="346"/>
      <c r="M2972" s="347"/>
      <c r="N2972" s="347"/>
      <c r="O2972" s="132"/>
    </row>
    <row r="2973" spans="2:15" ht="26.25" customHeight="1" x14ac:dyDescent="0.25">
      <c r="B2973" s="130"/>
      <c r="C2973" s="135"/>
      <c r="D2973" s="177"/>
      <c r="E2973" s="178"/>
      <c r="F2973" s="178"/>
      <c r="G2973" s="340"/>
      <c r="H2973" s="340"/>
      <c r="I2973" s="179"/>
      <c r="J2973" s="344"/>
      <c r="K2973" s="345"/>
      <c r="L2973" s="346"/>
      <c r="M2973" s="347"/>
      <c r="N2973" s="347"/>
      <c r="O2973" s="132"/>
    </row>
    <row r="2974" spans="2:15" ht="26.25" customHeight="1" x14ac:dyDescent="0.25">
      <c r="B2974" s="130"/>
      <c r="C2974" s="135"/>
      <c r="D2974" s="177"/>
      <c r="E2974" s="178"/>
      <c r="F2974" s="178"/>
      <c r="G2974" s="340"/>
      <c r="H2974" s="340"/>
      <c r="I2974" s="179"/>
      <c r="J2974" s="344"/>
      <c r="K2974" s="345"/>
      <c r="L2974" s="346"/>
      <c r="M2974" s="347"/>
      <c r="N2974" s="347"/>
      <c r="O2974" s="132"/>
    </row>
    <row r="2975" spans="2:15" ht="26.25" customHeight="1" x14ac:dyDescent="0.25">
      <c r="B2975" s="130"/>
      <c r="C2975" s="135"/>
      <c r="D2975" s="177"/>
      <c r="E2975" s="178"/>
      <c r="F2975" s="178"/>
      <c r="G2975" s="340"/>
      <c r="H2975" s="340"/>
      <c r="I2975" s="179"/>
      <c r="J2975" s="344"/>
      <c r="K2975" s="345"/>
      <c r="L2975" s="346"/>
      <c r="M2975" s="347"/>
      <c r="N2975" s="347"/>
      <c r="O2975" s="132"/>
    </row>
    <row r="2976" spans="2:15" ht="26.25" customHeight="1" x14ac:dyDescent="0.25">
      <c r="B2976" s="130"/>
      <c r="C2976" s="135"/>
      <c r="D2976" s="177"/>
      <c r="E2976" s="178"/>
      <c r="F2976" s="178"/>
      <c r="G2976" s="340"/>
      <c r="H2976" s="340"/>
      <c r="I2976" s="179"/>
      <c r="J2976" s="344"/>
      <c r="K2976" s="345"/>
      <c r="L2976" s="346"/>
      <c r="M2976" s="347"/>
      <c r="N2976" s="347"/>
      <c r="O2976" s="132"/>
    </row>
    <row r="2977" spans="2:15" ht="26.25" customHeight="1" x14ac:dyDescent="0.25">
      <c r="B2977" s="130"/>
      <c r="C2977" s="135"/>
      <c r="D2977" s="177"/>
      <c r="E2977" s="178"/>
      <c r="F2977" s="178"/>
      <c r="G2977" s="340"/>
      <c r="H2977" s="340"/>
      <c r="I2977" s="179"/>
      <c r="J2977" s="344"/>
      <c r="K2977" s="345"/>
      <c r="L2977" s="346"/>
      <c r="M2977" s="347"/>
      <c r="N2977" s="347"/>
      <c r="O2977" s="132"/>
    </row>
    <row r="2978" spans="2:15" ht="26.25" customHeight="1" x14ac:dyDescent="0.25">
      <c r="B2978" s="130"/>
      <c r="C2978" s="135"/>
      <c r="D2978" s="177"/>
      <c r="E2978" s="178"/>
      <c r="F2978" s="178"/>
      <c r="G2978" s="340"/>
      <c r="H2978" s="340"/>
      <c r="I2978" s="179"/>
      <c r="J2978" s="344"/>
      <c r="K2978" s="345"/>
      <c r="L2978" s="346"/>
      <c r="M2978" s="347"/>
      <c r="N2978" s="347"/>
      <c r="O2978" s="132"/>
    </row>
    <row r="2979" spans="2:15" ht="26.25" customHeight="1" x14ac:dyDescent="0.25">
      <c r="B2979" s="130"/>
      <c r="C2979" s="135"/>
      <c r="D2979" s="177"/>
      <c r="E2979" s="178"/>
      <c r="F2979" s="178"/>
      <c r="G2979" s="340"/>
      <c r="H2979" s="340"/>
      <c r="I2979" s="179"/>
      <c r="J2979" s="344"/>
      <c r="K2979" s="345"/>
      <c r="L2979" s="346"/>
      <c r="M2979" s="347"/>
      <c r="N2979" s="347"/>
      <c r="O2979" s="132"/>
    </row>
    <row r="2980" spans="2:15" ht="26.25" customHeight="1" x14ac:dyDescent="0.25">
      <c r="B2980" s="130"/>
      <c r="C2980" s="135"/>
      <c r="D2980" s="177"/>
      <c r="E2980" s="178"/>
      <c r="F2980" s="178"/>
      <c r="G2980" s="340"/>
      <c r="H2980" s="340"/>
      <c r="I2980" s="179"/>
      <c r="J2980" s="344"/>
      <c r="K2980" s="345"/>
      <c r="L2980" s="346"/>
      <c r="M2980" s="347"/>
      <c r="N2980" s="347"/>
      <c r="O2980" s="132"/>
    </row>
    <row r="2981" spans="2:15" ht="26.25" customHeight="1" x14ac:dyDescent="0.25">
      <c r="B2981" s="130"/>
      <c r="C2981" s="135"/>
      <c r="D2981" s="177"/>
      <c r="E2981" s="178"/>
      <c r="F2981" s="178"/>
      <c r="G2981" s="340"/>
      <c r="H2981" s="340"/>
      <c r="I2981" s="179"/>
      <c r="J2981" s="344"/>
      <c r="K2981" s="345"/>
      <c r="L2981" s="346"/>
      <c r="M2981" s="347"/>
      <c r="N2981" s="347"/>
      <c r="O2981" s="132"/>
    </row>
    <row r="2982" spans="2:15" ht="26.25" customHeight="1" x14ac:dyDescent="0.25">
      <c r="B2982" s="130"/>
      <c r="C2982" s="135"/>
      <c r="D2982" s="177"/>
      <c r="E2982" s="178"/>
      <c r="F2982" s="178"/>
      <c r="G2982" s="340"/>
      <c r="H2982" s="340"/>
      <c r="I2982" s="179"/>
      <c r="J2982" s="344"/>
      <c r="K2982" s="345"/>
      <c r="L2982" s="346"/>
      <c r="M2982" s="347"/>
      <c r="N2982" s="347"/>
      <c r="O2982" s="132"/>
    </row>
    <row r="2983" spans="2:15" ht="26.25" customHeight="1" x14ac:dyDescent="0.25">
      <c r="B2983" s="130"/>
      <c r="C2983" s="135"/>
      <c r="D2983" s="177"/>
      <c r="E2983" s="178"/>
      <c r="F2983" s="178"/>
      <c r="G2983" s="340"/>
      <c r="H2983" s="340"/>
      <c r="I2983" s="179"/>
      <c r="J2983" s="344"/>
      <c r="K2983" s="345"/>
      <c r="L2983" s="346"/>
      <c r="M2983" s="347"/>
      <c r="N2983" s="347"/>
      <c r="O2983" s="132"/>
    </row>
    <row r="2984" spans="2:15" ht="26.25" customHeight="1" x14ac:dyDescent="0.25">
      <c r="B2984" s="130"/>
      <c r="C2984" s="135"/>
      <c r="D2984" s="177"/>
      <c r="E2984" s="178"/>
      <c r="F2984" s="178"/>
      <c r="G2984" s="340"/>
      <c r="H2984" s="340"/>
      <c r="I2984" s="179"/>
      <c r="J2984" s="344"/>
      <c r="K2984" s="345"/>
      <c r="L2984" s="346"/>
      <c r="M2984" s="347"/>
      <c r="N2984" s="347"/>
      <c r="O2984" s="132"/>
    </row>
    <row r="2985" spans="2:15" ht="26.25" customHeight="1" x14ac:dyDescent="0.25">
      <c r="B2985" s="130"/>
      <c r="C2985" s="135"/>
      <c r="D2985" s="177"/>
      <c r="E2985" s="178"/>
      <c r="F2985" s="178"/>
      <c r="G2985" s="340"/>
      <c r="H2985" s="340"/>
      <c r="I2985" s="179"/>
      <c r="J2985" s="344"/>
      <c r="K2985" s="345"/>
      <c r="L2985" s="346"/>
      <c r="M2985" s="347"/>
      <c r="N2985" s="347"/>
      <c r="O2985" s="132"/>
    </row>
    <row r="2986" spans="2:15" ht="26.25" customHeight="1" x14ac:dyDescent="0.25">
      <c r="B2986" s="130"/>
      <c r="C2986" s="135"/>
      <c r="D2986" s="177"/>
      <c r="E2986" s="178"/>
      <c r="F2986" s="178"/>
      <c r="G2986" s="340"/>
      <c r="H2986" s="340"/>
      <c r="I2986" s="179"/>
      <c r="J2986" s="344"/>
      <c r="K2986" s="345"/>
      <c r="L2986" s="346"/>
      <c r="M2986" s="347"/>
      <c r="N2986" s="347"/>
      <c r="O2986" s="132"/>
    </row>
    <row r="2987" spans="2:15" ht="26.25" customHeight="1" x14ac:dyDescent="0.25">
      <c r="B2987" s="130"/>
      <c r="C2987" s="135"/>
      <c r="D2987" s="177"/>
      <c r="E2987" s="178"/>
      <c r="F2987" s="178"/>
      <c r="G2987" s="340"/>
      <c r="H2987" s="340"/>
      <c r="I2987" s="179"/>
      <c r="J2987" s="344"/>
      <c r="K2987" s="345"/>
      <c r="L2987" s="346"/>
      <c r="M2987" s="347"/>
      <c r="N2987" s="347"/>
      <c r="O2987" s="132"/>
    </row>
    <row r="2988" spans="2:15" ht="26.25" customHeight="1" x14ac:dyDescent="0.25">
      <c r="B2988" s="130"/>
      <c r="C2988" s="135"/>
      <c r="D2988" s="177"/>
      <c r="E2988" s="178"/>
      <c r="F2988" s="178"/>
      <c r="G2988" s="340"/>
      <c r="H2988" s="340"/>
      <c r="I2988" s="179"/>
      <c r="J2988" s="344"/>
      <c r="K2988" s="345"/>
      <c r="L2988" s="346"/>
      <c r="M2988" s="347"/>
      <c r="N2988" s="347"/>
      <c r="O2988" s="132"/>
    </row>
    <row r="2989" spans="2:15" ht="26.25" customHeight="1" x14ac:dyDescent="0.25">
      <c r="B2989" s="130"/>
      <c r="C2989" s="135"/>
      <c r="D2989" s="177"/>
      <c r="E2989" s="178"/>
      <c r="F2989" s="178"/>
      <c r="G2989" s="340"/>
      <c r="H2989" s="340"/>
      <c r="I2989" s="179"/>
      <c r="J2989" s="344"/>
      <c r="K2989" s="345"/>
      <c r="L2989" s="346"/>
      <c r="M2989" s="347"/>
      <c r="N2989" s="347"/>
      <c r="O2989" s="132"/>
    </row>
    <row r="2990" spans="2:15" ht="26.25" customHeight="1" x14ac:dyDescent="0.25">
      <c r="B2990" s="130"/>
      <c r="C2990" s="135"/>
      <c r="D2990" s="177"/>
      <c r="E2990" s="178"/>
      <c r="F2990" s="178"/>
      <c r="G2990" s="340"/>
      <c r="H2990" s="340"/>
      <c r="I2990" s="179"/>
      <c r="J2990" s="344"/>
      <c r="K2990" s="345"/>
      <c r="L2990" s="346"/>
      <c r="M2990" s="347"/>
      <c r="N2990" s="347"/>
      <c r="O2990" s="132"/>
    </row>
    <row r="2991" spans="2:15" ht="26.25" customHeight="1" x14ac:dyDescent="0.25">
      <c r="B2991" s="130"/>
      <c r="C2991" s="135"/>
      <c r="D2991" s="177"/>
      <c r="E2991" s="178"/>
      <c r="F2991" s="178"/>
      <c r="G2991" s="340"/>
      <c r="H2991" s="340"/>
      <c r="I2991" s="179"/>
      <c r="J2991" s="344"/>
      <c r="K2991" s="345"/>
      <c r="L2991" s="346"/>
      <c r="M2991" s="347"/>
      <c r="N2991" s="347"/>
      <c r="O2991" s="132"/>
    </row>
    <row r="2992" spans="2:15" ht="26.25" customHeight="1" x14ac:dyDescent="0.25">
      <c r="B2992" s="130"/>
      <c r="C2992" s="135"/>
      <c r="D2992" s="177"/>
      <c r="E2992" s="178"/>
      <c r="F2992" s="178"/>
      <c r="G2992" s="340"/>
      <c r="H2992" s="340"/>
      <c r="I2992" s="179"/>
      <c r="J2992" s="344"/>
      <c r="K2992" s="345"/>
      <c r="L2992" s="346"/>
      <c r="M2992" s="347"/>
      <c r="N2992" s="347"/>
      <c r="O2992" s="132"/>
    </row>
    <row r="2993" spans="2:15" ht="26.25" customHeight="1" x14ac:dyDescent="0.25">
      <c r="B2993" s="130"/>
      <c r="C2993" s="135"/>
      <c r="D2993" s="177"/>
      <c r="E2993" s="178"/>
      <c r="F2993" s="178"/>
      <c r="G2993" s="340"/>
      <c r="H2993" s="340"/>
      <c r="I2993" s="179"/>
      <c r="J2993" s="344"/>
      <c r="K2993" s="345"/>
      <c r="L2993" s="346"/>
      <c r="M2993" s="347"/>
      <c r="N2993" s="347"/>
      <c r="O2993" s="132"/>
    </row>
    <row r="2994" spans="2:15" ht="26.25" customHeight="1" x14ac:dyDescent="0.25">
      <c r="B2994" s="130"/>
      <c r="C2994" s="135"/>
      <c r="D2994" s="177"/>
      <c r="E2994" s="178"/>
      <c r="F2994" s="178"/>
      <c r="G2994" s="340"/>
      <c r="H2994" s="340"/>
      <c r="I2994" s="179"/>
      <c r="J2994" s="344"/>
      <c r="K2994" s="345"/>
      <c r="L2994" s="346"/>
      <c r="M2994" s="347"/>
      <c r="N2994" s="347"/>
      <c r="O2994" s="132"/>
    </row>
    <row r="2995" spans="2:15" ht="26.25" customHeight="1" x14ac:dyDescent="0.25">
      <c r="B2995" s="130"/>
      <c r="C2995" s="135"/>
      <c r="D2995" s="177"/>
      <c r="E2995" s="178"/>
      <c r="F2995" s="178"/>
      <c r="G2995" s="340"/>
      <c r="H2995" s="340"/>
      <c r="I2995" s="179"/>
      <c r="J2995" s="344"/>
      <c r="K2995" s="345"/>
      <c r="L2995" s="346"/>
      <c r="M2995" s="347"/>
      <c r="N2995" s="347"/>
      <c r="O2995" s="132"/>
    </row>
    <row r="2996" spans="2:15" ht="26.25" customHeight="1" x14ac:dyDescent="0.25">
      <c r="B2996" s="130"/>
      <c r="C2996" s="135"/>
      <c r="D2996" s="177"/>
      <c r="E2996" s="178"/>
      <c r="F2996" s="178"/>
      <c r="G2996" s="340"/>
      <c r="H2996" s="340"/>
      <c r="I2996" s="179"/>
      <c r="J2996" s="344"/>
      <c r="K2996" s="345"/>
      <c r="L2996" s="346"/>
      <c r="M2996" s="347"/>
      <c r="N2996" s="347"/>
      <c r="O2996" s="132"/>
    </row>
    <row r="2997" spans="2:15" ht="26.25" customHeight="1" x14ac:dyDescent="0.25">
      <c r="B2997" s="130"/>
      <c r="C2997" s="135"/>
      <c r="D2997" s="177"/>
      <c r="E2997" s="178"/>
      <c r="F2997" s="178"/>
      <c r="G2997" s="340"/>
      <c r="H2997" s="340"/>
      <c r="I2997" s="179"/>
      <c r="J2997" s="344"/>
      <c r="K2997" s="345"/>
      <c r="L2997" s="346"/>
      <c r="M2997" s="347"/>
      <c r="N2997" s="347"/>
      <c r="O2997" s="132"/>
    </row>
    <row r="2998" spans="2:15" ht="26.25" customHeight="1" x14ac:dyDescent="0.25">
      <c r="B2998" s="130"/>
      <c r="C2998" s="135"/>
      <c r="D2998" s="177"/>
      <c r="E2998" s="178"/>
      <c r="F2998" s="178"/>
      <c r="G2998" s="340"/>
      <c r="H2998" s="340"/>
      <c r="I2998" s="179"/>
      <c r="J2998" s="344"/>
      <c r="K2998" s="345"/>
      <c r="L2998" s="346"/>
      <c r="M2998" s="347"/>
      <c r="N2998" s="347"/>
      <c r="O2998" s="132"/>
    </row>
    <row r="2999" spans="2:15" ht="26.25" customHeight="1" x14ac:dyDescent="0.25">
      <c r="B2999" s="130"/>
      <c r="C2999" s="135"/>
      <c r="D2999" s="177"/>
      <c r="E2999" s="178"/>
      <c r="F2999" s="178"/>
      <c r="G2999" s="340"/>
      <c r="H2999" s="340"/>
      <c r="I2999" s="179"/>
      <c r="J2999" s="344"/>
      <c r="K2999" s="345"/>
      <c r="L2999" s="346"/>
      <c r="M2999" s="347"/>
      <c r="N2999" s="347"/>
      <c r="O2999" s="132"/>
    </row>
    <row r="3000" spans="2:15" ht="26.25" customHeight="1" x14ac:dyDescent="0.25">
      <c r="B3000" s="130"/>
      <c r="C3000" s="135"/>
      <c r="D3000" s="177"/>
      <c r="E3000" s="178"/>
      <c r="F3000" s="178"/>
      <c r="G3000" s="340"/>
      <c r="H3000" s="340"/>
      <c r="I3000" s="179"/>
      <c r="J3000" s="344"/>
      <c r="K3000" s="345"/>
      <c r="L3000" s="346"/>
      <c r="M3000" s="347"/>
      <c r="N3000" s="347"/>
      <c r="O3000" s="132"/>
    </row>
    <row r="3001" spans="2:15" ht="26.25" customHeight="1" x14ac:dyDescent="0.25">
      <c r="B3001" s="130"/>
      <c r="C3001" s="135"/>
      <c r="D3001" s="177"/>
      <c r="E3001" s="178"/>
      <c r="F3001" s="178"/>
      <c r="G3001" s="340"/>
      <c r="H3001" s="340"/>
      <c r="I3001" s="179"/>
      <c r="J3001" s="344"/>
      <c r="K3001" s="345"/>
      <c r="L3001" s="346"/>
      <c r="M3001" s="347"/>
      <c r="N3001" s="347"/>
      <c r="O3001" s="132"/>
    </row>
    <row r="3002" spans="2:15" ht="26.25" customHeight="1" x14ac:dyDescent="0.25">
      <c r="B3002" s="130"/>
      <c r="C3002" s="135"/>
      <c r="D3002" s="177"/>
      <c r="E3002" s="178"/>
      <c r="F3002" s="178"/>
      <c r="G3002" s="340"/>
      <c r="H3002" s="340"/>
      <c r="I3002" s="179"/>
      <c r="J3002" s="344"/>
      <c r="K3002" s="345"/>
      <c r="L3002" s="346"/>
      <c r="M3002" s="347"/>
      <c r="N3002" s="347"/>
      <c r="O3002" s="132"/>
    </row>
    <row r="3003" spans="2:15" ht="26.25" customHeight="1" x14ac:dyDescent="0.25">
      <c r="B3003" s="130"/>
      <c r="C3003" s="135"/>
      <c r="D3003" s="177"/>
      <c r="E3003" s="178"/>
      <c r="F3003" s="178"/>
      <c r="G3003" s="340"/>
      <c r="H3003" s="340"/>
      <c r="I3003" s="179"/>
      <c r="J3003" s="344"/>
      <c r="K3003" s="345"/>
      <c r="L3003" s="346"/>
      <c r="M3003" s="347"/>
      <c r="N3003" s="347"/>
      <c r="O3003" s="132"/>
    </row>
    <row r="3004" spans="2:15" ht="26.25" customHeight="1" x14ac:dyDescent="0.25">
      <c r="B3004" s="130"/>
      <c r="C3004" s="135"/>
      <c r="D3004" s="177"/>
      <c r="E3004" s="178"/>
      <c r="F3004" s="178"/>
      <c r="G3004" s="340"/>
      <c r="H3004" s="340"/>
      <c r="I3004" s="179"/>
      <c r="J3004" s="344"/>
      <c r="K3004" s="345"/>
      <c r="L3004" s="346"/>
      <c r="M3004" s="347"/>
      <c r="N3004" s="347"/>
      <c r="O3004" s="132"/>
    </row>
    <row r="3005" spans="2:15" ht="26.25" customHeight="1" x14ac:dyDescent="0.25">
      <c r="B3005" s="130"/>
      <c r="C3005" s="135"/>
      <c r="D3005" s="177"/>
      <c r="E3005" s="178"/>
      <c r="F3005" s="178"/>
      <c r="G3005" s="340"/>
      <c r="H3005" s="340"/>
      <c r="I3005" s="179"/>
      <c r="J3005" s="344"/>
      <c r="K3005" s="345"/>
      <c r="L3005" s="346"/>
      <c r="M3005" s="347"/>
      <c r="N3005" s="347"/>
      <c r="O3005" s="132"/>
    </row>
    <row r="3006" spans="2:15" ht="26.25" customHeight="1" x14ac:dyDescent="0.25">
      <c r="B3006" s="130"/>
      <c r="C3006" s="135"/>
      <c r="D3006" s="177"/>
      <c r="E3006" s="178"/>
      <c r="F3006" s="178"/>
      <c r="G3006" s="340"/>
      <c r="H3006" s="340"/>
      <c r="I3006" s="179"/>
      <c r="J3006" s="344"/>
      <c r="K3006" s="345"/>
      <c r="L3006" s="346"/>
      <c r="M3006" s="347"/>
      <c r="N3006" s="347"/>
      <c r="O3006" s="132"/>
    </row>
    <row r="3007" spans="2:15" ht="26.25" customHeight="1" x14ac:dyDescent="0.25">
      <c r="B3007" s="130"/>
      <c r="C3007" s="135"/>
      <c r="D3007" s="177"/>
      <c r="E3007" s="178"/>
      <c r="F3007" s="178"/>
      <c r="G3007" s="340"/>
      <c r="H3007" s="340"/>
      <c r="I3007" s="179"/>
      <c r="J3007" s="344"/>
      <c r="K3007" s="345"/>
      <c r="L3007" s="346"/>
      <c r="M3007" s="347"/>
      <c r="N3007" s="347"/>
      <c r="O3007" s="132"/>
    </row>
    <row r="3008" spans="2:15" ht="26.25" customHeight="1" x14ac:dyDescent="0.25">
      <c r="B3008" s="130"/>
      <c r="C3008" s="135"/>
      <c r="D3008" s="177"/>
      <c r="E3008" s="178"/>
      <c r="F3008" s="178"/>
      <c r="G3008" s="340"/>
      <c r="H3008" s="340"/>
      <c r="I3008" s="179"/>
      <c r="J3008" s="344"/>
      <c r="K3008" s="345"/>
      <c r="L3008" s="346"/>
      <c r="M3008" s="347"/>
      <c r="N3008" s="347"/>
      <c r="O3008" s="132"/>
    </row>
    <row r="3009" spans="2:15" ht="26.25" customHeight="1" x14ac:dyDescent="0.25">
      <c r="B3009" s="130"/>
      <c r="C3009" s="135"/>
      <c r="D3009" s="177"/>
      <c r="E3009" s="178"/>
      <c r="F3009" s="178"/>
      <c r="G3009" s="340"/>
      <c r="H3009" s="340"/>
      <c r="I3009" s="179"/>
      <c r="J3009" s="344"/>
      <c r="K3009" s="345"/>
      <c r="L3009" s="346"/>
      <c r="M3009" s="347"/>
      <c r="N3009" s="347"/>
      <c r="O3009" s="132"/>
    </row>
    <row r="3010" spans="2:15" ht="26.25" customHeight="1" x14ac:dyDescent="0.25">
      <c r="B3010" s="130"/>
      <c r="C3010" s="135"/>
      <c r="D3010" s="177"/>
      <c r="E3010" s="178"/>
      <c r="F3010" s="178"/>
      <c r="G3010" s="340"/>
      <c r="H3010" s="340"/>
      <c r="I3010" s="179"/>
      <c r="J3010" s="344"/>
      <c r="K3010" s="345"/>
      <c r="L3010" s="346"/>
      <c r="M3010" s="347"/>
      <c r="N3010" s="347"/>
      <c r="O3010" s="132"/>
    </row>
    <row r="3011" spans="2:15" ht="26.25" customHeight="1" x14ac:dyDescent="0.25">
      <c r="B3011" s="130"/>
      <c r="C3011" s="135"/>
      <c r="D3011" s="177"/>
      <c r="E3011" s="178"/>
      <c r="F3011" s="178"/>
      <c r="G3011" s="340"/>
      <c r="H3011" s="340"/>
      <c r="I3011" s="179"/>
      <c r="J3011" s="344"/>
      <c r="K3011" s="345"/>
      <c r="L3011" s="346"/>
      <c r="M3011" s="347"/>
      <c r="N3011" s="347"/>
      <c r="O3011" s="132"/>
    </row>
    <row r="3012" spans="2:15" ht="26.25" customHeight="1" x14ac:dyDescent="0.25">
      <c r="B3012" s="130"/>
      <c r="C3012" s="135"/>
      <c r="D3012" s="177"/>
      <c r="E3012" s="178"/>
      <c r="F3012" s="178"/>
      <c r="G3012" s="340"/>
      <c r="H3012" s="340"/>
      <c r="I3012" s="179"/>
      <c r="J3012" s="344"/>
      <c r="K3012" s="345"/>
      <c r="L3012" s="346"/>
      <c r="M3012" s="347"/>
      <c r="N3012" s="347"/>
      <c r="O3012" s="132"/>
    </row>
    <row r="3013" spans="2:15" ht="26.25" customHeight="1" x14ac:dyDescent="0.25">
      <c r="B3013" s="130"/>
      <c r="C3013" s="135"/>
      <c r="D3013" s="177"/>
      <c r="E3013" s="178"/>
      <c r="F3013" s="178"/>
      <c r="G3013" s="340"/>
      <c r="H3013" s="340"/>
      <c r="I3013" s="179"/>
      <c r="J3013" s="344"/>
      <c r="K3013" s="345"/>
      <c r="L3013" s="346"/>
      <c r="M3013" s="347"/>
      <c r="N3013" s="347"/>
      <c r="O3013" s="132"/>
    </row>
    <row r="3014" spans="2:15" ht="26.25" customHeight="1" x14ac:dyDescent="0.25">
      <c r="B3014" s="130"/>
      <c r="C3014" s="135"/>
      <c r="D3014" s="177"/>
      <c r="E3014" s="178"/>
      <c r="F3014" s="178"/>
      <c r="G3014" s="340"/>
      <c r="H3014" s="340"/>
      <c r="I3014" s="179"/>
      <c r="J3014" s="344"/>
      <c r="K3014" s="345"/>
      <c r="L3014" s="346"/>
      <c r="M3014" s="347"/>
      <c r="N3014" s="347"/>
      <c r="O3014" s="132"/>
    </row>
    <row r="3015" spans="2:15" ht="26.25" customHeight="1" x14ac:dyDescent="0.25">
      <c r="B3015" s="130"/>
      <c r="C3015" s="135"/>
      <c r="D3015" s="177"/>
      <c r="E3015" s="178"/>
      <c r="F3015" s="178"/>
      <c r="G3015" s="340"/>
      <c r="H3015" s="340"/>
      <c r="I3015" s="179"/>
      <c r="J3015" s="344"/>
      <c r="K3015" s="345"/>
      <c r="L3015" s="346"/>
      <c r="M3015" s="347"/>
      <c r="N3015" s="347"/>
      <c r="O3015" s="132"/>
    </row>
    <row r="3016" spans="2:15" ht="26.25" customHeight="1" x14ac:dyDescent="0.25">
      <c r="B3016" s="130"/>
      <c r="C3016" s="135"/>
      <c r="D3016" s="177"/>
      <c r="E3016" s="178"/>
      <c r="F3016" s="178"/>
      <c r="G3016" s="340"/>
      <c r="H3016" s="340"/>
      <c r="I3016" s="179"/>
      <c r="J3016" s="344"/>
      <c r="K3016" s="345"/>
      <c r="L3016" s="346"/>
      <c r="M3016" s="347"/>
      <c r="N3016" s="347"/>
      <c r="O3016" s="132"/>
    </row>
    <row r="3017" spans="2:15" ht="26.25" customHeight="1" x14ac:dyDescent="0.25">
      <c r="B3017" s="130"/>
      <c r="C3017" s="135"/>
      <c r="D3017" s="177"/>
      <c r="E3017" s="178"/>
      <c r="F3017" s="178"/>
      <c r="G3017" s="340"/>
      <c r="H3017" s="340"/>
      <c r="I3017" s="179"/>
      <c r="J3017" s="344"/>
      <c r="K3017" s="345"/>
      <c r="L3017" s="346"/>
      <c r="M3017" s="347"/>
      <c r="N3017" s="347"/>
      <c r="O3017" s="132"/>
    </row>
    <row r="3018" spans="2:15" ht="26.25" customHeight="1" x14ac:dyDescent="0.25">
      <c r="B3018" s="130"/>
      <c r="C3018" s="135"/>
      <c r="D3018" s="177"/>
      <c r="E3018" s="178"/>
      <c r="F3018" s="178"/>
      <c r="G3018" s="340"/>
      <c r="H3018" s="340"/>
      <c r="I3018" s="179"/>
      <c r="J3018" s="344"/>
      <c r="K3018" s="345"/>
      <c r="L3018" s="346"/>
      <c r="M3018" s="347"/>
      <c r="N3018" s="347"/>
      <c r="O3018" s="132"/>
    </row>
    <row r="3019" spans="2:15" ht="26.25" customHeight="1" x14ac:dyDescent="0.25">
      <c r="B3019" s="130"/>
      <c r="C3019" s="135"/>
      <c r="D3019" s="177"/>
      <c r="E3019" s="178"/>
      <c r="F3019" s="178"/>
      <c r="G3019" s="340"/>
      <c r="H3019" s="340"/>
      <c r="I3019" s="179"/>
      <c r="J3019" s="344"/>
      <c r="K3019" s="345"/>
      <c r="L3019" s="346"/>
      <c r="M3019" s="347"/>
      <c r="N3019" s="347"/>
      <c r="O3019" s="132"/>
    </row>
    <row r="3020" spans="2:15" ht="26.25" customHeight="1" x14ac:dyDescent="0.25">
      <c r="B3020" s="130"/>
      <c r="C3020" s="135"/>
      <c r="D3020" s="177"/>
      <c r="E3020" s="178"/>
      <c r="F3020" s="178"/>
      <c r="G3020" s="340"/>
      <c r="H3020" s="340"/>
      <c r="I3020" s="179"/>
      <c r="J3020" s="344"/>
      <c r="K3020" s="345"/>
      <c r="L3020" s="346"/>
      <c r="M3020" s="347"/>
      <c r="N3020" s="347"/>
      <c r="O3020" s="132"/>
    </row>
    <row r="3021" spans="2:15" ht="26.25" customHeight="1" x14ac:dyDescent="0.25">
      <c r="B3021" s="130"/>
      <c r="C3021" s="135"/>
      <c r="D3021" s="177"/>
      <c r="E3021" s="178"/>
      <c r="F3021" s="178"/>
      <c r="G3021" s="340"/>
      <c r="H3021" s="340"/>
      <c r="I3021" s="179"/>
      <c r="J3021" s="344"/>
      <c r="K3021" s="345"/>
      <c r="L3021" s="346"/>
      <c r="M3021" s="347"/>
      <c r="N3021" s="347"/>
      <c r="O3021" s="132"/>
    </row>
    <row r="3022" spans="2:15" ht="26.25" customHeight="1" x14ac:dyDescent="0.25">
      <c r="B3022" s="130"/>
      <c r="C3022" s="135"/>
      <c r="D3022" s="177"/>
      <c r="E3022" s="178"/>
      <c r="F3022" s="178"/>
      <c r="G3022" s="340"/>
      <c r="H3022" s="340"/>
      <c r="I3022" s="179"/>
      <c r="J3022" s="344"/>
      <c r="K3022" s="345"/>
      <c r="L3022" s="346"/>
      <c r="M3022" s="347"/>
      <c r="N3022" s="347"/>
      <c r="O3022" s="132"/>
    </row>
    <row r="3023" spans="2:15" ht="26.25" customHeight="1" x14ac:dyDescent="0.25">
      <c r="B3023" s="130"/>
      <c r="C3023" s="135"/>
      <c r="D3023" s="177"/>
      <c r="E3023" s="178"/>
      <c r="F3023" s="178"/>
      <c r="G3023" s="340"/>
      <c r="H3023" s="340"/>
      <c r="I3023" s="179"/>
      <c r="J3023" s="344"/>
      <c r="K3023" s="345"/>
      <c r="L3023" s="346"/>
      <c r="M3023" s="347"/>
      <c r="N3023" s="347"/>
      <c r="O3023" s="132"/>
    </row>
    <row r="3024" spans="2:15" ht="26.25" customHeight="1" x14ac:dyDescent="0.25">
      <c r="B3024" s="130"/>
      <c r="C3024" s="135"/>
      <c r="D3024" s="177"/>
      <c r="E3024" s="178"/>
      <c r="F3024" s="178"/>
      <c r="G3024" s="340"/>
      <c r="H3024" s="340"/>
      <c r="I3024" s="179"/>
      <c r="J3024" s="344"/>
      <c r="K3024" s="345"/>
      <c r="L3024" s="346"/>
      <c r="M3024" s="347"/>
      <c r="N3024" s="347"/>
      <c r="O3024" s="132"/>
    </row>
    <row r="3025" spans="2:15" ht="26.25" customHeight="1" x14ac:dyDescent="0.25">
      <c r="B3025" s="130"/>
      <c r="C3025" s="135"/>
      <c r="D3025" s="177"/>
      <c r="E3025" s="178"/>
      <c r="F3025" s="178"/>
      <c r="G3025" s="340"/>
      <c r="H3025" s="340"/>
      <c r="I3025" s="179"/>
      <c r="J3025" s="344"/>
      <c r="K3025" s="345"/>
      <c r="L3025" s="346"/>
      <c r="M3025" s="347"/>
      <c r="N3025" s="347"/>
      <c r="O3025" s="132"/>
    </row>
    <row r="3026" spans="2:15" ht="26.25" customHeight="1" x14ac:dyDescent="0.25">
      <c r="B3026" s="130"/>
      <c r="C3026" s="135"/>
      <c r="D3026" s="177"/>
      <c r="E3026" s="178"/>
      <c r="F3026" s="178"/>
      <c r="G3026" s="340"/>
      <c r="H3026" s="340"/>
      <c r="I3026" s="179"/>
      <c r="J3026" s="344"/>
      <c r="K3026" s="345"/>
      <c r="L3026" s="346"/>
      <c r="M3026" s="347"/>
      <c r="N3026" s="347"/>
      <c r="O3026" s="132"/>
    </row>
    <row r="3027" spans="2:15" ht="26.25" customHeight="1" x14ac:dyDescent="0.25">
      <c r="B3027" s="130"/>
      <c r="C3027" s="135"/>
      <c r="D3027" s="177"/>
      <c r="E3027" s="178"/>
      <c r="F3027" s="178"/>
      <c r="G3027" s="340"/>
      <c r="H3027" s="340"/>
      <c r="I3027" s="179"/>
      <c r="J3027" s="344"/>
      <c r="K3027" s="345"/>
      <c r="L3027" s="346"/>
      <c r="M3027" s="347"/>
      <c r="N3027" s="347"/>
      <c r="O3027" s="132"/>
    </row>
    <row r="3028" spans="2:15" ht="26.25" customHeight="1" x14ac:dyDescent="0.25">
      <c r="B3028" s="130"/>
      <c r="C3028" s="135"/>
      <c r="D3028" s="177"/>
      <c r="E3028" s="178"/>
      <c r="F3028" s="178"/>
      <c r="G3028" s="340"/>
      <c r="H3028" s="340"/>
      <c r="I3028" s="179"/>
      <c r="J3028" s="344"/>
      <c r="K3028" s="345"/>
      <c r="L3028" s="346"/>
      <c r="M3028" s="347"/>
      <c r="N3028" s="347"/>
      <c r="O3028" s="132"/>
    </row>
    <row r="3029" spans="2:15" ht="26.25" customHeight="1" x14ac:dyDescent="0.25">
      <c r="B3029" s="130"/>
      <c r="C3029" s="135"/>
      <c r="D3029" s="177"/>
      <c r="E3029" s="178"/>
      <c r="F3029" s="178"/>
      <c r="G3029" s="340"/>
      <c r="H3029" s="340"/>
      <c r="I3029" s="179"/>
      <c r="J3029" s="344"/>
      <c r="K3029" s="345"/>
      <c r="L3029" s="346"/>
      <c r="M3029" s="347"/>
      <c r="N3029" s="347"/>
      <c r="O3029" s="132"/>
    </row>
    <row r="3030" spans="2:15" ht="26.25" customHeight="1" x14ac:dyDescent="0.25">
      <c r="B3030" s="130"/>
      <c r="C3030" s="135"/>
      <c r="D3030" s="177"/>
      <c r="E3030" s="178"/>
      <c r="F3030" s="178"/>
      <c r="G3030" s="340"/>
      <c r="H3030" s="340"/>
      <c r="I3030" s="179"/>
      <c r="J3030" s="344"/>
      <c r="K3030" s="345"/>
      <c r="L3030" s="346"/>
      <c r="M3030" s="347"/>
      <c r="N3030" s="347"/>
      <c r="O3030" s="132"/>
    </row>
    <row r="3031" spans="2:15" ht="26.25" customHeight="1" x14ac:dyDescent="0.25">
      <c r="B3031" s="130"/>
      <c r="C3031" s="135"/>
      <c r="D3031" s="177"/>
      <c r="E3031" s="178"/>
      <c r="F3031" s="178"/>
      <c r="G3031" s="340"/>
      <c r="H3031" s="340"/>
      <c r="I3031" s="179"/>
      <c r="J3031" s="344"/>
      <c r="K3031" s="345"/>
      <c r="L3031" s="346"/>
      <c r="M3031" s="347"/>
      <c r="N3031" s="347"/>
      <c r="O3031" s="132"/>
    </row>
    <row r="3032" spans="2:15" ht="26.25" customHeight="1" x14ac:dyDescent="0.25">
      <c r="B3032" s="130"/>
      <c r="C3032" s="135"/>
      <c r="D3032" s="177"/>
      <c r="E3032" s="178"/>
      <c r="F3032" s="178"/>
      <c r="G3032" s="340"/>
      <c r="H3032" s="340"/>
      <c r="I3032" s="179"/>
      <c r="J3032" s="344"/>
      <c r="K3032" s="345"/>
      <c r="L3032" s="346"/>
      <c r="M3032" s="347"/>
      <c r="N3032" s="347"/>
      <c r="O3032" s="132"/>
    </row>
    <row r="3033" spans="2:15" ht="26.25" customHeight="1" x14ac:dyDescent="0.25">
      <c r="B3033" s="130"/>
      <c r="C3033" s="135"/>
      <c r="D3033" s="177"/>
      <c r="E3033" s="178"/>
      <c r="F3033" s="178"/>
      <c r="G3033" s="340"/>
      <c r="H3033" s="340"/>
      <c r="I3033" s="179"/>
      <c r="J3033" s="344"/>
      <c r="K3033" s="345"/>
      <c r="L3033" s="346"/>
      <c r="M3033" s="347"/>
      <c r="N3033" s="347"/>
      <c r="O3033" s="132"/>
    </row>
    <row r="3034" spans="2:15" ht="26.25" customHeight="1" x14ac:dyDescent="0.25">
      <c r="B3034" s="130"/>
      <c r="C3034" s="135"/>
      <c r="D3034" s="177"/>
      <c r="E3034" s="178"/>
      <c r="F3034" s="178"/>
      <c r="G3034" s="340"/>
      <c r="H3034" s="340"/>
      <c r="I3034" s="179"/>
      <c r="J3034" s="344"/>
      <c r="K3034" s="345"/>
      <c r="L3034" s="346"/>
      <c r="M3034" s="347"/>
      <c r="N3034" s="347"/>
      <c r="O3034" s="132"/>
    </row>
    <row r="3035" spans="2:15" ht="26.25" customHeight="1" x14ac:dyDescent="0.25">
      <c r="B3035" s="130"/>
      <c r="C3035" s="135"/>
      <c r="D3035" s="177"/>
      <c r="E3035" s="178"/>
      <c r="F3035" s="178"/>
      <c r="G3035" s="340"/>
      <c r="H3035" s="340"/>
      <c r="I3035" s="179"/>
      <c r="J3035" s="344"/>
      <c r="K3035" s="345"/>
      <c r="L3035" s="346"/>
      <c r="M3035" s="347"/>
      <c r="N3035" s="347"/>
      <c r="O3035" s="132"/>
    </row>
    <row r="3036" spans="2:15" ht="26.25" customHeight="1" x14ac:dyDescent="0.25">
      <c r="B3036" s="130"/>
      <c r="C3036" s="135"/>
      <c r="D3036" s="177"/>
      <c r="E3036" s="178"/>
      <c r="F3036" s="178"/>
      <c r="G3036" s="340"/>
      <c r="H3036" s="340"/>
      <c r="I3036" s="179"/>
      <c r="J3036" s="344"/>
      <c r="K3036" s="345"/>
      <c r="L3036" s="346"/>
      <c r="M3036" s="347"/>
      <c r="N3036" s="347"/>
      <c r="O3036" s="132"/>
    </row>
    <row r="3037" spans="2:15" ht="26.25" customHeight="1" x14ac:dyDescent="0.25">
      <c r="B3037" s="130"/>
      <c r="C3037" s="135"/>
      <c r="D3037" s="177"/>
      <c r="E3037" s="178"/>
      <c r="F3037" s="178"/>
      <c r="G3037" s="340"/>
      <c r="H3037" s="340"/>
      <c r="I3037" s="179"/>
      <c r="J3037" s="344"/>
      <c r="K3037" s="345"/>
      <c r="L3037" s="346"/>
      <c r="M3037" s="347"/>
      <c r="N3037" s="347"/>
      <c r="O3037" s="132"/>
    </row>
    <row r="3038" spans="2:15" ht="26.25" customHeight="1" x14ac:dyDescent="0.25">
      <c r="B3038" s="130"/>
      <c r="C3038" s="135"/>
      <c r="D3038" s="177"/>
      <c r="E3038" s="178"/>
      <c r="F3038" s="178"/>
      <c r="G3038" s="340"/>
      <c r="H3038" s="340"/>
      <c r="I3038" s="179"/>
      <c r="J3038" s="344"/>
      <c r="K3038" s="345"/>
      <c r="L3038" s="346"/>
      <c r="M3038" s="347"/>
      <c r="N3038" s="347"/>
      <c r="O3038" s="132"/>
    </row>
    <row r="3039" spans="2:15" ht="26.25" customHeight="1" x14ac:dyDescent="0.25">
      <c r="B3039" s="130"/>
      <c r="C3039" s="135"/>
      <c r="D3039" s="177"/>
      <c r="E3039" s="178"/>
      <c r="F3039" s="178"/>
      <c r="G3039" s="340"/>
      <c r="H3039" s="340"/>
      <c r="I3039" s="179"/>
      <c r="J3039" s="344"/>
      <c r="K3039" s="345"/>
      <c r="L3039" s="346"/>
      <c r="M3039" s="347"/>
      <c r="N3039" s="347"/>
      <c r="O3039" s="132"/>
    </row>
    <row r="3040" spans="2:15" ht="26.25" customHeight="1" x14ac:dyDescent="0.25">
      <c r="B3040" s="130"/>
      <c r="C3040" s="135"/>
      <c r="D3040" s="177"/>
      <c r="E3040" s="178"/>
      <c r="F3040" s="178"/>
      <c r="G3040" s="340"/>
      <c r="H3040" s="340"/>
      <c r="I3040" s="179"/>
      <c r="J3040" s="344"/>
      <c r="K3040" s="345"/>
      <c r="L3040" s="346"/>
      <c r="M3040" s="347"/>
      <c r="N3040" s="347"/>
      <c r="O3040" s="132"/>
    </row>
    <row r="3041" spans="2:15" ht="26.25" customHeight="1" x14ac:dyDescent="0.25">
      <c r="B3041" s="130"/>
      <c r="C3041" s="135"/>
      <c r="D3041" s="177"/>
      <c r="E3041" s="178"/>
      <c r="F3041" s="178"/>
      <c r="G3041" s="340"/>
      <c r="H3041" s="340"/>
      <c r="I3041" s="179"/>
      <c r="J3041" s="344"/>
      <c r="K3041" s="345"/>
      <c r="L3041" s="346"/>
      <c r="M3041" s="347"/>
      <c r="N3041" s="347"/>
      <c r="O3041" s="132"/>
    </row>
    <row r="3042" spans="2:15" ht="26.25" customHeight="1" x14ac:dyDescent="0.25">
      <c r="B3042" s="130"/>
      <c r="C3042" s="135"/>
      <c r="D3042" s="177"/>
      <c r="E3042" s="178"/>
      <c r="F3042" s="178"/>
      <c r="G3042" s="340"/>
      <c r="H3042" s="340"/>
      <c r="I3042" s="179"/>
      <c r="J3042" s="344"/>
      <c r="K3042" s="345"/>
      <c r="L3042" s="346"/>
      <c r="M3042" s="347"/>
      <c r="N3042" s="347"/>
      <c r="O3042" s="132"/>
    </row>
    <row r="3043" spans="2:15" ht="26.25" customHeight="1" x14ac:dyDescent="0.25">
      <c r="B3043" s="130"/>
      <c r="C3043" s="135"/>
      <c r="D3043" s="177"/>
      <c r="E3043" s="178"/>
      <c r="F3043" s="178"/>
      <c r="G3043" s="340"/>
      <c r="H3043" s="340"/>
      <c r="I3043" s="179"/>
      <c r="J3043" s="344"/>
      <c r="K3043" s="345"/>
      <c r="L3043" s="346"/>
      <c r="M3043" s="347"/>
      <c r="N3043" s="347"/>
      <c r="O3043" s="132"/>
    </row>
    <row r="3044" spans="2:15" ht="26.25" customHeight="1" x14ac:dyDescent="0.25">
      <c r="B3044" s="130"/>
      <c r="C3044" s="135"/>
      <c r="D3044" s="177"/>
      <c r="E3044" s="178"/>
      <c r="F3044" s="178"/>
      <c r="G3044" s="340"/>
      <c r="H3044" s="340"/>
      <c r="I3044" s="179"/>
      <c r="J3044" s="344"/>
      <c r="K3044" s="345"/>
      <c r="L3044" s="346"/>
      <c r="M3044" s="347"/>
      <c r="N3044" s="347"/>
      <c r="O3044" s="132"/>
    </row>
    <row r="3045" spans="2:15" ht="26.25" customHeight="1" x14ac:dyDescent="0.25">
      <c r="B3045" s="130"/>
      <c r="C3045" s="135"/>
      <c r="D3045" s="177"/>
      <c r="E3045" s="178"/>
      <c r="F3045" s="178"/>
      <c r="G3045" s="340"/>
      <c r="H3045" s="340"/>
      <c r="I3045" s="179"/>
      <c r="J3045" s="344"/>
      <c r="K3045" s="345"/>
      <c r="L3045" s="346"/>
      <c r="M3045" s="347"/>
      <c r="N3045" s="347"/>
      <c r="O3045" s="132"/>
    </row>
    <row r="3046" spans="2:15" ht="26.25" customHeight="1" x14ac:dyDescent="0.25">
      <c r="B3046" s="130"/>
      <c r="C3046" s="135"/>
      <c r="D3046" s="177"/>
      <c r="E3046" s="178"/>
      <c r="F3046" s="178"/>
      <c r="G3046" s="340"/>
      <c r="H3046" s="340"/>
      <c r="I3046" s="179"/>
      <c r="J3046" s="344"/>
      <c r="K3046" s="345"/>
      <c r="L3046" s="346"/>
      <c r="M3046" s="347"/>
      <c r="N3046" s="347"/>
      <c r="O3046" s="132"/>
    </row>
    <row r="3047" spans="2:15" ht="26.25" customHeight="1" x14ac:dyDescent="0.25">
      <c r="B3047" s="130"/>
      <c r="C3047" s="135"/>
      <c r="D3047" s="177"/>
      <c r="E3047" s="178"/>
      <c r="F3047" s="178"/>
      <c r="G3047" s="340"/>
      <c r="H3047" s="340"/>
      <c r="I3047" s="179"/>
      <c r="J3047" s="344"/>
      <c r="K3047" s="345"/>
      <c r="L3047" s="346"/>
      <c r="M3047" s="347"/>
      <c r="N3047" s="347"/>
      <c r="O3047" s="132"/>
    </row>
    <row r="3048" spans="2:15" ht="26.25" customHeight="1" x14ac:dyDescent="0.25">
      <c r="B3048" s="130"/>
      <c r="C3048" s="135"/>
      <c r="D3048" s="177"/>
      <c r="E3048" s="178"/>
      <c r="F3048" s="178"/>
      <c r="G3048" s="340"/>
      <c r="H3048" s="340"/>
      <c r="I3048" s="179"/>
      <c r="J3048" s="344"/>
      <c r="K3048" s="345"/>
      <c r="L3048" s="346"/>
      <c r="M3048" s="347"/>
      <c r="N3048" s="347"/>
      <c r="O3048" s="132"/>
    </row>
    <row r="3049" spans="2:15" ht="26.25" customHeight="1" x14ac:dyDescent="0.25">
      <c r="B3049" s="130"/>
      <c r="C3049" s="135"/>
      <c r="D3049" s="177"/>
      <c r="E3049" s="178"/>
      <c r="F3049" s="178"/>
      <c r="G3049" s="340"/>
      <c r="H3049" s="340"/>
      <c r="I3049" s="179"/>
      <c r="J3049" s="344"/>
      <c r="K3049" s="345"/>
      <c r="L3049" s="346"/>
      <c r="M3049" s="347"/>
      <c r="N3049" s="347"/>
      <c r="O3049" s="132"/>
    </row>
    <row r="3050" spans="2:15" ht="26.25" customHeight="1" x14ac:dyDescent="0.25">
      <c r="B3050" s="130"/>
      <c r="C3050" s="135"/>
      <c r="D3050" s="177"/>
      <c r="E3050" s="178"/>
      <c r="F3050" s="178"/>
      <c r="G3050" s="340"/>
      <c r="H3050" s="340"/>
      <c r="I3050" s="179"/>
      <c r="J3050" s="344"/>
      <c r="K3050" s="345"/>
      <c r="L3050" s="346"/>
      <c r="M3050" s="347"/>
      <c r="N3050" s="347"/>
      <c r="O3050" s="132"/>
    </row>
    <row r="3051" spans="2:15" ht="26.25" customHeight="1" x14ac:dyDescent="0.25">
      <c r="B3051" s="130"/>
      <c r="C3051" s="135"/>
      <c r="D3051" s="177"/>
      <c r="E3051" s="178"/>
      <c r="F3051" s="178"/>
      <c r="G3051" s="340"/>
      <c r="H3051" s="340"/>
      <c r="I3051" s="179"/>
      <c r="J3051" s="344"/>
      <c r="K3051" s="345"/>
      <c r="L3051" s="346"/>
      <c r="M3051" s="347"/>
      <c r="N3051" s="347"/>
      <c r="O3051" s="132"/>
    </row>
    <row r="3052" spans="2:15" ht="26.25" customHeight="1" x14ac:dyDescent="0.25">
      <c r="B3052" s="130"/>
      <c r="C3052" s="135"/>
      <c r="D3052" s="177"/>
      <c r="E3052" s="178"/>
      <c r="F3052" s="178"/>
      <c r="G3052" s="340"/>
      <c r="H3052" s="340"/>
      <c r="I3052" s="179"/>
      <c r="J3052" s="344"/>
      <c r="K3052" s="345"/>
      <c r="L3052" s="346"/>
      <c r="M3052" s="347"/>
      <c r="N3052" s="347"/>
      <c r="O3052" s="132"/>
    </row>
    <row r="3053" spans="2:15" ht="26.25" customHeight="1" x14ac:dyDescent="0.25">
      <c r="B3053" s="130"/>
      <c r="C3053" s="135"/>
      <c r="D3053" s="177"/>
      <c r="E3053" s="178"/>
      <c r="F3053" s="178"/>
      <c r="G3053" s="340"/>
      <c r="H3053" s="340"/>
      <c r="I3053" s="179"/>
      <c r="J3053" s="344"/>
      <c r="K3053" s="345"/>
      <c r="L3053" s="346"/>
      <c r="M3053" s="347"/>
      <c r="N3053" s="347"/>
      <c r="O3053" s="132"/>
    </row>
    <row r="3054" spans="2:15" ht="26.25" customHeight="1" x14ac:dyDescent="0.25">
      <c r="B3054" s="130"/>
      <c r="C3054" s="135"/>
      <c r="D3054" s="177"/>
      <c r="E3054" s="178"/>
      <c r="F3054" s="178"/>
      <c r="G3054" s="340"/>
      <c r="H3054" s="340"/>
      <c r="I3054" s="179"/>
      <c r="J3054" s="344"/>
      <c r="K3054" s="345"/>
      <c r="L3054" s="346"/>
      <c r="M3054" s="347"/>
      <c r="N3054" s="347"/>
      <c r="O3054" s="132"/>
    </row>
    <row r="3055" spans="2:15" ht="26.25" customHeight="1" x14ac:dyDescent="0.25">
      <c r="B3055" s="130"/>
      <c r="C3055" s="135"/>
      <c r="D3055" s="177"/>
      <c r="E3055" s="178"/>
      <c r="F3055" s="178"/>
      <c r="G3055" s="340"/>
      <c r="H3055" s="340"/>
      <c r="I3055" s="179"/>
      <c r="J3055" s="344"/>
      <c r="K3055" s="345"/>
      <c r="L3055" s="346"/>
      <c r="M3055" s="347"/>
      <c r="N3055" s="347"/>
      <c r="O3055" s="132"/>
    </row>
    <row r="3056" spans="2:15" ht="26.25" customHeight="1" x14ac:dyDescent="0.25">
      <c r="B3056" s="130"/>
      <c r="C3056" s="135"/>
      <c r="D3056" s="177"/>
      <c r="E3056" s="178"/>
      <c r="F3056" s="178"/>
      <c r="G3056" s="340"/>
      <c r="H3056" s="340"/>
      <c r="I3056" s="179"/>
      <c r="J3056" s="344"/>
      <c r="K3056" s="345"/>
      <c r="L3056" s="346"/>
      <c r="M3056" s="347"/>
      <c r="N3056" s="347"/>
      <c r="O3056" s="132"/>
    </row>
    <row r="3057" spans="2:15" ht="26.25" customHeight="1" x14ac:dyDescent="0.25">
      <c r="B3057" s="130"/>
      <c r="C3057" s="135"/>
      <c r="D3057" s="177"/>
      <c r="E3057" s="178"/>
      <c r="F3057" s="178"/>
      <c r="G3057" s="340"/>
      <c r="H3057" s="340"/>
      <c r="I3057" s="179"/>
      <c r="J3057" s="344"/>
      <c r="K3057" s="345"/>
      <c r="L3057" s="346"/>
      <c r="M3057" s="347"/>
      <c r="N3057" s="347"/>
      <c r="O3057" s="132"/>
    </row>
    <row r="3058" spans="2:15" ht="26.25" customHeight="1" x14ac:dyDescent="0.25">
      <c r="B3058" s="130"/>
      <c r="C3058" s="135"/>
      <c r="D3058" s="177"/>
      <c r="E3058" s="178"/>
      <c r="F3058" s="178"/>
      <c r="G3058" s="340"/>
      <c r="H3058" s="340"/>
      <c r="I3058" s="179"/>
      <c r="J3058" s="344"/>
      <c r="K3058" s="345"/>
      <c r="L3058" s="346"/>
      <c r="M3058" s="347"/>
      <c r="N3058" s="347"/>
      <c r="O3058" s="132"/>
    </row>
    <row r="3059" spans="2:15" ht="26.25" customHeight="1" x14ac:dyDescent="0.25">
      <c r="B3059" s="130"/>
      <c r="C3059" s="135"/>
      <c r="D3059" s="177"/>
      <c r="E3059" s="178"/>
      <c r="F3059" s="178"/>
      <c r="G3059" s="340"/>
      <c r="H3059" s="340"/>
      <c r="I3059" s="179"/>
      <c r="J3059" s="344"/>
      <c r="K3059" s="345"/>
      <c r="L3059" s="346"/>
      <c r="M3059" s="347"/>
      <c r="N3059" s="347"/>
      <c r="O3059" s="132"/>
    </row>
    <row r="3060" spans="2:15" ht="26.25" customHeight="1" x14ac:dyDescent="0.25">
      <c r="B3060" s="130"/>
      <c r="C3060" s="135"/>
      <c r="D3060" s="177"/>
      <c r="E3060" s="178"/>
      <c r="F3060" s="178"/>
      <c r="G3060" s="340"/>
      <c r="H3060" s="340"/>
      <c r="I3060" s="179"/>
      <c r="J3060" s="344"/>
      <c r="K3060" s="345"/>
      <c r="L3060" s="346"/>
      <c r="M3060" s="347"/>
      <c r="N3060" s="347"/>
      <c r="O3060" s="132"/>
    </row>
    <row r="3061" spans="2:15" ht="26.25" customHeight="1" x14ac:dyDescent="0.25">
      <c r="B3061" s="130"/>
      <c r="C3061" s="135"/>
      <c r="D3061" s="177"/>
      <c r="E3061" s="178"/>
      <c r="F3061" s="178"/>
      <c r="G3061" s="340"/>
      <c r="H3061" s="340"/>
      <c r="I3061" s="179"/>
      <c r="J3061" s="344"/>
      <c r="K3061" s="345"/>
      <c r="L3061" s="346"/>
      <c r="M3061" s="347"/>
      <c r="N3061" s="347"/>
      <c r="O3061" s="132"/>
    </row>
    <row r="3062" spans="2:15" ht="26.25" customHeight="1" x14ac:dyDescent="0.25">
      <c r="B3062" s="130"/>
      <c r="C3062" s="135"/>
      <c r="D3062" s="177"/>
      <c r="E3062" s="178"/>
      <c r="F3062" s="178"/>
      <c r="G3062" s="340"/>
      <c r="H3062" s="340"/>
      <c r="I3062" s="179"/>
      <c r="J3062" s="344"/>
      <c r="K3062" s="345"/>
      <c r="L3062" s="346"/>
      <c r="M3062" s="347"/>
      <c r="N3062" s="347"/>
      <c r="O3062" s="132"/>
    </row>
    <row r="3063" spans="2:15" ht="26.25" customHeight="1" x14ac:dyDescent="0.25">
      <c r="B3063" s="130"/>
      <c r="C3063" s="135"/>
      <c r="D3063" s="177"/>
      <c r="E3063" s="178"/>
      <c r="F3063" s="178"/>
      <c r="G3063" s="340"/>
      <c r="H3063" s="340"/>
      <c r="I3063" s="179"/>
      <c r="J3063" s="344"/>
      <c r="K3063" s="345"/>
      <c r="L3063" s="346"/>
      <c r="M3063" s="347"/>
      <c r="N3063" s="347"/>
      <c r="O3063" s="132"/>
    </row>
    <row r="3064" spans="2:15" ht="26.25" customHeight="1" x14ac:dyDescent="0.25">
      <c r="B3064" s="130"/>
      <c r="C3064" s="135"/>
      <c r="D3064" s="177"/>
      <c r="E3064" s="178"/>
      <c r="F3064" s="178"/>
      <c r="G3064" s="340"/>
      <c r="H3064" s="340"/>
      <c r="I3064" s="179"/>
      <c r="J3064" s="344"/>
      <c r="K3064" s="345"/>
      <c r="L3064" s="346"/>
      <c r="M3064" s="347"/>
      <c r="N3064" s="347"/>
      <c r="O3064" s="132"/>
    </row>
    <row r="3065" spans="2:15" ht="26.25" customHeight="1" x14ac:dyDescent="0.25">
      <c r="B3065" s="130"/>
      <c r="C3065" s="135"/>
      <c r="D3065" s="177"/>
      <c r="E3065" s="178"/>
      <c r="F3065" s="178"/>
      <c r="G3065" s="340"/>
      <c r="H3065" s="340"/>
      <c r="I3065" s="179"/>
      <c r="J3065" s="344"/>
      <c r="K3065" s="345"/>
      <c r="L3065" s="346"/>
      <c r="M3065" s="347"/>
      <c r="N3065" s="347"/>
      <c r="O3065" s="132"/>
    </row>
    <row r="3066" spans="2:15" ht="26.25" customHeight="1" x14ac:dyDescent="0.25">
      <c r="B3066" s="130"/>
      <c r="C3066" s="135"/>
      <c r="D3066" s="177"/>
      <c r="E3066" s="178"/>
      <c r="F3066" s="178"/>
      <c r="G3066" s="340"/>
      <c r="H3066" s="340"/>
      <c r="I3066" s="179"/>
      <c r="J3066" s="344"/>
      <c r="K3066" s="345"/>
      <c r="L3066" s="346"/>
      <c r="M3066" s="347"/>
      <c r="N3066" s="347"/>
      <c r="O3066" s="132"/>
    </row>
    <row r="3067" spans="2:15" ht="26.25" customHeight="1" x14ac:dyDescent="0.25">
      <c r="B3067" s="130"/>
      <c r="C3067" s="135"/>
      <c r="D3067" s="177"/>
      <c r="E3067" s="178"/>
      <c r="F3067" s="178"/>
      <c r="G3067" s="340"/>
      <c r="H3067" s="340"/>
      <c r="I3067" s="179"/>
      <c r="J3067" s="344"/>
      <c r="K3067" s="345"/>
      <c r="L3067" s="346"/>
      <c r="M3067" s="347"/>
      <c r="N3067" s="347"/>
      <c r="O3067" s="132"/>
    </row>
    <row r="3068" spans="2:15" ht="26.25" customHeight="1" x14ac:dyDescent="0.25">
      <c r="B3068" s="130"/>
      <c r="C3068" s="135"/>
      <c r="D3068" s="177"/>
      <c r="E3068" s="178"/>
      <c r="F3068" s="178"/>
      <c r="G3068" s="340"/>
      <c r="H3068" s="340"/>
      <c r="I3068" s="179"/>
      <c r="J3068" s="344"/>
      <c r="K3068" s="345"/>
      <c r="L3068" s="346"/>
      <c r="M3068" s="347"/>
      <c r="N3068" s="347"/>
      <c r="O3068" s="132"/>
    </row>
    <row r="3069" spans="2:15" ht="26.25" customHeight="1" x14ac:dyDescent="0.25">
      <c r="B3069" s="130"/>
      <c r="C3069" s="135"/>
      <c r="D3069" s="177"/>
      <c r="E3069" s="178"/>
      <c r="F3069" s="178"/>
      <c r="G3069" s="340"/>
      <c r="H3069" s="340"/>
      <c r="I3069" s="179"/>
      <c r="J3069" s="344"/>
      <c r="K3069" s="345"/>
      <c r="L3069" s="346"/>
      <c r="M3069" s="347"/>
      <c r="N3069" s="347"/>
      <c r="O3069" s="132"/>
    </row>
    <row r="3070" spans="2:15" ht="26.25" customHeight="1" x14ac:dyDescent="0.25">
      <c r="B3070" s="130"/>
      <c r="C3070" s="135"/>
      <c r="D3070" s="177"/>
      <c r="E3070" s="178"/>
      <c r="F3070" s="178"/>
      <c r="G3070" s="340"/>
      <c r="H3070" s="340"/>
      <c r="I3070" s="179"/>
      <c r="J3070" s="344"/>
      <c r="K3070" s="345"/>
      <c r="L3070" s="346"/>
      <c r="M3070" s="347"/>
      <c r="N3070" s="347"/>
      <c r="O3070" s="132"/>
    </row>
    <row r="3071" spans="2:15" ht="26.25" customHeight="1" x14ac:dyDescent="0.25">
      <c r="B3071" s="130"/>
      <c r="C3071" s="135"/>
      <c r="D3071" s="177"/>
      <c r="E3071" s="178"/>
      <c r="F3071" s="178"/>
      <c r="G3071" s="340"/>
      <c r="H3071" s="340"/>
      <c r="I3071" s="179"/>
      <c r="J3071" s="344"/>
      <c r="K3071" s="345"/>
      <c r="L3071" s="346"/>
      <c r="M3071" s="347"/>
      <c r="N3071" s="347"/>
      <c r="O3071" s="132"/>
    </row>
    <row r="3072" spans="2:15" ht="26.25" customHeight="1" x14ac:dyDescent="0.25">
      <c r="B3072" s="130"/>
      <c r="C3072" s="135"/>
      <c r="D3072" s="177"/>
      <c r="E3072" s="178"/>
      <c r="F3072" s="178"/>
      <c r="G3072" s="340"/>
      <c r="H3072" s="340"/>
      <c r="I3072" s="179"/>
      <c r="J3072" s="344"/>
      <c r="K3072" s="345"/>
      <c r="L3072" s="346"/>
      <c r="M3072" s="347"/>
      <c r="N3072" s="347"/>
      <c r="O3072" s="132"/>
    </row>
    <row r="3073" spans="2:15" ht="26.25" customHeight="1" x14ac:dyDescent="0.25">
      <c r="B3073" s="130"/>
      <c r="C3073" s="135"/>
      <c r="D3073" s="177"/>
      <c r="E3073" s="178"/>
      <c r="F3073" s="178"/>
      <c r="G3073" s="340"/>
      <c r="H3073" s="340"/>
      <c r="I3073" s="179"/>
      <c r="J3073" s="344"/>
      <c r="K3073" s="345"/>
      <c r="L3073" s="346"/>
      <c r="M3073" s="347"/>
      <c r="N3073" s="347"/>
      <c r="O3073" s="132"/>
    </row>
    <row r="3074" spans="2:15" ht="26.25" customHeight="1" x14ac:dyDescent="0.25">
      <c r="B3074" s="130"/>
      <c r="C3074" s="135"/>
      <c r="D3074" s="177"/>
      <c r="E3074" s="178"/>
      <c r="F3074" s="178"/>
      <c r="G3074" s="340"/>
      <c r="H3074" s="340"/>
      <c r="I3074" s="179"/>
      <c r="J3074" s="344"/>
      <c r="K3074" s="345"/>
      <c r="L3074" s="346"/>
      <c r="M3074" s="347"/>
      <c r="N3074" s="347"/>
      <c r="O3074" s="132"/>
    </row>
    <row r="3075" spans="2:15" ht="26.25" customHeight="1" x14ac:dyDescent="0.25">
      <c r="B3075" s="130"/>
      <c r="C3075" s="135"/>
      <c r="D3075" s="177"/>
      <c r="E3075" s="178"/>
      <c r="F3075" s="178"/>
      <c r="G3075" s="340"/>
      <c r="H3075" s="340"/>
      <c r="I3075" s="179"/>
      <c r="J3075" s="344"/>
      <c r="K3075" s="345"/>
      <c r="L3075" s="346"/>
      <c r="M3075" s="347"/>
      <c r="N3075" s="347"/>
      <c r="O3075" s="132"/>
    </row>
    <row r="3076" spans="2:15" ht="26.25" customHeight="1" x14ac:dyDescent="0.25">
      <c r="B3076" s="130"/>
      <c r="C3076" s="135"/>
      <c r="D3076" s="177"/>
      <c r="E3076" s="178"/>
      <c r="F3076" s="178"/>
      <c r="G3076" s="340"/>
      <c r="H3076" s="340"/>
      <c r="I3076" s="179"/>
      <c r="J3076" s="344"/>
      <c r="K3076" s="345"/>
      <c r="L3076" s="346"/>
      <c r="M3076" s="347"/>
      <c r="N3076" s="347"/>
      <c r="O3076" s="132"/>
    </row>
    <row r="3077" spans="2:15" ht="26.25" customHeight="1" x14ac:dyDescent="0.25">
      <c r="B3077" s="130"/>
      <c r="C3077" s="135"/>
      <c r="D3077" s="177"/>
      <c r="E3077" s="178"/>
      <c r="F3077" s="178"/>
      <c r="G3077" s="340"/>
      <c r="H3077" s="340"/>
      <c r="I3077" s="179"/>
      <c r="J3077" s="344"/>
      <c r="K3077" s="345"/>
      <c r="L3077" s="346"/>
      <c r="M3077" s="347"/>
      <c r="N3077" s="347"/>
      <c r="O3077" s="132"/>
    </row>
    <row r="3078" spans="2:15" ht="26.25" customHeight="1" x14ac:dyDescent="0.25">
      <c r="B3078" s="130"/>
      <c r="C3078" s="135"/>
      <c r="D3078" s="177"/>
      <c r="E3078" s="178"/>
      <c r="F3078" s="178"/>
      <c r="G3078" s="340"/>
      <c r="H3078" s="340"/>
      <c r="I3078" s="179"/>
      <c r="J3078" s="344"/>
      <c r="K3078" s="345"/>
      <c r="L3078" s="346"/>
      <c r="M3078" s="347"/>
      <c r="N3078" s="347"/>
      <c r="O3078" s="132"/>
    </row>
    <row r="3079" spans="2:15" ht="26.25" customHeight="1" x14ac:dyDescent="0.25">
      <c r="B3079" s="130"/>
      <c r="C3079" s="135"/>
      <c r="D3079" s="177"/>
      <c r="E3079" s="178"/>
      <c r="F3079" s="178"/>
      <c r="G3079" s="340"/>
      <c r="H3079" s="340"/>
      <c r="I3079" s="179"/>
      <c r="J3079" s="344"/>
      <c r="K3079" s="345"/>
      <c r="L3079" s="346"/>
      <c r="M3079" s="347"/>
      <c r="N3079" s="347"/>
      <c r="O3079" s="132"/>
    </row>
    <row r="3080" spans="2:15" ht="26.25" customHeight="1" x14ac:dyDescent="0.25">
      <c r="B3080" s="130"/>
      <c r="C3080" s="135"/>
      <c r="D3080" s="177"/>
      <c r="E3080" s="178"/>
      <c r="F3080" s="178"/>
      <c r="G3080" s="340"/>
      <c r="H3080" s="340"/>
      <c r="I3080" s="179"/>
      <c r="J3080" s="344"/>
      <c r="K3080" s="345"/>
      <c r="L3080" s="346"/>
      <c r="M3080" s="347"/>
      <c r="N3080" s="347"/>
      <c r="O3080" s="132"/>
    </row>
    <row r="3081" spans="2:15" ht="26.25" customHeight="1" x14ac:dyDescent="0.25">
      <c r="B3081" s="130"/>
      <c r="C3081" s="135"/>
      <c r="D3081" s="177"/>
      <c r="E3081" s="178"/>
      <c r="F3081" s="178"/>
      <c r="G3081" s="340"/>
      <c r="H3081" s="340"/>
      <c r="I3081" s="179"/>
      <c r="J3081" s="344"/>
      <c r="K3081" s="345"/>
      <c r="L3081" s="346"/>
      <c r="M3081" s="347"/>
      <c r="N3081" s="347"/>
      <c r="O3081" s="132"/>
    </row>
    <row r="3082" spans="2:15" ht="26.25" customHeight="1" x14ac:dyDescent="0.25">
      <c r="B3082" s="130"/>
      <c r="C3082" s="135"/>
      <c r="D3082" s="177"/>
      <c r="E3082" s="178"/>
      <c r="F3082" s="178"/>
      <c r="G3082" s="340"/>
      <c r="H3082" s="340"/>
      <c r="I3082" s="179"/>
      <c r="J3082" s="344"/>
      <c r="K3082" s="345"/>
      <c r="L3082" s="346"/>
      <c r="M3082" s="347"/>
      <c r="N3082" s="347"/>
      <c r="O3082" s="132"/>
    </row>
    <row r="3083" spans="2:15" ht="26.25" customHeight="1" x14ac:dyDescent="0.25">
      <c r="B3083" s="130"/>
      <c r="C3083" s="135"/>
      <c r="D3083" s="177"/>
      <c r="E3083" s="178"/>
      <c r="F3083" s="178"/>
      <c r="G3083" s="340"/>
      <c r="H3083" s="340"/>
      <c r="I3083" s="179"/>
      <c r="J3083" s="344"/>
      <c r="K3083" s="345"/>
      <c r="L3083" s="346"/>
      <c r="M3083" s="347"/>
      <c r="N3083" s="347"/>
      <c r="O3083" s="132"/>
    </row>
    <row r="3084" spans="2:15" ht="26.25" customHeight="1" x14ac:dyDescent="0.25">
      <c r="B3084" s="130"/>
      <c r="C3084" s="135"/>
      <c r="D3084" s="177"/>
      <c r="E3084" s="178"/>
      <c r="F3084" s="178"/>
      <c r="G3084" s="340"/>
      <c r="H3084" s="340"/>
      <c r="I3084" s="179"/>
      <c r="J3084" s="344"/>
      <c r="K3084" s="345"/>
      <c r="L3084" s="346"/>
      <c r="M3084" s="347"/>
      <c r="N3084" s="347"/>
      <c r="O3084" s="132"/>
    </row>
    <row r="3085" spans="2:15" ht="26.25" customHeight="1" x14ac:dyDescent="0.25">
      <c r="B3085" s="130"/>
      <c r="C3085" s="135"/>
      <c r="D3085" s="177"/>
      <c r="E3085" s="178"/>
      <c r="F3085" s="178"/>
      <c r="G3085" s="340"/>
      <c r="H3085" s="340"/>
      <c r="I3085" s="179"/>
      <c r="J3085" s="344"/>
      <c r="K3085" s="345"/>
      <c r="L3085" s="346"/>
      <c r="M3085" s="347"/>
      <c r="N3085" s="347"/>
      <c r="O3085" s="132"/>
    </row>
    <row r="3086" spans="2:15" ht="26.25" customHeight="1" x14ac:dyDescent="0.25">
      <c r="B3086" s="130"/>
      <c r="C3086" s="135"/>
      <c r="D3086" s="177"/>
      <c r="E3086" s="178"/>
      <c r="F3086" s="178"/>
      <c r="G3086" s="340"/>
      <c r="H3086" s="340"/>
      <c r="I3086" s="179"/>
      <c r="J3086" s="344"/>
      <c r="K3086" s="345"/>
      <c r="L3086" s="346"/>
      <c r="M3086" s="347"/>
      <c r="N3086" s="347"/>
      <c r="O3086" s="132"/>
    </row>
    <row r="3087" spans="2:15" ht="26.25" customHeight="1" x14ac:dyDescent="0.25">
      <c r="B3087" s="130"/>
      <c r="C3087" s="135"/>
      <c r="D3087" s="177"/>
      <c r="E3087" s="178"/>
      <c r="F3087" s="178"/>
      <c r="G3087" s="340"/>
      <c r="H3087" s="340"/>
      <c r="I3087" s="179"/>
      <c r="J3087" s="344"/>
      <c r="K3087" s="345"/>
      <c r="L3087" s="346"/>
      <c r="M3087" s="347"/>
      <c r="N3087" s="347"/>
      <c r="O3087" s="132"/>
    </row>
    <row r="3088" spans="2:15" ht="26.25" customHeight="1" x14ac:dyDescent="0.25">
      <c r="B3088" s="130"/>
      <c r="C3088" s="135"/>
      <c r="D3088" s="177"/>
      <c r="E3088" s="178"/>
      <c r="F3088" s="178"/>
      <c r="G3088" s="340"/>
      <c r="H3088" s="340"/>
      <c r="I3088" s="179"/>
      <c r="J3088" s="344"/>
      <c r="K3088" s="345"/>
      <c r="L3088" s="346"/>
      <c r="M3088" s="347"/>
      <c r="N3088" s="347"/>
      <c r="O3088" s="132"/>
    </row>
    <row r="3089" spans="2:15" ht="26.25" customHeight="1" x14ac:dyDescent="0.25">
      <c r="B3089" s="130"/>
      <c r="C3089" s="135"/>
      <c r="D3089" s="177"/>
      <c r="E3089" s="178"/>
      <c r="F3089" s="178"/>
      <c r="G3089" s="340"/>
      <c r="H3089" s="340"/>
      <c r="I3089" s="179"/>
      <c r="J3089" s="344"/>
      <c r="K3089" s="345"/>
      <c r="L3089" s="346"/>
      <c r="M3089" s="347"/>
      <c r="N3089" s="347"/>
      <c r="O3089" s="132"/>
    </row>
    <row r="3090" spans="2:15" ht="26.25" customHeight="1" x14ac:dyDescent="0.25">
      <c r="B3090" s="130"/>
      <c r="C3090" s="135"/>
      <c r="D3090" s="177"/>
      <c r="E3090" s="178"/>
      <c r="F3090" s="178"/>
      <c r="G3090" s="340"/>
      <c r="H3090" s="340"/>
      <c r="I3090" s="179"/>
      <c r="J3090" s="344"/>
      <c r="K3090" s="345"/>
      <c r="L3090" s="346"/>
      <c r="M3090" s="347"/>
      <c r="N3090" s="347"/>
      <c r="O3090" s="132"/>
    </row>
    <row r="3091" spans="2:15" ht="26.25" customHeight="1" x14ac:dyDescent="0.25">
      <c r="B3091" s="130"/>
      <c r="C3091" s="135"/>
      <c r="D3091" s="177"/>
      <c r="E3091" s="178"/>
      <c r="F3091" s="178"/>
      <c r="G3091" s="340"/>
      <c r="H3091" s="340"/>
      <c r="I3091" s="179"/>
      <c r="J3091" s="344"/>
      <c r="K3091" s="345"/>
      <c r="L3091" s="346"/>
      <c r="M3091" s="347"/>
      <c r="N3091" s="347"/>
      <c r="O3091" s="132"/>
    </row>
    <row r="3092" spans="2:15" ht="26.25" customHeight="1" x14ac:dyDescent="0.25">
      <c r="B3092" s="130"/>
      <c r="C3092" s="135"/>
      <c r="D3092" s="177"/>
      <c r="E3092" s="178"/>
      <c r="F3092" s="178"/>
      <c r="G3092" s="340"/>
      <c r="H3092" s="340"/>
      <c r="I3092" s="179"/>
      <c r="J3092" s="344"/>
      <c r="K3092" s="345"/>
      <c r="L3092" s="346"/>
      <c r="M3092" s="347"/>
      <c r="N3092" s="347"/>
      <c r="O3092" s="132"/>
    </row>
    <row r="3093" spans="2:15" ht="26.25" customHeight="1" x14ac:dyDescent="0.25">
      <c r="B3093" s="130"/>
      <c r="C3093" s="135"/>
      <c r="D3093" s="177"/>
      <c r="E3093" s="178"/>
      <c r="F3093" s="178"/>
      <c r="G3093" s="340"/>
      <c r="H3093" s="340"/>
      <c r="I3093" s="179"/>
      <c r="J3093" s="344"/>
      <c r="K3093" s="345"/>
      <c r="L3093" s="346"/>
      <c r="M3093" s="347"/>
      <c r="N3093" s="347"/>
      <c r="O3093" s="132"/>
    </row>
    <row r="3094" spans="2:15" ht="26.25" customHeight="1" x14ac:dyDescent="0.25">
      <c r="B3094" s="130"/>
      <c r="C3094" s="135"/>
      <c r="D3094" s="177"/>
      <c r="E3094" s="178"/>
      <c r="F3094" s="178"/>
      <c r="G3094" s="340"/>
      <c r="H3094" s="340"/>
      <c r="I3094" s="179"/>
      <c r="J3094" s="344"/>
      <c r="K3094" s="345"/>
      <c r="L3094" s="346"/>
      <c r="M3094" s="347"/>
      <c r="N3094" s="347"/>
      <c r="O3094" s="132"/>
    </row>
    <row r="3095" spans="2:15" ht="26.25" customHeight="1" x14ac:dyDescent="0.25">
      <c r="B3095" s="130"/>
      <c r="C3095" s="135"/>
      <c r="D3095" s="177"/>
      <c r="E3095" s="178"/>
      <c r="F3095" s="178"/>
      <c r="G3095" s="340"/>
      <c r="H3095" s="340"/>
      <c r="I3095" s="179"/>
      <c r="J3095" s="344"/>
      <c r="K3095" s="345"/>
      <c r="L3095" s="346"/>
      <c r="M3095" s="347"/>
      <c r="N3095" s="347"/>
      <c r="O3095" s="132"/>
    </row>
    <row r="3096" spans="2:15" ht="26.25" customHeight="1" x14ac:dyDescent="0.25">
      <c r="B3096" s="130"/>
      <c r="C3096" s="135"/>
      <c r="D3096" s="177"/>
      <c r="E3096" s="178"/>
      <c r="F3096" s="178"/>
      <c r="G3096" s="340"/>
      <c r="H3096" s="340"/>
      <c r="I3096" s="179"/>
      <c r="J3096" s="344"/>
      <c r="K3096" s="345"/>
      <c r="L3096" s="346"/>
      <c r="M3096" s="347"/>
      <c r="N3096" s="347"/>
      <c r="O3096" s="132"/>
    </row>
    <row r="3097" spans="2:15" ht="26.25" customHeight="1" x14ac:dyDescent="0.25">
      <c r="B3097" s="130"/>
      <c r="C3097" s="135"/>
      <c r="D3097" s="177"/>
      <c r="E3097" s="178"/>
      <c r="F3097" s="178"/>
      <c r="G3097" s="340"/>
      <c r="H3097" s="340"/>
      <c r="I3097" s="179"/>
      <c r="J3097" s="344"/>
      <c r="K3097" s="345"/>
      <c r="L3097" s="346"/>
      <c r="M3097" s="347"/>
      <c r="N3097" s="347"/>
      <c r="O3097" s="132"/>
    </row>
    <row r="3098" spans="2:15" ht="26.25" customHeight="1" x14ac:dyDescent="0.25">
      <c r="B3098" s="130"/>
      <c r="C3098" s="135"/>
      <c r="D3098" s="177"/>
      <c r="E3098" s="178"/>
      <c r="F3098" s="178"/>
      <c r="G3098" s="340"/>
      <c r="H3098" s="340"/>
      <c r="I3098" s="179"/>
      <c r="J3098" s="344"/>
      <c r="K3098" s="345"/>
      <c r="L3098" s="346"/>
      <c r="M3098" s="347"/>
      <c r="N3098" s="347"/>
      <c r="O3098" s="132"/>
    </row>
    <row r="3099" spans="2:15" ht="26.25" customHeight="1" x14ac:dyDescent="0.25">
      <c r="B3099" s="130"/>
      <c r="C3099" s="135"/>
      <c r="D3099" s="177"/>
      <c r="E3099" s="178"/>
      <c r="F3099" s="178"/>
      <c r="G3099" s="340"/>
      <c r="H3099" s="340"/>
      <c r="I3099" s="179"/>
      <c r="J3099" s="344"/>
      <c r="K3099" s="345"/>
      <c r="L3099" s="346"/>
      <c r="M3099" s="347"/>
      <c r="N3099" s="347"/>
      <c r="O3099" s="132"/>
    </row>
    <row r="3100" spans="2:15" ht="26.25" customHeight="1" x14ac:dyDescent="0.25">
      <c r="B3100" s="130"/>
      <c r="C3100" s="135"/>
      <c r="D3100" s="177"/>
      <c r="E3100" s="178"/>
      <c r="F3100" s="178"/>
      <c r="G3100" s="340"/>
      <c r="H3100" s="340"/>
      <c r="I3100" s="179"/>
      <c r="J3100" s="344"/>
      <c r="K3100" s="345"/>
      <c r="L3100" s="346"/>
      <c r="M3100" s="347"/>
      <c r="N3100" s="347"/>
      <c r="O3100" s="132"/>
    </row>
    <row r="3101" spans="2:15" ht="26.25" customHeight="1" x14ac:dyDescent="0.25">
      <c r="B3101" s="130"/>
      <c r="C3101" s="135"/>
      <c r="D3101" s="177"/>
      <c r="E3101" s="178"/>
      <c r="F3101" s="178"/>
      <c r="G3101" s="340"/>
      <c r="H3101" s="340"/>
      <c r="I3101" s="179"/>
      <c r="J3101" s="344"/>
      <c r="K3101" s="345"/>
      <c r="L3101" s="346"/>
      <c r="M3101" s="347"/>
      <c r="N3101" s="347"/>
      <c r="O3101" s="132"/>
    </row>
    <row r="3102" spans="2:15" ht="26.25" customHeight="1" x14ac:dyDescent="0.25">
      <c r="B3102" s="130"/>
      <c r="C3102" s="135"/>
      <c r="D3102" s="177"/>
      <c r="E3102" s="178"/>
      <c r="F3102" s="178"/>
      <c r="G3102" s="340"/>
      <c r="H3102" s="340"/>
      <c r="I3102" s="179"/>
      <c r="J3102" s="344"/>
      <c r="K3102" s="345"/>
      <c r="L3102" s="346"/>
      <c r="M3102" s="347"/>
      <c r="N3102" s="347"/>
      <c r="O3102" s="132"/>
    </row>
    <row r="3103" spans="2:15" ht="26.25" customHeight="1" x14ac:dyDescent="0.25">
      <c r="B3103" s="130"/>
      <c r="C3103" s="135"/>
      <c r="D3103" s="177"/>
      <c r="E3103" s="178"/>
      <c r="F3103" s="178"/>
      <c r="G3103" s="340"/>
      <c r="H3103" s="340"/>
      <c r="I3103" s="179"/>
      <c r="J3103" s="344"/>
      <c r="K3103" s="345"/>
      <c r="L3103" s="346"/>
      <c r="M3103" s="347"/>
      <c r="N3103" s="347"/>
      <c r="O3103" s="132"/>
    </row>
    <row r="3104" spans="2:15" ht="26.25" customHeight="1" x14ac:dyDescent="0.25">
      <c r="B3104" s="130"/>
      <c r="C3104" s="135"/>
      <c r="D3104" s="177"/>
      <c r="E3104" s="178"/>
      <c r="F3104" s="178"/>
      <c r="G3104" s="340"/>
      <c r="H3104" s="340"/>
      <c r="I3104" s="179"/>
      <c r="J3104" s="344"/>
      <c r="K3104" s="345"/>
      <c r="L3104" s="346"/>
      <c r="M3104" s="347"/>
      <c r="N3104" s="347"/>
      <c r="O3104" s="132"/>
    </row>
    <row r="3105" spans="2:15" ht="26.25" customHeight="1" x14ac:dyDescent="0.25">
      <c r="B3105" s="130"/>
      <c r="C3105" s="135"/>
      <c r="D3105" s="177"/>
      <c r="E3105" s="178"/>
      <c r="F3105" s="178"/>
      <c r="G3105" s="340"/>
      <c r="H3105" s="340"/>
      <c r="I3105" s="179"/>
      <c r="J3105" s="344"/>
      <c r="K3105" s="345"/>
      <c r="L3105" s="346"/>
      <c r="M3105" s="347"/>
      <c r="N3105" s="347"/>
      <c r="O3105" s="132"/>
    </row>
    <row r="3106" spans="2:15" ht="26.25" customHeight="1" x14ac:dyDescent="0.25">
      <c r="B3106" s="130"/>
      <c r="C3106" s="135"/>
      <c r="D3106" s="177"/>
      <c r="E3106" s="178"/>
      <c r="F3106" s="178"/>
      <c r="G3106" s="340"/>
      <c r="H3106" s="340"/>
      <c r="I3106" s="179"/>
      <c r="J3106" s="344"/>
      <c r="K3106" s="345"/>
      <c r="L3106" s="346"/>
      <c r="M3106" s="347"/>
      <c r="N3106" s="347"/>
      <c r="O3106" s="132"/>
    </row>
    <row r="3107" spans="2:15" ht="26.25" customHeight="1" x14ac:dyDescent="0.25">
      <c r="B3107" s="130"/>
      <c r="C3107" s="135"/>
      <c r="D3107" s="177"/>
      <c r="E3107" s="178"/>
      <c r="F3107" s="178"/>
      <c r="G3107" s="340"/>
      <c r="H3107" s="340"/>
      <c r="I3107" s="179"/>
      <c r="J3107" s="344"/>
      <c r="K3107" s="345"/>
      <c r="L3107" s="346"/>
      <c r="M3107" s="347"/>
      <c r="N3107" s="347"/>
      <c r="O3107" s="132"/>
    </row>
    <row r="3108" spans="2:15" ht="26.25" customHeight="1" x14ac:dyDescent="0.25">
      <c r="B3108" s="130"/>
      <c r="C3108" s="135"/>
      <c r="D3108" s="177"/>
      <c r="E3108" s="178"/>
      <c r="F3108" s="178"/>
      <c r="G3108" s="340"/>
      <c r="H3108" s="340"/>
      <c r="I3108" s="179"/>
      <c r="J3108" s="344"/>
      <c r="K3108" s="345"/>
      <c r="L3108" s="346"/>
      <c r="M3108" s="347"/>
      <c r="N3108" s="347"/>
      <c r="O3108" s="132"/>
    </row>
    <row r="3109" spans="2:15" ht="26.25" customHeight="1" x14ac:dyDescent="0.25">
      <c r="B3109" s="130"/>
      <c r="C3109" s="135"/>
      <c r="D3109" s="177"/>
      <c r="E3109" s="178"/>
      <c r="F3109" s="178"/>
      <c r="G3109" s="340"/>
      <c r="H3109" s="340"/>
      <c r="I3109" s="179"/>
      <c r="J3109" s="344"/>
      <c r="K3109" s="345"/>
      <c r="L3109" s="346"/>
      <c r="M3109" s="347"/>
      <c r="N3109" s="347"/>
      <c r="O3109" s="132"/>
    </row>
    <row r="3110" spans="2:15" ht="26.25" customHeight="1" x14ac:dyDescent="0.25">
      <c r="B3110" s="130"/>
      <c r="C3110" s="135"/>
      <c r="D3110" s="177"/>
      <c r="E3110" s="178"/>
      <c r="F3110" s="178"/>
      <c r="G3110" s="340"/>
      <c r="H3110" s="340"/>
      <c r="I3110" s="179"/>
      <c r="J3110" s="344"/>
      <c r="K3110" s="345"/>
      <c r="L3110" s="346"/>
      <c r="M3110" s="347"/>
      <c r="N3110" s="347"/>
      <c r="O3110" s="132"/>
    </row>
    <row r="3111" spans="2:15" ht="26.25" customHeight="1" x14ac:dyDescent="0.25">
      <c r="B3111" s="130"/>
      <c r="C3111" s="135"/>
      <c r="D3111" s="177"/>
      <c r="E3111" s="178"/>
      <c r="F3111" s="178"/>
      <c r="G3111" s="340"/>
      <c r="H3111" s="340"/>
      <c r="I3111" s="179"/>
      <c r="J3111" s="344"/>
      <c r="K3111" s="345"/>
      <c r="L3111" s="346"/>
      <c r="M3111" s="347"/>
      <c r="N3111" s="347"/>
      <c r="O3111" s="132"/>
    </row>
    <row r="3112" spans="2:15" ht="26.25" customHeight="1" x14ac:dyDescent="0.25">
      <c r="B3112" s="130"/>
      <c r="C3112" s="135"/>
      <c r="D3112" s="177"/>
      <c r="E3112" s="178"/>
      <c r="F3112" s="178"/>
      <c r="G3112" s="340"/>
      <c r="H3112" s="340"/>
      <c r="I3112" s="179"/>
      <c r="J3112" s="344"/>
      <c r="K3112" s="345"/>
      <c r="L3112" s="346"/>
      <c r="M3112" s="347"/>
      <c r="N3112" s="347"/>
      <c r="O3112" s="132"/>
    </row>
    <row r="3113" spans="2:15" ht="26.25" customHeight="1" x14ac:dyDescent="0.25">
      <c r="B3113" s="130"/>
      <c r="C3113" s="135"/>
      <c r="D3113" s="177"/>
      <c r="E3113" s="178"/>
      <c r="F3113" s="178"/>
      <c r="G3113" s="340"/>
      <c r="H3113" s="340"/>
      <c r="I3113" s="179"/>
      <c r="J3113" s="344"/>
      <c r="K3113" s="345"/>
      <c r="L3113" s="346"/>
      <c r="M3113" s="347"/>
      <c r="N3113" s="347"/>
      <c r="O3113" s="132"/>
    </row>
    <row r="3114" spans="2:15" ht="26.25" customHeight="1" x14ac:dyDescent="0.25">
      <c r="B3114" s="130"/>
      <c r="C3114" s="135"/>
      <c r="D3114" s="177"/>
      <c r="E3114" s="178"/>
      <c r="F3114" s="178"/>
      <c r="G3114" s="340"/>
      <c r="H3114" s="340"/>
      <c r="I3114" s="179"/>
      <c r="J3114" s="344"/>
      <c r="K3114" s="345"/>
      <c r="L3114" s="346"/>
      <c r="M3114" s="347"/>
      <c r="N3114" s="347"/>
      <c r="O3114" s="132"/>
    </row>
    <row r="3115" spans="2:15" ht="26.25" customHeight="1" x14ac:dyDescent="0.25">
      <c r="B3115" s="130"/>
      <c r="C3115" s="135"/>
      <c r="D3115" s="177"/>
      <c r="E3115" s="178"/>
      <c r="F3115" s="178"/>
      <c r="G3115" s="340"/>
      <c r="H3115" s="340"/>
      <c r="I3115" s="179"/>
      <c r="J3115" s="344"/>
      <c r="K3115" s="345"/>
      <c r="L3115" s="346"/>
      <c r="M3115" s="347"/>
      <c r="N3115" s="347"/>
      <c r="O3115" s="132"/>
    </row>
    <row r="3116" spans="2:15" ht="26.25" customHeight="1" x14ac:dyDescent="0.25">
      <c r="B3116" s="130"/>
      <c r="C3116" s="135"/>
      <c r="D3116" s="177"/>
      <c r="E3116" s="178"/>
      <c r="F3116" s="178"/>
      <c r="G3116" s="340"/>
      <c r="H3116" s="340"/>
      <c r="I3116" s="179"/>
      <c r="J3116" s="344"/>
      <c r="K3116" s="345"/>
      <c r="L3116" s="346"/>
      <c r="M3116" s="347"/>
      <c r="N3116" s="347"/>
      <c r="O3116" s="132"/>
    </row>
    <row r="3117" spans="2:15" ht="26.25" customHeight="1" x14ac:dyDescent="0.25">
      <c r="B3117" s="130"/>
      <c r="C3117" s="135"/>
      <c r="D3117" s="177"/>
      <c r="E3117" s="178"/>
      <c r="F3117" s="178"/>
      <c r="G3117" s="340"/>
      <c r="H3117" s="340"/>
      <c r="I3117" s="179"/>
      <c r="J3117" s="344"/>
      <c r="K3117" s="345"/>
      <c r="L3117" s="346"/>
      <c r="M3117" s="347"/>
      <c r="N3117" s="347"/>
      <c r="O3117" s="132"/>
    </row>
    <row r="3118" spans="2:15" ht="26.25" customHeight="1" x14ac:dyDescent="0.25">
      <c r="B3118" s="130"/>
      <c r="C3118" s="135"/>
      <c r="D3118" s="177"/>
      <c r="E3118" s="178"/>
      <c r="F3118" s="178"/>
      <c r="G3118" s="340"/>
      <c r="H3118" s="340"/>
      <c r="I3118" s="179"/>
      <c r="J3118" s="344"/>
      <c r="K3118" s="345"/>
      <c r="L3118" s="346"/>
      <c r="M3118" s="347"/>
      <c r="N3118" s="347"/>
      <c r="O3118" s="132"/>
    </row>
    <row r="3119" spans="2:15" ht="26.25" customHeight="1" x14ac:dyDescent="0.25">
      <c r="B3119" s="130"/>
      <c r="C3119" s="135"/>
      <c r="D3119" s="177"/>
      <c r="E3119" s="178"/>
      <c r="F3119" s="178"/>
      <c r="G3119" s="340"/>
      <c r="H3119" s="340"/>
      <c r="I3119" s="179"/>
      <c r="J3119" s="344"/>
      <c r="K3119" s="345"/>
      <c r="L3119" s="346"/>
      <c r="M3119" s="347"/>
      <c r="N3119" s="347"/>
      <c r="O3119" s="132"/>
    </row>
    <row r="3120" spans="2:15" ht="26.25" customHeight="1" x14ac:dyDescent="0.25">
      <c r="B3120" s="130"/>
      <c r="C3120" s="135"/>
      <c r="D3120" s="177"/>
      <c r="E3120" s="178"/>
      <c r="F3120" s="178"/>
      <c r="G3120" s="340"/>
      <c r="H3120" s="340"/>
      <c r="I3120" s="179"/>
      <c r="J3120" s="344"/>
      <c r="K3120" s="345"/>
      <c r="L3120" s="346"/>
      <c r="M3120" s="347"/>
      <c r="N3120" s="347"/>
      <c r="O3120" s="132"/>
    </row>
    <row r="3121" spans="2:15" ht="26.25" customHeight="1" x14ac:dyDescent="0.25">
      <c r="B3121" s="130"/>
      <c r="C3121" s="135"/>
      <c r="D3121" s="177"/>
      <c r="E3121" s="178"/>
      <c r="F3121" s="178"/>
      <c r="G3121" s="340"/>
      <c r="H3121" s="340"/>
      <c r="I3121" s="179"/>
      <c r="J3121" s="344"/>
      <c r="K3121" s="345"/>
      <c r="L3121" s="346"/>
      <c r="M3121" s="347"/>
      <c r="N3121" s="347"/>
      <c r="O3121" s="132"/>
    </row>
    <row r="3122" spans="2:15" ht="26.25" customHeight="1" x14ac:dyDescent="0.25">
      <c r="B3122" s="130"/>
      <c r="C3122" s="135"/>
      <c r="D3122" s="177"/>
      <c r="E3122" s="178"/>
      <c r="F3122" s="178"/>
      <c r="G3122" s="340"/>
      <c r="H3122" s="340"/>
      <c r="I3122" s="179"/>
      <c r="J3122" s="344"/>
      <c r="K3122" s="345"/>
      <c r="L3122" s="346"/>
      <c r="M3122" s="347"/>
      <c r="N3122" s="347"/>
      <c r="O3122" s="132"/>
    </row>
    <row r="3123" spans="2:15" ht="26.25" customHeight="1" x14ac:dyDescent="0.25">
      <c r="B3123" s="130"/>
      <c r="C3123" s="135"/>
      <c r="D3123" s="177"/>
      <c r="E3123" s="178"/>
      <c r="F3123" s="178"/>
      <c r="G3123" s="340"/>
      <c r="H3123" s="340"/>
      <c r="I3123" s="179"/>
      <c r="J3123" s="344"/>
      <c r="K3123" s="345"/>
      <c r="L3123" s="346"/>
      <c r="M3123" s="347"/>
      <c r="N3123" s="347"/>
      <c r="O3123" s="132"/>
    </row>
    <row r="3124" spans="2:15" ht="26.25" customHeight="1" x14ac:dyDescent="0.25">
      <c r="B3124" s="130"/>
      <c r="C3124" s="135"/>
      <c r="D3124" s="177"/>
      <c r="E3124" s="178"/>
      <c r="F3124" s="178"/>
      <c r="G3124" s="340"/>
      <c r="H3124" s="340"/>
      <c r="I3124" s="179"/>
      <c r="J3124" s="344"/>
      <c r="K3124" s="345"/>
      <c r="L3124" s="346"/>
      <c r="M3124" s="347"/>
      <c r="N3124" s="347"/>
      <c r="O3124" s="132"/>
    </row>
    <row r="3125" spans="2:15" ht="26.25" customHeight="1" x14ac:dyDescent="0.25">
      <c r="B3125" s="130"/>
      <c r="C3125" s="135"/>
      <c r="D3125" s="177"/>
      <c r="E3125" s="178"/>
      <c r="F3125" s="178"/>
      <c r="G3125" s="340"/>
      <c r="H3125" s="340"/>
      <c r="I3125" s="179"/>
      <c r="J3125" s="344"/>
      <c r="K3125" s="345"/>
      <c r="L3125" s="346"/>
      <c r="M3125" s="347"/>
      <c r="N3125" s="347"/>
      <c r="O3125" s="132"/>
    </row>
    <row r="3126" spans="2:15" ht="26.25" customHeight="1" x14ac:dyDescent="0.25">
      <c r="B3126" s="130"/>
      <c r="C3126" s="135"/>
      <c r="D3126" s="177"/>
      <c r="E3126" s="178"/>
      <c r="F3126" s="178"/>
      <c r="G3126" s="340"/>
      <c r="H3126" s="340"/>
      <c r="I3126" s="179"/>
      <c r="J3126" s="344"/>
      <c r="K3126" s="345"/>
      <c r="L3126" s="346"/>
      <c r="M3126" s="347"/>
      <c r="N3126" s="347"/>
      <c r="O3126" s="132"/>
    </row>
    <row r="3127" spans="2:15" ht="26.25" customHeight="1" x14ac:dyDescent="0.25">
      <c r="B3127" s="130"/>
      <c r="C3127" s="135"/>
      <c r="D3127" s="177"/>
      <c r="E3127" s="178"/>
      <c r="F3127" s="178"/>
      <c r="G3127" s="340"/>
      <c r="H3127" s="340"/>
      <c r="I3127" s="179"/>
      <c r="J3127" s="344"/>
      <c r="K3127" s="345"/>
      <c r="L3127" s="346"/>
      <c r="M3127" s="347"/>
      <c r="N3127" s="347"/>
      <c r="O3127" s="132"/>
    </row>
    <row r="3128" spans="2:15" ht="26.25" customHeight="1" x14ac:dyDescent="0.25">
      <c r="B3128" s="130"/>
      <c r="C3128" s="135"/>
      <c r="D3128" s="177"/>
      <c r="E3128" s="178"/>
      <c r="F3128" s="178"/>
      <c r="G3128" s="340"/>
      <c r="H3128" s="340"/>
      <c r="I3128" s="179"/>
      <c r="J3128" s="344"/>
      <c r="K3128" s="345"/>
      <c r="L3128" s="346"/>
      <c r="M3128" s="347"/>
      <c r="N3128" s="347"/>
      <c r="O3128" s="132"/>
    </row>
    <row r="3129" spans="2:15" ht="26.25" customHeight="1" x14ac:dyDescent="0.25">
      <c r="B3129" s="130"/>
      <c r="C3129" s="135"/>
      <c r="D3129" s="177"/>
      <c r="E3129" s="178"/>
      <c r="F3129" s="178"/>
      <c r="G3129" s="340"/>
      <c r="H3129" s="340"/>
      <c r="I3129" s="179"/>
      <c r="J3129" s="344"/>
      <c r="K3129" s="345"/>
      <c r="L3129" s="346"/>
      <c r="M3129" s="347"/>
      <c r="N3129" s="347"/>
      <c r="O3129" s="132"/>
    </row>
    <row r="3130" spans="2:15" ht="26.25" customHeight="1" x14ac:dyDescent="0.25">
      <c r="B3130" s="130"/>
      <c r="C3130" s="135"/>
      <c r="D3130" s="177"/>
      <c r="E3130" s="178"/>
      <c r="F3130" s="178"/>
      <c r="G3130" s="340"/>
      <c r="H3130" s="340"/>
      <c r="I3130" s="179"/>
      <c r="J3130" s="344"/>
      <c r="K3130" s="345"/>
      <c r="L3130" s="346"/>
      <c r="M3130" s="347"/>
      <c r="N3130" s="347"/>
      <c r="O3130" s="132"/>
    </row>
    <row r="3131" spans="2:15" ht="26.25" customHeight="1" x14ac:dyDescent="0.25">
      <c r="B3131" s="130"/>
      <c r="C3131" s="135"/>
      <c r="D3131" s="177"/>
      <c r="E3131" s="178"/>
      <c r="F3131" s="178"/>
      <c r="G3131" s="340"/>
      <c r="H3131" s="340"/>
      <c r="I3131" s="179"/>
      <c r="J3131" s="344"/>
      <c r="K3131" s="345"/>
      <c r="L3131" s="346"/>
      <c r="M3131" s="347"/>
      <c r="N3131" s="347"/>
      <c r="O3131" s="132"/>
    </row>
    <row r="3132" spans="2:15" ht="26.25" customHeight="1" x14ac:dyDescent="0.25">
      <c r="B3132" s="130"/>
      <c r="C3132" s="135"/>
      <c r="D3132" s="177"/>
      <c r="E3132" s="178"/>
      <c r="F3132" s="178"/>
      <c r="G3132" s="340"/>
      <c r="H3132" s="340"/>
      <c r="I3132" s="179"/>
      <c r="J3132" s="344"/>
      <c r="K3132" s="345"/>
      <c r="L3132" s="346"/>
      <c r="M3132" s="347"/>
      <c r="N3132" s="347"/>
      <c r="O3132" s="132"/>
    </row>
    <row r="3133" spans="2:15" ht="26.25" customHeight="1" x14ac:dyDescent="0.25">
      <c r="B3133" s="130"/>
      <c r="C3133" s="135"/>
      <c r="D3133" s="177"/>
      <c r="E3133" s="178"/>
      <c r="F3133" s="178"/>
      <c r="G3133" s="340"/>
      <c r="H3133" s="340"/>
      <c r="I3133" s="179"/>
      <c r="J3133" s="344"/>
      <c r="K3133" s="345"/>
      <c r="L3133" s="346"/>
      <c r="M3133" s="347"/>
      <c r="N3133" s="347"/>
      <c r="O3133" s="132"/>
    </row>
    <row r="3134" spans="2:15" ht="26.25" customHeight="1" x14ac:dyDescent="0.25">
      <c r="B3134" s="130"/>
      <c r="C3134" s="135"/>
      <c r="D3134" s="177"/>
      <c r="E3134" s="178"/>
      <c r="F3134" s="178"/>
      <c r="G3134" s="340"/>
      <c r="H3134" s="340"/>
      <c r="I3134" s="179"/>
      <c r="J3134" s="344"/>
      <c r="K3134" s="345"/>
      <c r="L3134" s="346"/>
      <c r="M3134" s="347"/>
      <c r="N3134" s="347"/>
      <c r="O3134" s="132"/>
    </row>
    <row r="3135" spans="2:15" ht="26.25" customHeight="1" x14ac:dyDescent="0.25">
      <c r="B3135" s="130"/>
      <c r="C3135" s="135"/>
      <c r="D3135" s="177"/>
      <c r="E3135" s="178"/>
      <c r="F3135" s="178"/>
      <c r="G3135" s="340"/>
      <c r="H3135" s="340"/>
      <c r="I3135" s="179"/>
      <c r="J3135" s="344"/>
      <c r="K3135" s="345"/>
      <c r="L3135" s="346"/>
      <c r="M3135" s="347"/>
      <c r="N3135" s="347"/>
      <c r="O3135" s="132"/>
    </row>
    <row r="3136" spans="2:15" ht="26.25" customHeight="1" x14ac:dyDescent="0.25">
      <c r="B3136" s="130"/>
      <c r="C3136" s="135"/>
      <c r="D3136" s="177"/>
      <c r="E3136" s="178"/>
      <c r="F3136" s="178"/>
      <c r="G3136" s="340"/>
      <c r="H3136" s="340"/>
      <c r="I3136" s="179"/>
      <c r="J3136" s="344"/>
      <c r="K3136" s="345"/>
      <c r="L3136" s="346"/>
      <c r="M3136" s="347"/>
      <c r="N3136" s="347"/>
      <c r="O3136" s="132"/>
    </row>
    <row r="3137" spans="2:15" ht="26.25" customHeight="1" x14ac:dyDescent="0.25">
      <c r="B3137" s="130"/>
      <c r="C3137" s="135"/>
      <c r="D3137" s="177"/>
      <c r="E3137" s="178"/>
      <c r="F3137" s="178"/>
      <c r="G3137" s="340"/>
      <c r="H3137" s="340"/>
      <c r="I3137" s="179"/>
      <c r="J3137" s="344"/>
      <c r="K3137" s="345"/>
      <c r="L3137" s="346"/>
      <c r="M3137" s="347"/>
      <c r="N3137" s="347"/>
      <c r="O3137" s="132"/>
    </row>
    <row r="3138" spans="2:15" ht="26.25" customHeight="1" x14ac:dyDescent="0.25">
      <c r="B3138" s="130"/>
      <c r="C3138" s="135"/>
      <c r="D3138" s="177"/>
      <c r="E3138" s="178"/>
      <c r="F3138" s="178"/>
      <c r="G3138" s="340"/>
      <c r="H3138" s="340"/>
      <c r="I3138" s="179"/>
      <c r="J3138" s="344"/>
      <c r="K3138" s="345"/>
      <c r="L3138" s="346"/>
      <c r="M3138" s="347"/>
      <c r="N3138" s="347"/>
      <c r="O3138" s="132"/>
    </row>
    <row r="3139" spans="2:15" ht="26.25" customHeight="1" x14ac:dyDescent="0.25">
      <c r="B3139" s="130"/>
      <c r="C3139" s="135"/>
      <c r="D3139" s="177"/>
      <c r="E3139" s="178"/>
      <c r="F3139" s="178"/>
      <c r="G3139" s="340"/>
      <c r="H3139" s="340"/>
      <c r="I3139" s="179"/>
      <c r="J3139" s="344"/>
      <c r="K3139" s="345"/>
      <c r="L3139" s="346"/>
      <c r="M3139" s="347"/>
      <c r="N3139" s="347"/>
      <c r="O3139" s="132"/>
    </row>
    <row r="3140" spans="2:15" ht="26.25" customHeight="1" x14ac:dyDescent="0.25">
      <c r="B3140" s="130"/>
      <c r="C3140" s="135"/>
      <c r="D3140" s="177"/>
      <c r="E3140" s="178"/>
      <c r="F3140" s="178"/>
      <c r="G3140" s="340"/>
      <c r="H3140" s="340"/>
      <c r="I3140" s="179"/>
      <c r="J3140" s="344"/>
      <c r="K3140" s="345"/>
      <c r="L3140" s="346"/>
      <c r="M3140" s="347"/>
      <c r="N3140" s="347"/>
      <c r="O3140" s="132"/>
    </row>
    <row r="3141" spans="2:15" ht="26.25" customHeight="1" x14ac:dyDescent="0.25">
      <c r="B3141" s="130"/>
      <c r="C3141" s="135"/>
      <c r="D3141" s="177"/>
      <c r="E3141" s="178"/>
      <c r="F3141" s="178"/>
      <c r="G3141" s="340"/>
      <c r="H3141" s="340"/>
      <c r="I3141" s="179"/>
      <c r="J3141" s="344"/>
      <c r="K3141" s="345"/>
      <c r="L3141" s="346"/>
      <c r="M3141" s="347"/>
      <c r="N3141" s="347"/>
      <c r="O3141" s="132"/>
    </row>
    <row r="3142" spans="2:15" ht="26.25" customHeight="1" x14ac:dyDescent="0.25">
      <c r="B3142" s="130"/>
      <c r="C3142" s="135"/>
      <c r="D3142" s="177"/>
      <c r="E3142" s="178"/>
      <c r="F3142" s="178"/>
      <c r="G3142" s="340"/>
      <c r="H3142" s="340"/>
      <c r="I3142" s="179"/>
      <c r="J3142" s="344"/>
      <c r="K3142" s="345"/>
      <c r="L3142" s="346"/>
      <c r="M3142" s="347"/>
      <c r="N3142" s="347"/>
      <c r="O3142" s="132"/>
    </row>
    <row r="3143" spans="2:15" ht="26.25" customHeight="1" x14ac:dyDescent="0.25">
      <c r="B3143" s="130"/>
      <c r="C3143" s="135"/>
      <c r="D3143" s="177"/>
      <c r="E3143" s="178"/>
      <c r="F3143" s="178"/>
      <c r="G3143" s="340"/>
      <c r="H3143" s="340"/>
      <c r="I3143" s="179"/>
      <c r="J3143" s="344"/>
      <c r="K3143" s="345"/>
      <c r="L3143" s="346"/>
      <c r="M3143" s="347"/>
      <c r="N3143" s="347"/>
      <c r="O3143" s="132"/>
    </row>
    <row r="3144" spans="2:15" ht="26.25" customHeight="1" x14ac:dyDescent="0.25">
      <c r="B3144" s="130"/>
      <c r="C3144" s="135"/>
      <c r="D3144" s="177"/>
      <c r="E3144" s="178"/>
      <c r="F3144" s="178"/>
      <c r="G3144" s="340"/>
      <c r="H3144" s="340"/>
      <c r="I3144" s="179"/>
      <c r="J3144" s="344"/>
      <c r="K3144" s="345"/>
      <c r="L3144" s="346"/>
      <c r="M3144" s="347"/>
      <c r="N3144" s="347"/>
      <c r="O3144" s="132"/>
    </row>
    <row r="3145" spans="2:15" ht="26.25" customHeight="1" x14ac:dyDescent="0.25">
      <c r="B3145" s="130"/>
      <c r="C3145" s="135"/>
      <c r="D3145" s="177"/>
      <c r="E3145" s="178"/>
      <c r="F3145" s="178"/>
      <c r="G3145" s="340"/>
      <c r="H3145" s="340"/>
      <c r="I3145" s="179"/>
      <c r="J3145" s="344"/>
      <c r="K3145" s="345"/>
      <c r="L3145" s="346"/>
      <c r="M3145" s="347"/>
      <c r="N3145" s="347"/>
      <c r="O3145" s="132"/>
    </row>
    <row r="3146" spans="2:15" ht="26.25" customHeight="1" x14ac:dyDescent="0.25">
      <c r="B3146" s="130"/>
      <c r="C3146" s="135"/>
      <c r="D3146" s="177"/>
      <c r="E3146" s="178"/>
      <c r="F3146" s="178"/>
      <c r="G3146" s="340"/>
      <c r="H3146" s="340"/>
      <c r="I3146" s="179"/>
      <c r="J3146" s="344"/>
      <c r="K3146" s="345"/>
      <c r="L3146" s="346"/>
      <c r="M3146" s="347"/>
      <c r="N3146" s="347"/>
      <c r="O3146" s="132"/>
    </row>
    <row r="3147" spans="2:15" ht="26.25" customHeight="1" x14ac:dyDescent="0.25">
      <c r="B3147" s="130"/>
      <c r="C3147" s="135"/>
      <c r="D3147" s="177"/>
      <c r="E3147" s="178"/>
      <c r="F3147" s="178"/>
      <c r="G3147" s="340"/>
      <c r="H3147" s="340"/>
      <c r="I3147" s="179"/>
      <c r="J3147" s="344"/>
      <c r="K3147" s="345"/>
      <c r="L3147" s="346"/>
      <c r="M3147" s="347"/>
      <c r="N3147" s="347"/>
      <c r="O3147" s="132"/>
    </row>
    <row r="3148" spans="2:15" ht="26.25" customHeight="1" x14ac:dyDescent="0.25">
      <c r="B3148" s="130"/>
      <c r="C3148" s="135"/>
      <c r="D3148" s="177"/>
      <c r="E3148" s="178"/>
      <c r="F3148" s="178"/>
      <c r="G3148" s="340"/>
      <c r="H3148" s="340"/>
      <c r="I3148" s="179"/>
      <c r="J3148" s="344"/>
      <c r="K3148" s="345"/>
      <c r="L3148" s="346"/>
      <c r="M3148" s="347"/>
      <c r="N3148" s="347"/>
      <c r="O3148" s="132"/>
    </row>
    <row r="3149" spans="2:15" ht="26.25" customHeight="1" x14ac:dyDescent="0.25">
      <c r="B3149" s="130"/>
      <c r="C3149" s="135"/>
      <c r="D3149" s="177"/>
      <c r="E3149" s="178"/>
      <c r="F3149" s="178"/>
      <c r="G3149" s="340"/>
      <c r="H3149" s="340"/>
      <c r="I3149" s="179"/>
      <c r="J3149" s="344"/>
      <c r="K3149" s="345"/>
      <c r="L3149" s="346"/>
      <c r="M3149" s="347"/>
      <c r="N3149" s="347"/>
      <c r="O3149" s="132"/>
    </row>
    <row r="3150" spans="2:15" ht="26.25" customHeight="1" x14ac:dyDescent="0.25">
      <c r="B3150" s="130"/>
      <c r="C3150" s="135"/>
      <c r="D3150" s="177"/>
      <c r="E3150" s="178"/>
      <c r="F3150" s="178"/>
      <c r="G3150" s="340"/>
      <c r="H3150" s="340"/>
      <c r="I3150" s="179"/>
      <c r="J3150" s="344"/>
      <c r="K3150" s="345"/>
      <c r="L3150" s="346"/>
      <c r="M3150" s="347"/>
      <c r="N3150" s="347"/>
      <c r="O3150" s="132"/>
    </row>
    <row r="3151" spans="2:15" ht="26.25" customHeight="1" x14ac:dyDescent="0.25">
      <c r="B3151" s="130"/>
      <c r="C3151" s="135"/>
      <c r="D3151" s="177"/>
      <c r="E3151" s="178"/>
      <c r="F3151" s="178"/>
      <c r="G3151" s="340"/>
      <c r="H3151" s="340"/>
      <c r="I3151" s="179"/>
      <c r="J3151" s="344"/>
      <c r="K3151" s="345"/>
      <c r="L3151" s="346"/>
      <c r="M3151" s="347"/>
      <c r="N3151" s="347"/>
      <c r="O3151" s="132"/>
    </row>
    <row r="3152" spans="2:15" ht="26.25" customHeight="1" x14ac:dyDescent="0.25">
      <c r="B3152" s="130"/>
      <c r="C3152" s="135"/>
      <c r="D3152" s="177"/>
      <c r="E3152" s="178"/>
      <c r="F3152" s="178"/>
      <c r="G3152" s="340"/>
      <c r="H3152" s="340"/>
      <c r="I3152" s="179"/>
      <c r="J3152" s="344"/>
      <c r="K3152" s="345"/>
      <c r="L3152" s="346"/>
      <c r="M3152" s="347"/>
      <c r="N3152" s="347"/>
      <c r="O3152" s="132"/>
    </row>
    <row r="3153" spans="2:15" ht="26.25" customHeight="1" x14ac:dyDescent="0.25">
      <c r="B3153" s="130"/>
      <c r="C3153" s="135"/>
      <c r="D3153" s="177"/>
      <c r="E3153" s="178"/>
      <c r="F3153" s="178"/>
      <c r="G3153" s="340"/>
      <c r="H3153" s="340"/>
      <c r="I3153" s="179"/>
      <c r="J3153" s="344"/>
      <c r="K3153" s="345"/>
      <c r="L3153" s="346"/>
      <c r="M3153" s="347"/>
      <c r="N3153" s="347"/>
      <c r="O3153" s="132"/>
    </row>
    <row r="3154" spans="2:15" ht="26.25" customHeight="1" x14ac:dyDescent="0.25">
      <c r="B3154" s="130"/>
      <c r="C3154" s="135"/>
      <c r="D3154" s="177"/>
      <c r="E3154" s="178"/>
      <c r="F3154" s="178"/>
      <c r="G3154" s="340"/>
      <c r="H3154" s="340"/>
      <c r="I3154" s="179"/>
      <c r="J3154" s="344"/>
      <c r="K3154" s="345"/>
      <c r="L3154" s="346"/>
      <c r="M3154" s="347"/>
      <c r="N3154" s="347"/>
      <c r="O3154" s="132"/>
    </row>
    <row r="3155" spans="2:15" ht="26.25" customHeight="1" x14ac:dyDescent="0.25">
      <c r="B3155" s="130"/>
      <c r="C3155" s="135"/>
      <c r="D3155" s="177"/>
      <c r="E3155" s="178"/>
      <c r="F3155" s="178"/>
      <c r="G3155" s="340"/>
      <c r="H3155" s="340"/>
      <c r="I3155" s="179"/>
      <c r="J3155" s="344"/>
      <c r="K3155" s="345"/>
      <c r="L3155" s="346"/>
      <c r="M3155" s="347"/>
      <c r="N3155" s="347"/>
      <c r="O3155" s="132"/>
    </row>
    <row r="3156" spans="2:15" ht="26.25" customHeight="1" x14ac:dyDescent="0.25">
      <c r="B3156" s="130"/>
      <c r="C3156" s="135"/>
      <c r="D3156" s="177"/>
      <c r="E3156" s="178"/>
      <c r="F3156" s="178"/>
      <c r="G3156" s="340"/>
      <c r="H3156" s="340"/>
      <c r="I3156" s="179"/>
      <c r="J3156" s="344"/>
      <c r="K3156" s="345"/>
      <c r="L3156" s="346"/>
      <c r="M3156" s="347"/>
      <c r="N3156" s="347"/>
      <c r="O3156" s="132"/>
    </row>
    <row r="3157" spans="2:15" ht="26.25" customHeight="1" x14ac:dyDescent="0.25">
      <c r="B3157" s="130"/>
      <c r="C3157" s="135"/>
      <c r="D3157" s="177"/>
      <c r="E3157" s="178"/>
      <c r="F3157" s="178"/>
      <c r="G3157" s="340"/>
      <c r="H3157" s="340"/>
      <c r="I3157" s="179"/>
      <c r="J3157" s="344"/>
      <c r="K3157" s="345"/>
      <c r="L3157" s="346"/>
      <c r="M3157" s="347"/>
      <c r="N3157" s="347"/>
      <c r="O3157" s="132"/>
    </row>
    <row r="3158" spans="2:15" ht="26.25" customHeight="1" x14ac:dyDescent="0.25">
      <c r="B3158" s="130"/>
      <c r="C3158" s="135"/>
      <c r="D3158" s="177"/>
      <c r="E3158" s="178"/>
      <c r="F3158" s="178"/>
      <c r="G3158" s="340"/>
      <c r="H3158" s="340"/>
      <c r="I3158" s="179"/>
      <c r="J3158" s="344"/>
      <c r="K3158" s="345"/>
      <c r="L3158" s="346"/>
      <c r="M3158" s="347"/>
      <c r="N3158" s="347"/>
      <c r="O3158" s="132"/>
    </row>
    <row r="3159" spans="2:15" ht="26.25" customHeight="1" x14ac:dyDescent="0.25">
      <c r="B3159" s="130"/>
      <c r="C3159" s="135"/>
      <c r="D3159" s="177"/>
      <c r="E3159" s="178"/>
      <c r="F3159" s="178"/>
      <c r="G3159" s="340"/>
      <c r="H3159" s="340"/>
      <c r="I3159" s="179"/>
      <c r="J3159" s="344"/>
      <c r="K3159" s="345"/>
      <c r="L3159" s="346"/>
      <c r="M3159" s="347"/>
      <c r="N3159" s="347"/>
      <c r="O3159" s="132"/>
    </row>
    <row r="3160" spans="2:15" ht="26.25" customHeight="1" x14ac:dyDescent="0.25">
      <c r="B3160" s="130"/>
      <c r="C3160" s="135"/>
      <c r="D3160" s="177"/>
      <c r="E3160" s="178"/>
      <c r="F3160" s="178"/>
      <c r="G3160" s="340"/>
      <c r="H3160" s="340"/>
      <c r="I3160" s="179"/>
      <c r="J3160" s="344"/>
      <c r="K3160" s="345"/>
      <c r="L3160" s="346"/>
      <c r="M3160" s="347"/>
      <c r="N3160" s="347"/>
      <c r="O3160" s="132"/>
    </row>
    <row r="3161" spans="2:15" ht="26.25" customHeight="1" x14ac:dyDescent="0.25">
      <c r="B3161" s="130"/>
      <c r="C3161" s="135"/>
      <c r="D3161" s="177"/>
      <c r="E3161" s="178"/>
      <c r="F3161" s="178"/>
      <c r="G3161" s="340"/>
      <c r="H3161" s="340"/>
      <c r="I3161" s="179"/>
      <c r="J3161" s="344"/>
      <c r="K3161" s="345"/>
      <c r="L3161" s="346"/>
      <c r="M3161" s="347"/>
      <c r="N3161" s="347"/>
      <c r="O3161" s="132"/>
    </row>
    <row r="3162" spans="2:15" ht="26.25" customHeight="1" x14ac:dyDescent="0.25">
      <c r="B3162" s="130"/>
      <c r="C3162" s="135"/>
      <c r="D3162" s="177"/>
      <c r="E3162" s="178"/>
      <c r="F3162" s="178"/>
      <c r="G3162" s="340"/>
      <c r="H3162" s="340"/>
      <c r="I3162" s="179"/>
      <c r="J3162" s="344"/>
      <c r="K3162" s="345"/>
      <c r="L3162" s="346"/>
      <c r="M3162" s="347"/>
      <c r="N3162" s="347"/>
      <c r="O3162" s="132"/>
    </row>
    <row r="3163" spans="2:15" ht="26.25" customHeight="1" x14ac:dyDescent="0.25">
      <c r="B3163" s="130"/>
      <c r="C3163" s="135"/>
      <c r="D3163" s="177"/>
      <c r="E3163" s="178"/>
      <c r="F3163" s="178"/>
      <c r="G3163" s="340"/>
      <c r="H3163" s="340"/>
      <c r="I3163" s="179"/>
      <c r="J3163" s="344"/>
      <c r="K3163" s="345"/>
      <c r="L3163" s="346"/>
      <c r="M3163" s="347"/>
      <c r="N3163" s="347"/>
      <c r="O3163" s="132"/>
    </row>
    <row r="3164" spans="2:15" ht="26.25" customHeight="1" x14ac:dyDescent="0.25">
      <c r="B3164" s="130"/>
      <c r="C3164" s="135"/>
      <c r="D3164" s="177"/>
      <c r="E3164" s="178"/>
      <c r="F3164" s="178"/>
      <c r="G3164" s="340"/>
      <c r="H3164" s="340"/>
      <c r="I3164" s="179"/>
      <c r="J3164" s="344"/>
      <c r="K3164" s="345"/>
      <c r="L3164" s="346"/>
      <c r="M3164" s="347"/>
      <c r="N3164" s="347"/>
      <c r="O3164" s="132"/>
    </row>
    <row r="3165" spans="2:15" ht="26.25" customHeight="1" x14ac:dyDescent="0.25">
      <c r="B3165" s="130"/>
      <c r="C3165" s="135"/>
      <c r="D3165" s="177"/>
      <c r="E3165" s="178"/>
      <c r="F3165" s="178"/>
      <c r="G3165" s="340"/>
      <c r="H3165" s="340"/>
      <c r="I3165" s="179"/>
      <c r="J3165" s="344"/>
      <c r="K3165" s="345"/>
      <c r="L3165" s="346"/>
      <c r="M3165" s="347"/>
      <c r="N3165" s="347"/>
      <c r="O3165" s="132"/>
    </row>
    <row r="3166" spans="2:15" ht="26.25" customHeight="1" x14ac:dyDescent="0.25">
      <c r="B3166" s="130"/>
      <c r="C3166" s="135"/>
      <c r="D3166" s="177"/>
      <c r="E3166" s="178"/>
      <c r="F3166" s="178"/>
      <c r="G3166" s="340"/>
      <c r="H3166" s="340"/>
      <c r="I3166" s="179"/>
      <c r="J3166" s="344"/>
      <c r="K3166" s="345"/>
      <c r="L3166" s="346"/>
      <c r="M3166" s="347"/>
      <c r="N3166" s="347"/>
      <c r="O3166" s="132"/>
    </row>
    <row r="3167" spans="2:15" ht="26.25" customHeight="1" x14ac:dyDescent="0.25">
      <c r="B3167" s="130"/>
      <c r="C3167" s="135"/>
      <c r="D3167" s="177"/>
      <c r="E3167" s="178"/>
      <c r="F3167" s="178"/>
      <c r="G3167" s="340"/>
      <c r="H3167" s="340"/>
      <c r="I3167" s="179"/>
      <c r="J3167" s="344"/>
      <c r="K3167" s="345"/>
      <c r="L3167" s="346"/>
      <c r="M3167" s="347"/>
      <c r="N3167" s="347"/>
      <c r="O3167" s="132"/>
    </row>
    <row r="3168" spans="2:15" ht="26.25" customHeight="1" x14ac:dyDescent="0.25">
      <c r="B3168" s="130"/>
      <c r="C3168" s="135"/>
      <c r="D3168" s="177"/>
      <c r="E3168" s="178"/>
      <c r="F3168" s="178"/>
      <c r="G3168" s="340"/>
      <c r="H3168" s="340"/>
      <c r="I3168" s="179"/>
      <c r="J3168" s="344"/>
      <c r="K3168" s="345"/>
      <c r="L3168" s="346"/>
      <c r="M3168" s="347"/>
      <c r="N3168" s="347"/>
      <c r="O3168" s="132"/>
    </row>
    <row r="3169" spans="2:15" ht="26.25" customHeight="1" x14ac:dyDescent="0.25">
      <c r="B3169" s="130"/>
      <c r="C3169" s="135"/>
      <c r="D3169" s="177"/>
      <c r="E3169" s="178"/>
      <c r="F3169" s="178"/>
      <c r="G3169" s="340"/>
      <c r="H3169" s="340"/>
      <c r="I3169" s="179"/>
      <c r="J3169" s="344"/>
      <c r="K3169" s="345"/>
      <c r="L3169" s="346"/>
      <c r="M3169" s="347"/>
      <c r="N3169" s="347"/>
      <c r="O3169" s="132"/>
    </row>
    <row r="3170" spans="2:15" ht="26.25" customHeight="1" x14ac:dyDescent="0.25">
      <c r="B3170" s="130"/>
      <c r="C3170" s="135"/>
      <c r="D3170" s="177"/>
      <c r="E3170" s="178"/>
      <c r="F3170" s="178"/>
      <c r="G3170" s="340"/>
      <c r="H3170" s="340"/>
      <c r="I3170" s="179"/>
      <c r="J3170" s="344"/>
      <c r="K3170" s="345"/>
      <c r="L3170" s="346"/>
      <c r="M3170" s="347"/>
      <c r="N3170" s="347"/>
      <c r="O3170" s="132"/>
    </row>
    <row r="3171" spans="2:15" ht="26.25" customHeight="1" x14ac:dyDescent="0.25">
      <c r="B3171" s="130"/>
      <c r="C3171" s="135"/>
      <c r="D3171" s="177"/>
      <c r="E3171" s="178"/>
      <c r="F3171" s="178"/>
      <c r="G3171" s="340"/>
      <c r="H3171" s="340"/>
      <c r="I3171" s="179"/>
      <c r="J3171" s="344"/>
      <c r="K3171" s="345"/>
      <c r="L3171" s="346"/>
      <c r="M3171" s="347"/>
      <c r="N3171" s="347"/>
      <c r="O3171" s="132"/>
    </row>
    <row r="3172" spans="2:15" ht="26.25" customHeight="1" x14ac:dyDescent="0.25">
      <c r="B3172" s="130"/>
      <c r="C3172" s="135"/>
      <c r="D3172" s="177"/>
      <c r="E3172" s="178"/>
      <c r="F3172" s="178"/>
      <c r="G3172" s="340"/>
      <c r="H3172" s="340"/>
      <c r="I3172" s="179"/>
      <c r="J3172" s="344"/>
      <c r="K3172" s="345"/>
      <c r="L3172" s="346"/>
      <c r="M3172" s="347"/>
      <c r="N3172" s="347"/>
      <c r="O3172" s="132"/>
    </row>
    <row r="3173" spans="2:15" ht="26.25" customHeight="1" x14ac:dyDescent="0.25">
      <c r="B3173" s="130"/>
      <c r="C3173" s="135"/>
      <c r="D3173" s="177"/>
      <c r="E3173" s="178"/>
      <c r="F3173" s="178"/>
      <c r="G3173" s="340"/>
      <c r="H3173" s="340"/>
      <c r="I3173" s="179"/>
      <c r="J3173" s="344"/>
      <c r="K3173" s="345"/>
      <c r="L3173" s="346"/>
      <c r="M3173" s="347"/>
      <c r="N3173" s="347"/>
      <c r="O3173" s="132"/>
    </row>
    <row r="3174" spans="2:15" ht="26.25" customHeight="1" x14ac:dyDescent="0.25">
      <c r="B3174" s="130"/>
      <c r="C3174" s="135"/>
      <c r="D3174" s="177"/>
      <c r="E3174" s="178"/>
      <c r="F3174" s="178"/>
      <c r="G3174" s="340"/>
      <c r="H3174" s="340"/>
      <c r="I3174" s="179"/>
      <c r="J3174" s="344"/>
      <c r="K3174" s="345"/>
      <c r="L3174" s="346"/>
      <c r="M3174" s="347"/>
      <c r="N3174" s="347"/>
      <c r="O3174" s="132"/>
    </row>
    <row r="3175" spans="2:15" ht="26.25" customHeight="1" x14ac:dyDescent="0.25">
      <c r="B3175" s="130"/>
      <c r="C3175" s="135"/>
      <c r="D3175" s="177"/>
      <c r="E3175" s="178"/>
      <c r="F3175" s="178"/>
      <c r="G3175" s="340"/>
      <c r="H3175" s="340"/>
      <c r="I3175" s="179"/>
      <c r="J3175" s="344"/>
      <c r="K3175" s="345"/>
      <c r="L3175" s="346"/>
      <c r="M3175" s="347"/>
      <c r="N3175" s="347"/>
      <c r="O3175" s="132"/>
    </row>
    <row r="3176" spans="2:15" ht="26.25" customHeight="1" x14ac:dyDescent="0.25">
      <c r="B3176" s="130"/>
      <c r="C3176" s="135"/>
      <c r="D3176" s="177"/>
      <c r="E3176" s="178"/>
      <c r="F3176" s="178"/>
      <c r="G3176" s="340"/>
      <c r="H3176" s="340"/>
      <c r="I3176" s="179"/>
      <c r="J3176" s="344"/>
      <c r="K3176" s="345"/>
      <c r="L3176" s="346"/>
      <c r="M3176" s="347"/>
      <c r="N3176" s="347"/>
      <c r="O3176" s="132"/>
    </row>
    <row r="3177" spans="2:15" ht="26.25" customHeight="1" x14ac:dyDescent="0.25">
      <c r="B3177" s="130"/>
      <c r="C3177" s="135"/>
      <c r="D3177" s="177"/>
      <c r="E3177" s="178"/>
      <c r="F3177" s="178"/>
      <c r="G3177" s="340"/>
      <c r="H3177" s="340"/>
      <c r="I3177" s="179"/>
      <c r="J3177" s="344"/>
      <c r="K3177" s="345"/>
      <c r="L3177" s="346"/>
      <c r="M3177" s="347"/>
      <c r="N3177" s="347"/>
      <c r="O3177" s="132"/>
    </row>
    <row r="3178" spans="2:15" ht="26.25" customHeight="1" x14ac:dyDescent="0.25">
      <c r="B3178" s="130"/>
      <c r="C3178" s="135"/>
      <c r="D3178" s="177"/>
      <c r="E3178" s="178"/>
      <c r="F3178" s="178"/>
      <c r="G3178" s="340"/>
      <c r="H3178" s="340"/>
      <c r="I3178" s="179"/>
      <c r="J3178" s="344"/>
      <c r="K3178" s="345"/>
      <c r="L3178" s="346"/>
      <c r="M3178" s="347"/>
      <c r="N3178" s="347"/>
      <c r="O3178" s="132"/>
    </row>
    <row r="3179" spans="2:15" ht="26.25" customHeight="1" x14ac:dyDescent="0.25">
      <c r="B3179" s="130"/>
      <c r="C3179" s="135"/>
      <c r="D3179" s="177"/>
      <c r="E3179" s="178"/>
      <c r="F3179" s="178"/>
      <c r="G3179" s="340"/>
      <c r="H3179" s="340"/>
      <c r="I3179" s="179"/>
      <c r="J3179" s="344"/>
      <c r="K3179" s="345"/>
      <c r="L3179" s="346"/>
      <c r="M3179" s="347"/>
      <c r="N3179" s="347"/>
      <c r="O3179" s="132"/>
    </row>
    <row r="3180" spans="2:15" ht="26.25" customHeight="1" x14ac:dyDescent="0.25">
      <c r="B3180" s="130"/>
      <c r="C3180" s="135"/>
      <c r="D3180" s="177"/>
      <c r="E3180" s="178"/>
      <c r="F3180" s="178"/>
      <c r="G3180" s="340"/>
      <c r="H3180" s="340"/>
      <c r="I3180" s="179"/>
      <c r="J3180" s="344"/>
      <c r="K3180" s="345"/>
      <c r="L3180" s="346"/>
      <c r="M3180" s="347"/>
      <c r="N3180" s="347"/>
      <c r="O3180" s="132"/>
    </row>
    <row r="3181" spans="2:15" ht="26.25" customHeight="1" x14ac:dyDescent="0.25">
      <c r="B3181" s="130"/>
      <c r="C3181" s="135"/>
      <c r="D3181" s="177"/>
      <c r="E3181" s="178"/>
      <c r="F3181" s="178"/>
      <c r="G3181" s="340"/>
      <c r="H3181" s="340"/>
      <c r="I3181" s="179"/>
      <c r="J3181" s="344"/>
      <c r="K3181" s="345"/>
      <c r="L3181" s="346"/>
      <c r="M3181" s="347"/>
      <c r="N3181" s="347"/>
      <c r="O3181" s="132"/>
    </row>
    <row r="3182" spans="2:15" ht="26.25" customHeight="1" x14ac:dyDescent="0.25">
      <c r="B3182" s="130"/>
      <c r="C3182" s="135"/>
      <c r="D3182" s="177"/>
      <c r="E3182" s="178"/>
      <c r="F3182" s="178"/>
      <c r="G3182" s="340"/>
      <c r="H3182" s="340"/>
      <c r="I3182" s="179"/>
      <c r="J3182" s="344"/>
      <c r="K3182" s="345"/>
      <c r="L3182" s="346"/>
      <c r="M3182" s="347"/>
      <c r="N3182" s="347"/>
      <c r="O3182" s="132"/>
    </row>
    <row r="3183" spans="2:15" ht="26.25" customHeight="1" x14ac:dyDescent="0.25">
      <c r="B3183" s="130"/>
      <c r="C3183" s="135"/>
      <c r="D3183" s="177"/>
      <c r="E3183" s="178"/>
      <c r="F3183" s="178"/>
      <c r="G3183" s="340"/>
      <c r="H3183" s="340"/>
      <c r="I3183" s="179"/>
      <c r="J3183" s="344"/>
      <c r="K3183" s="345"/>
      <c r="L3183" s="346"/>
      <c r="M3183" s="347"/>
      <c r="N3183" s="347"/>
      <c r="O3183" s="132"/>
    </row>
    <row r="3184" spans="2:15" ht="26.25" customHeight="1" x14ac:dyDescent="0.25">
      <c r="B3184" s="130"/>
      <c r="C3184" s="135"/>
      <c r="D3184" s="177"/>
      <c r="E3184" s="178"/>
      <c r="F3184" s="178"/>
      <c r="G3184" s="340"/>
      <c r="H3184" s="340"/>
      <c r="I3184" s="179"/>
      <c r="J3184" s="344"/>
      <c r="K3184" s="345"/>
      <c r="L3184" s="346"/>
      <c r="M3184" s="347"/>
      <c r="N3184" s="347"/>
      <c r="O3184" s="132"/>
    </row>
    <row r="3185" spans="2:15" ht="26.25" customHeight="1" x14ac:dyDescent="0.25">
      <c r="B3185" s="130"/>
      <c r="C3185" s="135"/>
      <c r="D3185" s="177"/>
      <c r="E3185" s="178"/>
      <c r="F3185" s="178"/>
      <c r="G3185" s="340"/>
      <c r="H3185" s="340"/>
      <c r="I3185" s="179"/>
      <c r="J3185" s="344"/>
      <c r="K3185" s="345"/>
      <c r="L3185" s="346"/>
      <c r="M3185" s="347"/>
      <c r="N3185" s="347"/>
      <c r="O3185" s="132"/>
    </row>
    <row r="3186" spans="2:15" ht="26.25" customHeight="1" x14ac:dyDescent="0.25">
      <c r="B3186" s="130"/>
      <c r="C3186" s="135"/>
      <c r="D3186" s="177"/>
      <c r="E3186" s="178"/>
      <c r="F3186" s="178"/>
      <c r="G3186" s="340"/>
      <c r="H3186" s="340"/>
      <c r="I3186" s="179"/>
      <c r="J3186" s="344"/>
      <c r="K3186" s="345"/>
      <c r="L3186" s="346"/>
      <c r="M3186" s="347"/>
      <c r="N3186" s="347"/>
      <c r="O3186" s="132"/>
    </row>
    <row r="3187" spans="2:15" ht="26.25" customHeight="1" x14ac:dyDescent="0.25">
      <c r="B3187" s="130"/>
      <c r="C3187" s="135"/>
      <c r="D3187" s="177"/>
      <c r="E3187" s="178"/>
      <c r="F3187" s="178"/>
      <c r="G3187" s="340"/>
      <c r="H3187" s="340"/>
      <c r="I3187" s="179"/>
      <c r="J3187" s="344"/>
      <c r="K3187" s="345"/>
      <c r="L3187" s="346"/>
      <c r="M3187" s="347"/>
      <c r="N3187" s="347"/>
      <c r="O3187" s="132"/>
    </row>
    <row r="3188" spans="2:15" ht="26.25" customHeight="1" x14ac:dyDescent="0.25">
      <c r="B3188" s="130"/>
      <c r="C3188" s="135"/>
      <c r="D3188" s="177"/>
      <c r="E3188" s="178"/>
      <c r="F3188" s="178"/>
      <c r="G3188" s="340"/>
      <c r="H3188" s="340"/>
      <c r="I3188" s="179"/>
      <c r="J3188" s="344"/>
      <c r="K3188" s="345"/>
      <c r="L3188" s="346"/>
      <c r="M3188" s="347"/>
      <c r="N3188" s="347"/>
      <c r="O3188" s="132"/>
    </row>
    <row r="3189" spans="2:15" ht="26.25" customHeight="1" x14ac:dyDescent="0.25">
      <c r="B3189" s="130"/>
      <c r="C3189" s="135"/>
      <c r="D3189" s="177"/>
      <c r="E3189" s="178"/>
      <c r="F3189" s="178"/>
      <c r="G3189" s="340"/>
      <c r="H3189" s="340"/>
      <c r="I3189" s="179"/>
      <c r="J3189" s="344"/>
      <c r="K3189" s="345"/>
      <c r="L3189" s="346"/>
      <c r="M3189" s="347"/>
      <c r="N3189" s="347"/>
      <c r="O3189" s="132"/>
    </row>
    <row r="3190" spans="2:15" ht="26.25" customHeight="1" x14ac:dyDescent="0.25">
      <c r="B3190" s="130"/>
      <c r="C3190" s="135"/>
      <c r="D3190" s="177"/>
      <c r="E3190" s="178"/>
      <c r="F3190" s="178"/>
      <c r="G3190" s="340"/>
      <c r="H3190" s="340"/>
      <c r="I3190" s="179"/>
      <c r="J3190" s="344"/>
      <c r="K3190" s="345"/>
      <c r="L3190" s="346"/>
      <c r="M3190" s="347"/>
      <c r="N3190" s="347"/>
      <c r="O3190" s="132"/>
    </row>
    <row r="3191" spans="2:15" ht="26.25" customHeight="1" x14ac:dyDescent="0.25">
      <c r="B3191" s="130"/>
      <c r="C3191" s="135"/>
      <c r="D3191" s="177"/>
      <c r="E3191" s="178"/>
      <c r="F3191" s="178"/>
      <c r="G3191" s="340"/>
      <c r="H3191" s="340"/>
      <c r="I3191" s="179"/>
      <c r="J3191" s="344"/>
      <c r="K3191" s="345"/>
      <c r="L3191" s="346"/>
      <c r="M3191" s="347"/>
      <c r="N3191" s="347"/>
      <c r="O3191" s="132"/>
    </row>
    <row r="3192" spans="2:15" ht="26.25" customHeight="1" x14ac:dyDescent="0.25">
      <c r="B3192" s="130"/>
      <c r="C3192" s="135"/>
      <c r="D3192" s="177"/>
      <c r="E3192" s="178"/>
      <c r="F3192" s="178"/>
      <c r="G3192" s="340"/>
      <c r="H3192" s="340"/>
      <c r="I3192" s="179"/>
      <c r="J3192" s="344"/>
      <c r="K3192" s="345"/>
      <c r="L3192" s="346"/>
      <c r="M3192" s="347"/>
      <c r="N3192" s="347"/>
      <c r="O3192" s="132"/>
    </row>
    <row r="3193" spans="2:15" ht="26.25" customHeight="1" x14ac:dyDescent="0.25">
      <c r="B3193" s="130"/>
      <c r="C3193" s="135"/>
      <c r="D3193" s="177"/>
      <c r="E3193" s="178"/>
      <c r="F3193" s="178"/>
      <c r="G3193" s="340"/>
      <c r="H3193" s="340"/>
      <c r="I3193" s="179"/>
      <c r="J3193" s="344"/>
      <c r="K3193" s="345"/>
      <c r="L3193" s="346"/>
      <c r="M3193" s="347"/>
      <c r="N3193" s="347"/>
      <c r="O3193" s="132"/>
    </row>
    <row r="3194" spans="2:15" ht="26.25" customHeight="1" x14ac:dyDescent="0.25">
      <c r="B3194" s="130"/>
      <c r="C3194" s="135"/>
      <c r="D3194" s="177"/>
      <c r="E3194" s="178"/>
      <c r="F3194" s="178"/>
      <c r="G3194" s="340"/>
      <c r="H3194" s="340"/>
      <c r="I3194" s="179"/>
      <c r="J3194" s="344"/>
      <c r="K3194" s="345"/>
      <c r="L3194" s="346"/>
      <c r="M3194" s="347"/>
      <c r="N3194" s="347"/>
      <c r="O3194" s="132"/>
    </row>
    <row r="3195" spans="2:15" ht="26.25" customHeight="1" x14ac:dyDescent="0.25">
      <c r="B3195" s="130"/>
      <c r="C3195" s="135"/>
      <c r="D3195" s="177"/>
      <c r="E3195" s="178"/>
      <c r="F3195" s="178"/>
      <c r="G3195" s="340"/>
      <c r="H3195" s="340"/>
      <c r="I3195" s="179"/>
      <c r="J3195" s="344"/>
      <c r="K3195" s="345"/>
      <c r="L3195" s="346"/>
      <c r="M3195" s="347"/>
      <c r="N3195" s="347"/>
      <c r="O3195" s="132"/>
    </row>
    <row r="3196" spans="2:15" ht="26.25" customHeight="1" x14ac:dyDescent="0.25">
      <c r="B3196" s="130"/>
      <c r="C3196" s="135"/>
      <c r="D3196" s="177"/>
      <c r="E3196" s="178"/>
      <c r="F3196" s="178"/>
      <c r="G3196" s="340"/>
      <c r="H3196" s="340"/>
      <c r="I3196" s="179"/>
      <c r="J3196" s="344"/>
      <c r="K3196" s="345"/>
      <c r="L3196" s="346"/>
      <c r="M3196" s="347"/>
      <c r="N3196" s="347"/>
      <c r="O3196" s="132"/>
    </row>
    <row r="3197" spans="2:15" ht="26.25" customHeight="1" x14ac:dyDescent="0.25">
      <c r="B3197" s="130"/>
      <c r="C3197" s="135"/>
      <c r="D3197" s="177"/>
      <c r="E3197" s="178"/>
      <c r="F3197" s="178"/>
      <c r="G3197" s="340"/>
      <c r="H3197" s="340"/>
      <c r="I3197" s="179"/>
      <c r="J3197" s="344"/>
      <c r="K3197" s="345"/>
      <c r="L3197" s="346"/>
      <c r="M3197" s="347"/>
      <c r="N3197" s="347"/>
      <c r="O3197" s="132"/>
    </row>
    <row r="3198" spans="2:15" ht="26.25" customHeight="1" x14ac:dyDescent="0.25">
      <c r="B3198" s="130"/>
      <c r="C3198" s="135"/>
      <c r="D3198" s="177"/>
      <c r="E3198" s="178"/>
      <c r="F3198" s="178"/>
      <c r="G3198" s="340"/>
      <c r="H3198" s="340"/>
      <c r="I3198" s="179"/>
      <c r="J3198" s="344"/>
      <c r="K3198" s="345"/>
      <c r="L3198" s="346"/>
      <c r="M3198" s="347"/>
      <c r="N3198" s="347"/>
      <c r="O3198" s="132"/>
    </row>
    <row r="3199" spans="2:15" ht="26.25" customHeight="1" x14ac:dyDescent="0.25">
      <c r="B3199" s="130"/>
      <c r="C3199" s="135"/>
      <c r="D3199" s="177"/>
      <c r="E3199" s="178"/>
      <c r="F3199" s="178"/>
      <c r="G3199" s="340"/>
      <c r="H3199" s="340"/>
      <c r="I3199" s="179"/>
      <c r="J3199" s="344"/>
      <c r="K3199" s="345"/>
      <c r="L3199" s="346"/>
      <c r="M3199" s="347"/>
      <c r="N3199" s="347"/>
      <c r="O3199" s="132"/>
    </row>
    <row r="3200" spans="2:15" ht="26.25" customHeight="1" x14ac:dyDescent="0.25">
      <c r="B3200" s="130"/>
      <c r="C3200" s="135"/>
      <c r="D3200" s="177"/>
      <c r="E3200" s="178"/>
      <c r="F3200" s="178"/>
      <c r="G3200" s="340"/>
      <c r="H3200" s="340"/>
      <c r="I3200" s="179"/>
      <c r="J3200" s="344"/>
      <c r="K3200" s="345"/>
      <c r="L3200" s="346"/>
      <c r="M3200" s="347"/>
      <c r="N3200" s="347"/>
      <c r="O3200" s="132"/>
    </row>
    <row r="3201" spans="2:15" ht="26.25" customHeight="1" x14ac:dyDescent="0.25">
      <c r="B3201" s="130"/>
      <c r="C3201" s="135"/>
      <c r="D3201" s="177"/>
      <c r="E3201" s="178"/>
      <c r="F3201" s="178"/>
      <c r="G3201" s="340"/>
      <c r="H3201" s="340"/>
      <c r="I3201" s="179"/>
      <c r="J3201" s="344"/>
      <c r="K3201" s="345"/>
      <c r="L3201" s="346"/>
      <c r="M3201" s="347"/>
      <c r="N3201" s="347"/>
      <c r="O3201" s="132"/>
    </row>
    <row r="3202" spans="2:15" ht="26.25" customHeight="1" x14ac:dyDescent="0.25">
      <c r="B3202" s="130"/>
      <c r="C3202" s="135"/>
      <c r="D3202" s="177"/>
      <c r="E3202" s="178"/>
      <c r="F3202" s="178"/>
      <c r="G3202" s="340"/>
      <c r="H3202" s="340"/>
      <c r="I3202" s="179"/>
      <c r="J3202" s="344"/>
      <c r="K3202" s="345"/>
      <c r="L3202" s="346"/>
      <c r="M3202" s="347"/>
      <c r="N3202" s="347"/>
      <c r="O3202" s="132"/>
    </row>
    <row r="3203" spans="2:15" ht="26.25" customHeight="1" x14ac:dyDescent="0.25">
      <c r="B3203" s="130"/>
      <c r="C3203" s="135"/>
      <c r="D3203" s="177"/>
      <c r="E3203" s="178"/>
      <c r="F3203" s="178"/>
      <c r="G3203" s="340"/>
      <c r="H3203" s="340"/>
      <c r="I3203" s="179"/>
      <c r="J3203" s="344"/>
      <c r="K3203" s="345"/>
      <c r="L3203" s="346"/>
      <c r="M3203" s="347"/>
      <c r="N3203" s="347"/>
      <c r="O3203" s="132"/>
    </row>
    <row r="3204" spans="2:15" ht="26.25" customHeight="1" x14ac:dyDescent="0.25">
      <c r="B3204" s="130"/>
      <c r="C3204" s="135"/>
      <c r="D3204" s="177"/>
      <c r="E3204" s="178"/>
      <c r="F3204" s="178"/>
      <c r="G3204" s="340"/>
      <c r="H3204" s="340"/>
      <c r="I3204" s="179"/>
      <c r="J3204" s="344"/>
      <c r="K3204" s="345"/>
      <c r="L3204" s="346"/>
      <c r="M3204" s="347"/>
      <c r="N3204" s="347"/>
      <c r="O3204" s="132"/>
    </row>
    <row r="3205" spans="2:15" ht="26.25" customHeight="1" x14ac:dyDescent="0.25">
      <c r="B3205" s="130"/>
      <c r="C3205" s="135"/>
      <c r="D3205" s="177"/>
      <c r="E3205" s="178"/>
      <c r="F3205" s="178"/>
      <c r="G3205" s="340"/>
      <c r="H3205" s="340"/>
      <c r="I3205" s="179"/>
      <c r="J3205" s="344"/>
      <c r="K3205" s="345"/>
      <c r="L3205" s="346"/>
      <c r="M3205" s="347"/>
      <c r="N3205" s="347"/>
      <c r="O3205" s="132"/>
    </row>
    <row r="3206" spans="2:15" ht="26.25" customHeight="1" x14ac:dyDescent="0.25">
      <c r="B3206" s="130"/>
      <c r="C3206" s="135"/>
      <c r="D3206" s="177"/>
      <c r="E3206" s="178"/>
      <c r="F3206" s="178"/>
      <c r="G3206" s="340"/>
      <c r="H3206" s="340"/>
      <c r="I3206" s="179"/>
      <c r="J3206" s="344"/>
      <c r="K3206" s="345"/>
      <c r="L3206" s="346"/>
      <c r="M3206" s="347"/>
      <c r="N3206" s="347"/>
      <c r="O3206" s="132"/>
    </row>
    <row r="3207" spans="2:15" ht="26.25" customHeight="1" x14ac:dyDescent="0.25">
      <c r="B3207" s="130"/>
      <c r="C3207" s="135"/>
      <c r="D3207" s="177"/>
      <c r="E3207" s="178"/>
      <c r="F3207" s="178"/>
      <c r="G3207" s="340"/>
      <c r="H3207" s="340"/>
      <c r="I3207" s="179"/>
      <c r="J3207" s="344"/>
      <c r="K3207" s="345"/>
      <c r="L3207" s="346"/>
      <c r="M3207" s="347"/>
      <c r="N3207" s="347"/>
      <c r="O3207" s="132"/>
    </row>
    <row r="3208" spans="2:15" ht="26.25" customHeight="1" x14ac:dyDescent="0.25">
      <c r="B3208" s="130"/>
      <c r="C3208" s="135"/>
      <c r="D3208" s="177"/>
      <c r="E3208" s="178"/>
      <c r="F3208" s="178"/>
      <c r="G3208" s="340"/>
      <c r="H3208" s="340"/>
      <c r="I3208" s="179"/>
      <c r="J3208" s="344"/>
      <c r="K3208" s="345"/>
      <c r="L3208" s="346"/>
      <c r="M3208" s="347"/>
      <c r="N3208" s="347"/>
      <c r="O3208" s="132"/>
    </row>
    <row r="3209" spans="2:15" ht="26.25" customHeight="1" x14ac:dyDescent="0.25">
      <c r="B3209" s="130"/>
      <c r="C3209" s="135"/>
      <c r="D3209" s="177"/>
      <c r="E3209" s="178"/>
      <c r="F3209" s="178"/>
      <c r="G3209" s="340"/>
      <c r="H3209" s="340"/>
      <c r="I3209" s="179"/>
      <c r="J3209" s="344"/>
      <c r="K3209" s="345"/>
      <c r="L3209" s="346"/>
      <c r="M3209" s="347"/>
      <c r="N3209" s="347"/>
      <c r="O3209" s="132"/>
    </row>
    <row r="3210" spans="2:15" ht="26.25" customHeight="1" x14ac:dyDescent="0.25">
      <c r="B3210" s="130"/>
      <c r="C3210" s="135"/>
      <c r="D3210" s="177"/>
      <c r="E3210" s="178"/>
      <c r="F3210" s="178"/>
      <c r="G3210" s="340"/>
      <c r="H3210" s="340"/>
      <c r="I3210" s="179"/>
      <c r="J3210" s="344"/>
      <c r="K3210" s="345"/>
      <c r="L3210" s="346"/>
      <c r="M3210" s="347"/>
      <c r="N3210" s="347"/>
      <c r="O3210" s="132"/>
    </row>
    <row r="3211" spans="2:15" ht="26.25" customHeight="1" x14ac:dyDescent="0.25">
      <c r="B3211" s="130"/>
      <c r="C3211" s="135"/>
      <c r="D3211" s="177"/>
      <c r="E3211" s="178"/>
      <c r="F3211" s="178"/>
      <c r="G3211" s="340"/>
      <c r="H3211" s="340"/>
      <c r="I3211" s="179"/>
      <c r="J3211" s="344"/>
      <c r="K3211" s="345"/>
      <c r="L3211" s="346"/>
      <c r="M3211" s="347"/>
      <c r="N3211" s="347"/>
      <c r="O3211" s="132"/>
    </row>
    <row r="3212" spans="2:15" ht="26.25" customHeight="1" x14ac:dyDescent="0.25">
      <c r="B3212" s="130"/>
      <c r="C3212" s="135"/>
      <c r="D3212" s="177"/>
      <c r="E3212" s="178"/>
      <c r="F3212" s="178"/>
      <c r="G3212" s="340"/>
      <c r="H3212" s="340"/>
      <c r="I3212" s="179"/>
      <c r="J3212" s="344"/>
      <c r="K3212" s="345"/>
      <c r="L3212" s="346"/>
      <c r="M3212" s="347"/>
      <c r="N3212" s="347"/>
      <c r="O3212" s="132"/>
    </row>
    <row r="3213" spans="2:15" ht="26.25" customHeight="1" x14ac:dyDescent="0.25">
      <c r="B3213" s="130"/>
      <c r="C3213" s="135"/>
      <c r="D3213" s="177"/>
      <c r="E3213" s="178"/>
      <c r="F3213" s="178"/>
      <c r="G3213" s="340"/>
      <c r="H3213" s="340"/>
      <c r="I3213" s="179"/>
      <c r="J3213" s="344"/>
      <c r="K3213" s="345"/>
      <c r="L3213" s="346"/>
      <c r="M3213" s="347"/>
      <c r="N3213" s="347"/>
      <c r="O3213" s="132"/>
    </row>
    <row r="3214" spans="2:15" ht="26.25" customHeight="1" x14ac:dyDescent="0.25">
      <c r="B3214" s="130"/>
      <c r="C3214" s="135"/>
      <c r="D3214" s="177"/>
      <c r="E3214" s="178"/>
      <c r="F3214" s="178"/>
      <c r="G3214" s="340"/>
      <c r="H3214" s="340"/>
      <c r="I3214" s="179"/>
      <c r="J3214" s="344"/>
      <c r="K3214" s="345"/>
      <c r="L3214" s="346"/>
      <c r="M3214" s="347"/>
      <c r="N3214" s="347"/>
      <c r="O3214" s="132"/>
    </row>
    <row r="3215" spans="2:15" ht="26.25" customHeight="1" x14ac:dyDescent="0.25">
      <c r="B3215" s="130"/>
      <c r="C3215" s="135"/>
      <c r="D3215" s="177"/>
      <c r="E3215" s="178"/>
      <c r="F3215" s="178"/>
      <c r="G3215" s="340"/>
      <c r="H3215" s="340"/>
      <c r="I3215" s="179"/>
      <c r="J3215" s="344"/>
      <c r="K3215" s="345"/>
      <c r="L3215" s="346"/>
      <c r="M3215" s="347"/>
      <c r="N3215" s="347"/>
      <c r="O3215" s="132"/>
    </row>
    <row r="3216" spans="2:15" ht="26.25" customHeight="1" x14ac:dyDescent="0.25">
      <c r="B3216" s="130"/>
      <c r="C3216" s="135"/>
      <c r="D3216" s="177"/>
      <c r="E3216" s="178"/>
      <c r="F3216" s="178"/>
      <c r="G3216" s="340"/>
      <c r="H3216" s="340"/>
      <c r="I3216" s="179"/>
      <c r="J3216" s="344"/>
      <c r="K3216" s="345"/>
      <c r="L3216" s="346"/>
      <c r="M3216" s="347"/>
      <c r="N3216" s="347"/>
      <c r="O3216" s="132"/>
    </row>
    <row r="3217" spans="2:15" ht="26.25" customHeight="1" x14ac:dyDescent="0.25">
      <c r="B3217" s="130"/>
      <c r="C3217" s="135"/>
      <c r="D3217" s="177"/>
      <c r="E3217" s="178"/>
      <c r="F3217" s="178"/>
      <c r="G3217" s="340"/>
      <c r="H3217" s="340"/>
      <c r="I3217" s="179"/>
      <c r="J3217" s="344"/>
      <c r="K3217" s="345"/>
      <c r="L3217" s="346"/>
      <c r="M3217" s="347"/>
      <c r="N3217" s="347"/>
      <c r="O3217" s="132"/>
    </row>
    <row r="3218" spans="2:15" ht="26.25" customHeight="1" x14ac:dyDescent="0.25">
      <c r="B3218" s="130"/>
      <c r="C3218" s="135"/>
      <c r="D3218" s="177"/>
      <c r="E3218" s="178"/>
      <c r="F3218" s="178"/>
      <c r="G3218" s="340"/>
      <c r="H3218" s="340"/>
      <c r="I3218" s="179"/>
      <c r="J3218" s="344"/>
      <c r="K3218" s="345"/>
      <c r="L3218" s="346"/>
      <c r="M3218" s="347"/>
      <c r="N3218" s="347"/>
      <c r="O3218" s="132"/>
    </row>
    <row r="3219" spans="2:15" ht="26.25" customHeight="1" x14ac:dyDescent="0.25">
      <c r="B3219" s="130"/>
      <c r="C3219" s="135"/>
      <c r="D3219" s="177"/>
      <c r="E3219" s="178"/>
      <c r="F3219" s="178"/>
      <c r="G3219" s="340"/>
      <c r="H3219" s="340"/>
      <c r="I3219" s="179"/>
      <c r="J3219" s="344"/>
      <c r="K3219" s="345"/>
      <c r="L3219" s="346"/>
      <c r="M3219" s="347"/>
      <c r="N3219" s="347"/>
      <c r="O3219" s="132"/>
    </row>
    <row r="3220" spans="2:15" ht="26.25" customHeight="1" x14ac:dyDescent="0.25">
      <c r="B3220" s="130"/>
      <c r="C3220" s="135"/>
      <c r="D3220" s="177"/>
      <c r="E3220" s="178"/>
      <c r="F3220" s="178"/>
      <c r="G3220" s="340"/>
      <c r="H3220" s="340"/>
      <c r="I3220" s="179"/>
      <c r="J3220" s="344"/>
      <c r="K3220" s="345"/>
      <c r="L3220" s="346"/>
      <c r="M3220" s="347"/>
      <c r="N3220" s="347"/>
      <c r="O3220" s="132"/>
    </row>
    <row r="3221" spans="2:15" ht="26.25" customHeight="1" x14ac:dyDescent="0.25">
      <c r="B3221" s="130"/>
      <c r="C3221" s="135"/>
      <c r="D3221" s="177"/>
      <c r="E3221" s="178"/>
      <c r="F3221" s="178"/>
      <c r="G3221" s="340"/>
      <c r="H3221" s="340"/>
      <c r="I3221" s="179"/>
      <c r="J3221" s="344"/>
      <c r="K3221" s="345"/>
      <c r="L3221" s="346"/>
      <c r="M3221" s="347"/>
      <c r="N3221" s="347"/>
      <c r="O3221" s="132"/>
    </row>
    <row r="3222" spans="2:15" ht="26.25" customHeight="1" x14ac:dyDescent="0.25">
      <c r="B3222" s="130"/>
      <c r="C3222" s="135"/>
      <c r="D3222" s="177"/>
      <c r="E3222" s="178"/>
      <c r="F3222" s="178"/>
      <c r="G3222" s="340"/>
      <c r="H3222" s="340"/>
      <c r="I3222" s="179"/>
      <c r="J3222" s="344"/>
      <c r="K3222" s="345"/>
      <c r="L3222" s="346"/>
      <c r="M3222" s="347"/>
      <c r="N3222" s="347"/>
      <c r="O3222" s="132"/>
    </row>
    <row r="3223" spans="2:15" ht="26.25" customHeight="1" x14ac:dyDescent="0.25">
      <c r="B3223" s="130"/>
      <c r="C3223" s="135"/>
      <c r="D3223" s="177"/>
      <c r="E3223" s="178"/>
      <c r="F3223" s="178"/>
      <c r="G3223" s="340"/>
      <c r="H3223" s="340"/>
      <c r="I3223" s="179"/>
      <c r="J3223" s="344"/>
      <c r="K3223" s="345"/>
      <c r="L3223" s="346"/>
      <c r="M3223" s="347"/>
      <c r="N3223" s="347"/>
      <c r="O3223" s="132"/>
    </row>
    <row r="3224" spans="2:15" ht="26.25" customHeight="1" x14ac:dyDescent="0.25">
      <c r="B3224" s="130"/>
      <c r="C3224" s="135"/>
      <c r="D3224" s="177"/>
      <c r="E3224" s="178"/>
      <c r="F3224" s="178"/>
      <c r="G3224" s="340"/>
      <c r="H3224" s="340"/>
      <c r="I3224" s="179"/>
      <c r="J3224" s="344"/>
      <c r="K3224" s="345"/>
      <c r="L3224" s="346"/>
      <c r="M3224" s="347"/>
      <c r="N3224" s="347"/>
      <c r="O3224" s="132"/>
    </row>
    <row r="3225" spans="2:15" ht="26.25" customHeight="1" x14ac:dyDescent="0.25">
      <c r="B3225" s="130"/>
      <c r="C3225" s="135"/>
      <c r="D3225" s="177"/>
      <c r="E3225" s="178"/>
      <c r="F3225" s="178"/>
      <c r="G3225" s="340"/>
      <c r="H3225" s="340"/>
      <c r="I3225" s="179"/>
      <c r="J3225" s="344"/>
      <c r="K3225" s="345"/>
      <c r="L3225" s="346"/>
      <c r="M3225" s="347"/>
      <c r="N3225" s="347"/>
      <c r="O3225" s="132"/>
    </row>
    <row r="3226" spans="2:15" ht="26.25" customHeight="1" x14ac:dyDescent="0.25">
      <c r="B3226" s="130"/>
      <c r="C3226" s="135"/>
      <c r="D3226" s="177"/>
      <c r="E3226" s="178"/>
      <c r="F3226" s="178"/>
      <c r="G3226" s="340"/>
      <c r="H3226" s="340"/>
      <c r="I3226" s="179"/>
      <c r="J3226" s="344"/>
      <c r="K3226" s="345"/>
      <c r="L3226" s="346"/>
      <c r="M3226" s="347"/>
      <c r="N3226" s="347"/>
      <c r="O3226" s="132"/>
    </row>
    <row r="3227" spans="2:15" ht="26.25" customHeight="1" x14ac:dyDescent="0.25">
      <c r="B3227" s="130"/>
      <c r="C3227" s="135"/>
      <c r="D3227" s="177"/>
      <c r="E3227" s="178"/>
      <c r="F3227" s="178"/>
      <c r="G3227" s="340"/>
      <c r="H3227" s="340"/>
      <c r="I3227" s="179"/>
      <c r="J3227" s="344"/>
      <c r="K3227" s="345"/>
      <c r="L3227" s="346"/>
      <c r="M3227" s="347"/>
      <c r="N3227" s="347"/>
      <c r="O3227" s="132"/>
    </row>
    <row r="3228" spans="2:15" ht="26.25" customHeight="1" x14ac:dyDescent="0.25">
      <c r="B3228" s="130"/>
      <c r="C3228" s="135"/>
      <c r="D3228" s="177"/>
      <c r="E3228" s="178"/>
      <c r="F3228" s="178"/>
      <c r="G3228" s="340"/>
      <c r="H3228" s="340"/>
      <c r="I3228" s="179"/>
      <c r="J3228" s="344"/>
      <c r="K3228" s="345"/>
      <c r="L3228" s="346"/>
      <c r="M3228" s="347"/>
      <c r="N3228" s="347"/>
      <c r="O3228" s="132"/>
    </row>
    <row r="3229" spans="2:15" ht="26.25" customHeight="1" x14ac:dyDescent="0.25">
      <c r="B3229" s="130"/>
      <c r="C3229" s="135"/>
      <c r="D3229" s="177"/>
      <c r="E3229" s="178"/>
      <c r="F3229" s="178"/>
      <c r="G3229" s="340"/>
      <c r="H3229" s="340"/>
      <c r="I3229" s="179"/>
      <c r="J3229" s="344"/>
      <c r="K3229" s="345"/>
      <c r="L3229" s="346"/>
      <c r="M3229" s="347"/>
      <c r="N3229" s="347"/>
      <c r="O3229" s="132"/>
    </row>
    <row r="3230" spans="2:15" ht="26.25" customHeight="1" x14ac:dyDescent="0.25">
      <c r="B3230" s="130"/>
      <c r="C3230" s="135"/>
      <c r="D3230" s="177"/>
      <c r="E3230" s="178"/>
      <c r="F3230" s="178"/>
      <c r="G3230" s="340"/>
      <c r="H3230" s="340"/>
      <c r="I3230" s="179"/>
      <c r="J3230" s="344"/>
      <c r="K3230" s="345"/>
      <c r="L3230" s="346"/>
      <c r="M3230" s="347"/>
      <c r="N3230" s="347"/>
      <c r="O3230" s="132"/>
    </row>
    <row r="3231" spans="2:15" ht="26.25" customHeight="1" x14ac:dyDescent="0.25">
      <c r="B3231" s="130"/>
      <c r="C3231" s="135"/>
      <c r="D3231" s="177"/>
      <c r="E3231" s="178"/>
      <c r="F3231" s="178"/>
      <c r="G3231" s="340"/>
      <c r="H3231" s="340"/>
      <c r="I3231" s="179"/>
      <c r="J3231" s="344"/>
      <c r="K3231" s="345"/>
      <c r="L3231" s="346"/>
      <c r="M3231" s="347"/>
      <c r="N3231" s="347"/>
      <c r="O3231" s="132"/>
    </row>
    <row r="3232" spans="2:15" ht="26.25" customHeight="1" x14ac:dyDescent="0.25">
      <c r="B3232" s="130"/>
      <c r="C3232" s="135"/>
      <c r="D3232" s="177"/>
      <c r="E3232" s="178"/>
      <c r="F3232" s="178"/>
      <c r="G3232" s="340"/>
      <c r="H3232" s="340"/>
      <c r="I3232" s="179"/>
      <c r="J3232" s="344"/>
      <c r="K3232" s="345"/>
      <c r="L3232" s="346"/>
      <c r="M3232" s="347"/>
      <c r="N3232" s="347"/>
      <c r="O3232" s="132"/>
    </row>
    <row r="3233" spans="2:15" ht="26.25" customHeight="1" x14ac:dyDescent="0.25">
      <c r="B3233" s="130"/>
      <c r="C3233" s="135"/>
      <c r="D3233" s="177"/>
      <c r="E3233" s="178"/>
      <c r="F3233" s="178"/>
      <c r="G3233" s="340"/>
      <c r="H3233" s="340"/>
      <c r="I3233" s="179"/>
      <c r="J3233" s="344"/>
      <c r="K3233" s="345"/>
      <c r="L3233" s="346"/>
      <c r="M3233" s="347"/>
      <c r="N3233" s="347"/>
      <c r="O3233" s="132"/>
    </row>
    <row r="3234" spans="2:15" ht="26.25" customHeight="1" x14ac:dyDescent="0.25">
      <c r="B3234" s="130"/>
      <c r="C3234" s="135"/>
      <c r="D3234" s="177"/>
      <c r="E3234" s="178"/>
      <c r="F3234" s="178"/>
      <c r="G3234" s="340"/>
      <c r="H3234" s="340"/>
      <c r="I3234" s="179"/>
      <c r="J3234" s="344"/>
      <c r="K3234" s="345"/>
      <c r="L3234" s="346"/>
      <c r="M3234" s="347"/>
      <c r="N3234" s="347"/>
      <c r="O3234" s="132"/>
    </row>
    <row r="3235" spans="2:15" ht="26.25" customHeight="1" x14ac:dyDescent="0.25">
      <c r="B3235" s="130"/>
      <c r="C3235" s="135"/>
      <c r="D3235" s="177"/>
      <c r="E3235" s="178"/>
      <c r="F3235" s="178"/>
      <c r="G3235" s="340"/>
      <c r="H3235" s="340"/>
      <c r="I3235" s="179"/>
      <c r="J3235" s="344"/>
      <c r="K3235" s="345"/>
      <c r="L3235" s="346"/>
      <c r="M3235" s="347"/>
      <c r="N3235" s="347"/>
      <c r="O3235" s="132"/>
    </row>
    <row r="3236" spans="2:15" ht="26.25" customHeight="1" x14ac:dyDescent="0.25">
      <c r="B3236" s="130"/>
      <c r="C3236" s="135"/>
      <c r="D3236" s="177"/>
      <c r="E3236" s="178"/>
      <c r="F3236" s="178"/>
      <c r="G3236" s="340"/>
      <c r="H3236" s="340"/>
      <c r="I3236" s="179"/>
      <c r="J3236" s="344"/>
      <c r="K3236" s="345"/>
      <c r="L3236" s="346"/>
      <c r="M3236" s="347"/>
      <c r="N3236" s="347"/>
      <c r="O3236" s="132"/>
    </row>
    <row r="3237" spans="2:15" ht="26.25" customHeight="1" x14ac:dyDescent="0.25">
      <c r="B3237" s="130"/>
      <c r="C3237" s="135"/>
      <c r="D3237" s="177"/>
      <c r="E3237" s="178"/>
      <c r="F3237" s="178"/>
      <c r="G3237" s="340"/>
      <c r="H3237" s="340"/>
      <c r="I3237" s="179"/>
      <c r="J3237" s="344"/>
      <c r="K3237" s="345"/>
      <c r="L3237" s="346"/>
      <c r="M3237" s="347"/>
      <c r="N3237" s="347"/>
      <c r="O3237" s="132"/>
    </row>
    <row r="3238" spans="2:15" ht="26.25" customHeight="1" x14ac:dyDescent="0.25">
      <c r="B3238" s="130"/>
      <c r="C3238" s="135"/>
      <c r="D3238" s="177"/>
      <c r="E3238" s="178"/>
      <c r="F3238" s="178"/>
      <c r="G3238" s="340"/>
      <c r="H3238" s="340"/>
      <c r="I3238" s="179"/>
      <c r="J3238" s="344"/>
      <c r="K3238" s="345"/>
      <c r="L3238" s="346"/>
      <c r="M3238" s="347"/>
      <c r="N3238" s="347"/>
      <c r="O3238" s="132"/>
    </row>
    <row r="3239" spans="2:15" ht="26.25" customHeight="1" x14ac:dyDescent="0.25">
      <c r="B3239" s="130"/>
      <c r="C3239" s="135"/>
      <c r="D3239" s="177"/>
      <c r="E3239" s="178"/>
      <c r="F3239" s="178"/>
      <c r="G3239" s="340"/>
      <c r="H3239" s="340"/>
      <c r="I3239" s="179"/>
      <c r="J3239" s="344"/>
      <c r="K3239" s="345"/>
      <c r="L3239" s="346"/>
      <c r="M3239" s="347"/>
      <c r="N3239" s="347"/>
      <c r="O3239" s="132"/>
    </row>
    <row r="3240" spans="2:15" ht="26.25" customHeight="1" x14ac:dyDescent="0.25">
      <c r="B3240" s="130"/>
      <c r="C3240" s="135"/>
      <c r="D3240" s="177"/>
      <c r="E3240" s="178"/>
      <c r="F3240" s="178"/>
      <c r="G3240" s="340"/>
      <c r="H3240" s="340"/>
      <c r="I3240" s="179"/>
      <c r="J3240" s="344"/>
      <c r="K3240" s="345"/>
      <c r="L3240" s="346"/>
      <c r="M3240" s="347"/>
      <c r="N3240" s="347"/>
      <c r="O3240" s="132"/>
    </row>
    <row r="3241" spans="2:15" ht="26.25" customHeight="1" x14ac:dyDescent="0.25">
      <c r="B3241" s="130"/>
      <c r="C3241" s="135"/>
      <c r="D3241" s="177"/>
      <c r="E3241" s="178"/>
      <c r="F3241" s="178"/>
      <c r="G3241" s="340"/>
      <c r="H3241" s="340"/>
      <c r="I3241" s="179"/>
      <c r="J3241" s="344"/>
      <c r="K3241" s="345"/>
      <c r="L3241" s="346"/>
      <c r="M3241" s="347"/>
      <c r="N3241" s="347"/>
      <c r="O3241" s="132"/>
    </row>
    <row r="3242" spans="2:15" ht="26.25" customHeight="1" x14ac:dyDescent="0.25">
      <c r="B3242" s="130"/>
      <c r="C3242" s="135"/>
      <c r="D3242" s="177"/>
      <c r="E3242" s="178"/>
      <c r="F3242" s="178"/>
      <c r="G3242" s="340"/>
      <c r="H3242" s="340"/>
      <c r="I3242" s="179"/>
      <c r="J3242" s="344"/>
      <c r="K3242" s="345"/>
      <c r="L3242" s="346"/>
      <c r="M3242" s="347"/>
      <c r="N3242" s="347"/>
      <c r="O3242" s="132"/>
    </row>
    <row r="3243" spans="2:15" ht="26.25" customHeight="1" x14ac:dyDescent="0.25">
      <c r="B3243" s="130"/>
      <c r="C3243" s="135"/>
      <c r="D3243" s="177"/>
      <c r="E3243" s="178"/>
      <c r="F3243" s="178"/>
      <c r="G3243" s="340"/>
      <c r="H3243" s="340"/>
      <c r="I3243" s="179"/>
      <c r="J3243" s="344"/>
      <c r="K3243" s="345"/>
      <c r="L3243" s="346"/>
      <c r="M3243" s="347"/>
      <c r="N3243" s="347"/>
      <c r="O3243" s="132"/>
    </row>
    <row r="3244" spans="2:15" ht="26.25" customHeight="1" x14ac:dyDescent="0.25">
      <c r="B3244" s="130"/>
      <c r="C3244" s="135"/>
      <c r="D3244" s="177"/>
      <c r="E3244" s="178"/>
      <c r="F3244" s="178"/>
      <c r="G3244" s="340"/>
      <c r="H3244" s="340"/>
      <c r="I3244" s="179"/>
      <c r="J3244" s="344"/>
      <c r="K3244" s="345"/>
      <c r="L3244" s="346"/>
      <c r="M3244" s="347"/>
      <c r="N3244" s="347"/>
      <c r="O3244" s="132"/>
    </row>
    <row r="3245" spans="2:15" ht="26.25" customHeight="1" x14ac:dyDescent="0.25">
      <c r="B3245" s="130"/>
      <c r="C3245" s="135"/>
      <c r="D3245" s="177"/>
      <c r="E3245" s="178"/>
      <c r="F3245" s="178"/>
      <c r="G3245" s="340"/>
      <c r="H3245" s="340"/>
      <c r="I3245" s="179"/>
      <c r="J3245" s="344"/>
      <c r="K3245" s="345"/>
      <c r="L3245" s="346"/>
      <c r="M3245" s="347"/>
      <c r="N3245" s="347"/>
      <c r="O3245" s="132"/>
    </row>
    <row r="3246" spans="2:15" ht="26.25" customHeight="1" x14ac:dyDescent="0.25">
      <c r="B3246" s="130"/>
      <c r="C3246" s="135"/>
      <c r="D3246" s="177"/>
      <c r="E3246" s="178"/>
      <c r="F3246" s="178"/>
      <c r="G3246" s="340"/>
      <c r="H3246" s="340"/>
      <c r="I3246" s="179"/>
      <c r="J3246" s="344"/>
      <c r="K3246" s="345"/>
      <c r="L3246" s="346"/>
      <c r="M3246" s="347"/>
      <c r="N3246" s="347"/>
      <c r="O3246" s="132"/>
    </row>
    <row r="3247" spans="2:15" ht="26.25" customHeight="1" x14ac:dyDescent="0.25">
      <c r="B3247" s="130"/>
      <c r="C3247" s="135"/>
      <c r="D3247" s="177"/>
      <c r="E3247" s="178"/>
      <c r="F3247" s="178"/>
      <c r="G3247" s="340"/>
      <c r="H3247" s="340"/>
      <c r="I3247" s="179"/>
      <c r="J3247" s="344"/>
      <c r="K3247" s="345"/>
      <c r="L3247" s="346"/>
      <c r="M3247" s="347"/>
      <c r="N3247" s="347"/>
      <c r="O3247" s="132"/>
    </row>
    <row r="3248" spans="2:15" ht="26.25" customHeight="1" x14ac:dyDescent="0.25">
      <c r="B3248" s="130"/>
      <c r="C3248" s="135"/>
      <c r="D3248" s="177"/>
      <c r="E3248" s="178"/>
      <c r="F3248" s="178"/>
      <c r="G3248" s="340"/>
      <c r="H3248" s="340"/>
      <c r="I3248" s="179"/>
      <c r="J3248" s="344"/>
      <c r="K3248" s="345"/>
      <c r="L3248" s="346"/>
      <c r="M3248" s="347"/>
      <c r="N3248" s="347"/>
      <c r="O3248" s="132"/>
    </row>
    <row r="3249" spans="2:15" ht="26.25" customHeight="1" x14ac:dyDescent="0.25">
      <c r="B3249" s="130"/>
      <c r="C3249" s="135"/>
      <c r="D3249" s="177"/>
      <c r="E3249" s="178"/>
      <c r="F3249" s="178"/>
      <c r="G3249" s="340"/>
      <c r="H3249" s="340"/>
      <c r="I3249" s="179"/>
      <c r="J3249" s="344"/>
      <c r="K3249" s="345"/>
      <c r="L3249" s="346"/>
      <c r="M3249" s="347"/>
      <c r="N3249" s="347"/>
      <c r="O3249" s="132"/>
    </row>
    <row r="3250" spans="2:15" ht="26.25" customHeight="1" x14ac:dyDescent="0.25">
      <c r="B3250" s="130"/>
      <c r="C3250" s="135"/>
      <c r="D3250" s="177"/>
      <c r="E3250" s="178"/>
      <c r="F3250" s="178"/>
      <c r="G3250" s="340"/>
      <c r="H3250" s="340"/>
      <c r="I3250" s="179"/>
      <c r="J3250" s="344"/>
      <c r="K3250" s="345"/>
      <c r="L3250" s="346"/>
      <c r="M3250" s="347"/>
      <c r="N3250" s="347"/>
      <c r="O3250" s="132"/>
    </row>
    <row r="3251" spans="2:15" ht="26.25" customHeight="1" x14ac:dyDescent="0.25">
      <c r="B3251" s="130"/>
      <c r="C3251" s="135"/>
      <c r="D3251" s="177"/>
      <c r="E3251" s="178"/>
      <c r="F3251" s="178"/>
      <c r="G3251" s="340"/>
      <c r="H3251" s="340"/>
      <c r="I3251" s="179"/>
      <c r="J3251" s="344"/>
      <c r="K3251" s="345"/>
      <c r="L3251" s="346"/>
      <c r="M3251" s="347"/>
      <c r="N3251" s="347"/>
      <c r="O3251" s="132"/>
    </row>
    <row r="3252" spans="2:15" ht="26.25" customHeight="1" x14ac:dyDescent="0.25">
      <c r="B3252" s="130"/>
      <c r="C3252" s="135"/>
      <c r="D3252" s="177"/>
      <c r="E3252" s="178"/>
      <c r="F3252" s="178"/>
      <c r="G3252" s="340"/>
      <c r="H3252" s="340"/>
      <c r="I3252" s="179"/>
      <c r="J3252" s="344"/>
      <c r="K3252" s="345"/>
      <c r="L3252" s="346"/>
      <c r="M3252" s="347"/>
      <c r="N3252" s="347"/>
      <c r="O3252" s="132"/>
    </row>
    <row r="3253" spans="2:15" ht="26.25" customHeight="1" x14ac:dyDescent="0.25">
      <c r="B3253" s="130"/>
      <c r="C3253" s="135"/>
      <c r="D3253" s="177"/>
      <c r="E3253" s="178"/>
      <c r="F3253" s="178"/>
      <c r="G3253" s="340"/>
      <c r="H3253" s="340"/>
      <c r="I3253" s="179"/>
      <c r="J3253" s="344"/>
      <c r="K3253" s="345"/>
      <c r="L3253" s="346"/>
      <c r="M3253" s="347"/>
      <c r="N3253" s="347"/>
      <c r="O3253" s="132"/>
    </row>
    <row r="3254" spans="2:15" ht="26.25" customHeight="1" x14ac:dyDescent="0.25">
      <c r="B3254" s="130"/>
      <c r="C3254" s="135"/>
      <c r="D3254" s="177"/>
      <c r="E3254" s="178"/>
      <c r="F3254" s="178"/>
      <c r="G3254" s="340"/>
      <c r="H3254" s="340"/>
      <c r="I3254" s="179"/>
      <c r="J3254" s="344"/>
      <c r="K3254" s="345"/>
      <c r="L3254" s="346"/>
      <c r="M3254" s="347"/>
      <c r="N3254" s="347"/>
      <c r="O3254" s="132"/>
    </row>
    <row r="3255" spans="2:15" ht="26.25" customHeight="1" x14ac:dyDescent="0.25">
      <c r="B3255" s="130"/>
      <c r="C3255" s="135"/>
      <c r="D3255" s="177"/>
      <c r="E3255" s="178"/>
      <c r="F3255" s="178"/>
      <c r="G3255" s="340"/>
      <c r="H3255" s="340"/>
      <c r="I3255" s="179"/>
      <c r="J3255" s="344"/>
      <c r="K3255" s="345"/>
      <c r="L3255" s="346"/>
      <c r="M3255" s="347"/>
      <c r="N3255" s="347"/>
      <c r="O3255" s="132"/>
    </row>
    <row r="3256" spans="2:15" ht="26.25" customHeight="1" x14ac:dyDescent="0.25">
      <c r="B3256" s="130"/>
      <c r="C3256" s="135"/>
      <c r="D3256" s="177"/>
      <c r="E3256" s="178"/>
      <c r="F3256" s="178"/>
      <c r="G3256" s="340"/>
      <c r="H3256" s="340"/>
      <c r="I3256" s="179"/>
      <c r="J3256" s="344"/>
      <c r="K3256" s="345"/>
      <c r="L3256" s="346"/>
      <c r="M3256" s="347"/>
      <c r="N3256" s="347"/>
      <c r="O3256" s="132"/>
    </row>
    <row r="3257" spans="2:15" ht="26.25" customHeight="1" x14ac:dyDescent="0.25">
      <c r="B3257" s="130"/>
      <c r="C3257" s="135"/>
      <c r="D3257" s="177"/>
      <c r="E3257" s="178"/>
      <c r="F3257" s="178"/>
      <c r="G3257" s="340"/>
      <c r="H3257" s="340"/>
      <c r="I3257" s="179"/>
      <c r="J3257" s="344"/>
      <c r="K3257" s="345"/>
      <c r="L3257" s="346"/>
      <c r="M3257" s="347"/>
      <c r="N3257" s="347"/>
      <c r="O3257" s="132"/>
    </row>
    <row r="3258" spans="2:15" ht="26.25" customHeight="1" x14ac:dyDescent="0.25">
      <c r="B3258" s="130"/>
      <c r="C3258" s="135"/>
      <c r="D3258" s="177"/>
      <c r="E3258" s="178"/>
      <c r="F3258" s="178"/>
      <c r="G3258" s="340"/>
      <c r="H3258" s="340"/>
      <c r="I3258" s="179"/>
      <c r="J3258" s="344"/>
      <c r="K3258" s="345"/>
      <c r="L3258" s="346"/>
      <c r="M3258" s="347"/>
      <c r="N3258" s="347"/>
      <c r="O3258" s="132"/>
    </row>
    <row r="3259" spans="2:15" ht="26.25" customHeight="1" x14ac:dyDescent="0.25">
      <c r="B3259" s="130"/>
      <c r="C3259" s="135"/>
      <c r="D3259" s="177"/>
      <c r="E3259" s="178"/>
      <c r="F3259" s="178"/>
      <c r="G3259" s="340"/>
      <c r="H3259" s="340"/>
      <c r="I3259" s="179"/>
      <c r="J3259" s="344"/>
      <c r="K3259" s="345"/>
      <c r="L3259" s="346"/>
      <c r="M3259" s="347"/>
      <c r="N3259" s="347"/>
      <c r="O3259" s="132"/>
    </row>
    <row r="3260" spans="2:15" ht="26.25" customHeight="1" x14ac:dyDescent="0.25">
      <c r="B3260" s="130"/>
      <c r="C3260" s="135"/>
      <c r="D3260" s="177"/>
      <c r="E3260" s="178"/>
      <c r="F3260" s="178"/>
      <c r="G3260" s="340"/>
      <c r="H3260" s="340"/>
      <c r="I3260" s="179"/>
      <c r="J3260" s="344"/>
      <c r="K3260" s="345"/>
      <c r="L3260" s="346"/>
      <c r="M3260" s="347"/>
      <c r="N3260" s="347"/>
      <c r="O3260" s="132"/>
    </row>
    <row r="3261" spans="2:15" ht="26.25" customHeight="1" x14ac:dyDescent="0.25">
      <c r="B3261" s="130"/>
      <c r="C3261" s="135"/>
      <c r="D3261" s="177"/>
      <c r="E3261" s="178"/>
      <c r="F3261" s="178"/>
      <c r="G3261" s="340"/>
      <c r="H3261" s="340"/>
      <c r="I3261" s="179"/>
      <c r="J3261" s="344"/>
      <c r="K3261" s="345"/>
      <c r="L3261" s="346"/>
      <c r="M3261" s="347"/>
      <c r="N3261" s="347"/>
      <c r="O3261" s="132"/>
    </row>
    <row r="3262" spans="2:15" ht="26.25" customHeight="1" x14ac:dyDescent="0.25">
      <c r="B3262" s="130"/>
      <c r="C3262" s="135"/>
      <c r="D3262" s="177"/>
      <c r="E3262" s="178"/>
      <c r="F3262" s="178"/>
      <c r="G3262" s="340"/>
      <c r="H3262" s="340"/>
      <c r="I3262" s="179"/>
      <c r="J3262" s="344"/>
      <c r="K3262" s="345"/>
      <c r="L3262" s="346"/>
      <c r="M3262" s="347"/>
      <c r="N3262" s="347"/>
      <c r="O3262" s="132"/>
    </row>
    <row r="3263" spans="2:15" ht="26.25" customHeight="1" x14ac:dyDescent="0.25">
      <c r="B3263" s="130"/>
      <c r="C3263" s="135"/>
      <c r="D3263" s="177"/>
      <c r="E3263" s="178"/>
      <c r="F3263" s="178"/>
      <c r="G3263" s="340"/>
      <c r="H3263" s="340"/>
      <c r="I3263" s="179"/>
      <c r="J3263" s="344"/>
      <c r="K3263" s="345"/>
      <c r="L3263" s="346"/>
      <c r="M3263" s="347"/>
      <c r="N3263" s="347"/>
      <c r="O3263" s="132"/>
    </row>
    <row r="3264" spans="2:15" ht="26.25" customHeight="1" x14ac:dyDescent="0.25">
      <c r="B3264" s="130"/>
      <c r="C3264" s="135"/>
      <c r="D3264" s="177"/>
      <c r="E3264" s="178"/>
      <c r="F3264" s="178"/>
      <c r="G3264" s="340"/>
      <c r="H3264" s="340"/>
      <c r="I3264" s="179"/>
      <c r="J3264" s="344"/>
      <c r="K3264" s="345"/>
      <c r="L3264" s="346"/>
      <c r="M3264" s="347"/>
      <c r="N3264" s="347"/>
      <c r="O3264" s="132"/>
    </row>
    <row r="3265" spans="2:15" ht="26.25" customHeight="1" x14ac:dyDescent="0.25">
      <c r="B3265" s="130"/>
      <c r="C3265" s="135"/>
      <c r="D3265" s="177"/>
      <c r="E3265" s="178"/>
      <c r="F3265" s="178"/>
      <c r="G3265" s="340"/>
      <c r="H3265" s="340"/>
      <c r="I3265" s="179"/>
      <c r="J3265" s="344"/>
      <c r="K3265" s="345"/>
      <c r="L3265" s="346"/>
      <c r="M3265" s="347"/>
      <c r="N3265" s="347"/>
      <c r="O3265" s="132"/>
    </row>
    <row r="3266" spans="2:15" ht="26.25" customHeight="1" x14ac:dyDescent="0.25">
      <c r="B3266" s="130"/>
      <c r="C3266" s="135"/>
      <c r="D3266" s="177"/>
      <c r="E3266" s="178"/>
      <c r="F3266" s="178"/>
      <c r="G3266" s="340"/>
      <c r="H3266" s="340"/>
      <c r="I3266" s="179"/>
      <c r="J3266" s="344"/>
      <c r="K3266" s="345"/>
      <c r="L3266" s="346"/>
      <c r="M3266" s="347"/>
      <c r="N3266" s="347"/>
      <c r="O3266" s="132"/>
    </row>
    <row r="3267" spans="2:15" ht="26.25" customHeight="1" x14ac:dyDescent="0.25">
      <c r="B3267" s="130"/>
      <c r="C3267" s="135"/>
      <c r="D3267" s="177"/>
      <c r="E3267" s="178"/>
      <c r="F3267" s="178"/>
      <c r="G3267" s="340"/>
      <c r="H3267" s="340"/>
      <c r="I3267" s="179"/>
      <c r="J3267" s="344"/>
      <c r="K3267" s="345"/>
      <c r="L3267" s="346"/>
      <c r="M3267" s="347"/>
      <c r="N3267" s="347"/>
      <c r="O3267" s="132"/>
    </row>
    <row r="3268" spans="2:15" ht="26.25" customHeight="1" x14ac:dyDescent="0.25">
      <c r="B3268" s="130"/>
      <c r="C3268" s="135"/>
      <c r="D3268" s="177"/>
      <c r="E3268" s="178"/>
      <c r="F3268" s="178"/>
      <c r="G3268" s="340"/>
      <c r="H3268" s="340"/>
      <c r="I3268" s="179"/>
      <c r="J3268" s="344"/>
      <c r="K3268" s="345"/>
      <c r="L3268" s="346"/>
      <c r="M3268" s="347"/>
      <c r="N3268" s="347"/>
      <c r="O3268" s="132"/>
    </row>
    <row r="3269" spans="2:15" ht="26.25" customHeight="1" x14ac:dyDescent="0.25">
      <c r="B3269" s="130"/>
      <c r="C3269" s="135"/>
      <c r="D3269" s="177"/>
      <c r="E3269" s="178"/>
      <c r="F3269" s="178"/>
      <c r="G3269" s="340"/>
      <c r="H3269" s="340"/>
      <c r="I3269" s="179"/>
      <c r="J3269" s="344"/>
      <c r="K3269" s="345"/>
      <c r="L3269" s="346"/>
      <c r="M3269" s="347"/>
      <c r="N3269" s="347"/>
      <c r="O3269" s="132"/>
    </row>
    <row r="3270" spans="2:15" ht="26.25" customHeight="1" x14ac:dyDescent="0.25">
      <c r="B3270" s="130"/>
      <c r="C3270" s="135"/>
      <c r="D3270" s="177"/>
      <c r="E3270" s="178"/>
      <c r="F3270" s="178"/>
      <c r="G3270" s="340"/>
      <c r="H3270" s="340"/>
      <c r="I3270" s="179"/>
      <c r="J3270" s="344"/>
      <c r="K3270" s="345"/>
      <c r="L3270" s="346"/>
      <c r="M3270" s="347"/>
      <c r="N3270" s="347"/>
      <c r="O3270" s="132"/>
    </row>
    <row r="3271" spans="2:15" ht="26.25" customHeight="1" x14ac:dyDescent="0.25">
      <c r="B3271" s="130"/>
      <c r="C3271" s="135"/>
      <c r="D3271" s="177"/>
      <c r="E3271" s="178"/>
      <c r="F3271" s="178"/>
      <c r="G3271" s="340"/>
      <c r="H3271" s="340"/>
      <c r="I3271" s="179"/>
      <c r="J3271" s="344"/>
      <c r="K3271" s="345"/>
      <c r="L3271" s="346"/>
      <c r="M3271" s="347"/>
      <c r="N3271" s="347"/>
      <c r="O3271" s="132"/>
    </row>
    <row r="3272" spans="2:15" ht="26.25" customHeight="1" x14ac:dyDescent="0.25">
      <c r="B3272" s="130"/>
      <c r="C3272" s="135"/>
      <c r="D3272" s="177"/>
      <c r="E3272" s="178"/>
      <c r="F3272" s="178"/>
      <c r="G3272" s="340"/>
      <c r="H3272" s="340"/>
      <c r="I3272" s="179"/>
      <c r="J3272" s="344"/>
      <c r="K3272" s="345"/>
      <c r="L3272" s="346"/>
      <c r="M3272" s="347"/>
      <c r="N3272" s="347"/>
      <c r="O3272" s="132"/>
    </row>
    <row r="3273" spans="2:15" ht="26.25" customHeight="1" x14ac:dyDescent="0.25">
      <c r="B3273" s="130"/>
      <c r="C3273" s="135"/>
      <c r="D3273" s="177"/>
      <c r="E3273" s="178"/>
      <c r="F3273" s="178"/>
      <c r="G3273" s="340"/>
      <c r="H3273" s="340"/>
      <c r="I3273" s="179"/>
      <c r="J3273" s="344"/>
      <c r="K3273" s="345"/>
      <c r="L3273" s="346"/>
      <c r="M3273" s="347"/>
      <c r="N3273" s="347"/>
      <c r="O3273" s="132"/>
    </row>
    <row r="3274" spans="2:15" ht="26.25" customHeight="1" x14ac:dyDescent="0.25">
      <c r="B3274" s="130"/>
      <c r="C3274" s="135"/>
      <c r="D3274" s="177"/>
      <c r="E3274" s="178"/>
      <c r="F3274" s="178"/>
      <c r="G3274" s="340"/>
      <c r="H3274" s="340"/>
      <c r="I3274" s="179"/>
      <c r="J3274" s="344"/>
      <c r="K3274" s="345"/>
      <c r="L3274" s="346"/>
      <c r="M3274" s="347"/>
      <c r="N3274" s="347"/>
      <c r="O3274" s="132"/>
    </row>
    <row r="3275" spans="2:15" ht="26.25" customHeight="1" x14ac:dyDescent="0.25">
      <c r="B3275" s="130"/>
      <c r="C3275" s="135"/>
      <c r="D3275" s="177"/>
      <c r="E3275" s="178"/>
      <c r="F3275" s="178"/>
      <c r="G3275" s="340"/>
      <c r="H3275" s="340"/>
      <c r="I3275" s="179"/>
      <c r="J3275" s="344"/>
      <c r="K3275" s="345"/>
      <c r="L3275" s="346"/>
      <c r="M3275" s="347"/>
      <c r="N3275" s="347"/>
      <c r="O3275" s="132"/>
    </row>
    <row r="3276" spans="2:15" ht="26.25" customHeight="1" x14ac:dyDescent="0.25">
      <c r="B3276" s="130"/>
      <c r="C3276" s="135"/>
      <c r="D3276" s="177"/>
      <c r="E3276" s="178"/>
      <c r="F3276" s="178"/>
      <c r="G3276" s="340"/>
      <c r="H3276" s="340"/>
      <c r="I3276" s="179"/>
      <c r="J3276" s="344"/>
      <c r="K3276" s="345"/>
      <c r="L3276" s="346"/>
      <c r="M3276" s="347"/>
      <c r="N3276" s="347"/>
      <c r="O3276" s="132"/>
    </row>
    <row r="3277" spans="2:15" ht="26.25" customHeight="1" x14ac:dyDescent="0.25">
      <c r="B3277" s="130"/>
      <c r="C3277" s="135"/>
      <c r="D3277" s="177"/>
      <c r="E3277" s="178"/>
      <c r="F3277" s="178"/>
      <c r="G3277" s="340"/>
      <c r="H3277" s="340"/>
      <c r="I3277" s="179"/>
      <c r="J3277" s="344"/>
      <c r="K3277" s="345"/>
      <c r="L3277" s="346"/>
      <c r="M3277" s="347"/>
      <c r="N3277" s="347"/>
      <c r="O3277" s="132"/>
    </row>
    <row r="3278" spans="2:15" ht="26.25" customHeight="1" x14ac:dyDescent="0.25">
      <c r="B3278" s="130"/>
      <c r="C3278" s="135"/>
      <c r="D3278" s="177"/>
      <c r="E3278" s="178"/>
      <c r="F3278" s="178"/>
      <c r="G3278" s="340"/>
      <c r="H3278" s="340"/>
      <c r="I3278" s="179"/>
      <c r="J3278" s="344"/>
      <c r="K3278" s="345"/>
      <c r="L3278" s="346"/>
      <c r="M3278" s="347"/>
      <c r="N3278" s="347"/>
      <c r="O3278" s="132"/>
    </row>
    <row r="3279" spans="2:15" ht="26.25" customHeight="1" x14ac:dyDescent="0.25">
      <c r="B3279" s="130"/>
      <c r="C3279" s="135"/>
      <c r="D3279" s="177"/>
      <c r="E3279" s="178"/>
      <c r="F3279" s="178"/>
      <c r="G3279" s="340"/>
      <c r="H3279" s="340"/>
      <c r="I3279" s="179"/>
      <c r="J3279" s="344"/>
      <c r="K3279" s="345"/>
      <c r="L3279" s="346"/>
      <c r="M3279" s="347"/>
      <c r="N3279" s="347"/>
      <c r="O3279" s="132"/>
    </row>
    <row r="3280" spans="2:15" ht="26.25" customHeight="1" x14ac:dyDescent="0.25">
      <c r="B3280" s="130"/>
      <c r="C3280" s="135"/>
      <c r="D3280" s="177"/>
      <c r="E3280" s="178"/>
      <c r="F3280" s="178"/>
      <c r="G3280" s="340"/>
      <c r="H3280" s="340"/>
      <c r="I3280" s="179"/>
      <c r="J3280" s="344"/>
      <c r="K3280" s="345"/>
      <c r="L3280" s="346"/>
      <c r="M3280" s="347"/>
      <c r="N3280" s="347"/>
      <c r="O3280" s="132"/>
    </row>
    <row r="3281" spans="2:15" ht="26.25" customHeight="1" x14ac:dyDescent="0.25">
      <c r="B3281" s="130"/>
      <c r="C3281" s="135"/>
      <c r="D3281" s="177"/>
      <c r="E3281" s="178"/>
      <c r="F3281" s="178"/>
      <c r="G3281" s="340"/>
      <c r="H3281" s="340"/>
      <c r="I3281" s="179"/>
      <c r="J3281" s="344"/>
      <c r="K3281" s="345"/>
      <c r="L3281" s="346"/>
      <c r="M3281" s="347"/>
      <c r="N3281" s="347"/>
      <c r="O3281" s="132"/>
    </row>
    <row r="3282" spans="2:15" ht="26.25" customHeight="1" x14ac:dyDescent="0.25">
      <c r="B3282" s="130"/>
      <c r="C3282" s="135"/>
      <c r="D3282" s="177"/>
      <c r="E3282" s="178"/>
      <c r="F3282" s="178"/>
      <c r="G3282" s="340"/>
      <c r="H3282" s="340"/>
      <c r="I3282" s="179"/>
      <c r="J3282" s="344"/>
      <c r="K3282" s="345"/>
      <c r="L3282" s="346"/>
      <c r="M3282" s="347"/>
      <c r="N3282" s="347"/>
      <c r="O3282" s="132"/>
    </row>
    <row r="3283" spans="2:15" ht="26.25" customHeight="1" x14ac:dyDescent="0.25">
      <c r="B3283" s="130"/>
      <c r="C3283" s="135"/>
      <c r="D3283" s="177"/>
      <c r="E3283" s="178"/>
      <c r="F3283" s="178"/>
      <c r="G3283" s="340"/>
      <c r="H3283" s="340"/>
      <c r="I3283" s="179"/>
      <c r="J3283" s="344"/>
      <c r="K3283" s="345"/>
      <c r="L3283" s="346"/>
      <c r="M3283" s="347"/>
      <c r="N3283" s="347"/>
      <c r="O3283" s="132"/>
    </row>
    <row r="3284" spans="2:15" ht="26.25" customHeight="1" x14ac:dyDescent="0.25">
      <c r="B3284" s="130"/>
      <c r="C3284" s="135"/>
      <c r="D3284" s="177"/>
      <c r="E3284" s="178"/>
      <c r="F3284" s="178"/>
      <c r="G3284" s="340"/>
      <c r="H3284" s="340"/>
      <c r="I3284" s="179"/>
      <c r="J3284" s="344"/>
      <c r="K3284" s="345"/>
      <c r="L3284" s="346"/>
      <c r="M3284" s="347"/>
      <c r="N3284" s="347"/>
      <c r="O3284" s="132"/>
    </row>
    <row r="3285" spans="2:15" ht="26.25" customHeight="1" x14ac:dyDescent="0.25">
      <c r="B3285" s="130"/>
      <c r="C3285" s="135"/>
      <c r="D3285" s="177"/>
      <c r="E3285" s="178"/>
      <c r="F3285" s="178"/>
      <c r="G3285" s="340"/>
      <c r="H3285" s="340"/>
      <c r="I3285" s="179"/>
      <c r="J3285" s="344"/>
      <c r="K3285" s="345"/>
      <c r="L3285" s="346"/>
      <c r="M3285" s="347"/>
      <c r="N3285" s="347"/>
      <c r="O3285" s="132"/>
    </row>
    <row r="3286" spans="2:15" ht="26.25" customHeight="1" x14ac:dyDescent="0.25">
      <c r="B3286" s="130"/>
      <c r="C3286" s="135"/>
      <c r="D3286" s="177"/>
      <c r="E3286" s="178"/>
      <c r="F3286" s="178"/>
      <c r="G3286" s="340"/>
      <c r="H3286" s="340"/>
      <c r="I3286" s="179"/>
      <c r="J3286" s="344"/>
      <c r="K3286" s="345"/>
      <c r="L3286" s="346"/>
      <c r="M3286" s="347"/>
      <c r="N3286" s="347"/>
      <c r="O3286" s="132"/>
    </row>
    <row r="3287" spans="2:15" ht="26.25" customHeight="1" x14ac:dyDescent="0.25">
      <c r="B3287" s="130"/>
      <c r="C3287" s="135"/>
      <c r="D3287" s="177"/>
      <c r="E3287" s="178"/>
      <c r="F3287" s="178"/>
      <c r="G3287" s="340"/>
      <c r="H3287" s="340"/>
      <c r="I3287" s="179"/>
      <c r="J3287" s="344"/>
      <c r="K3287" s="345"/>
      <c r="L3287" s="346"/>
      <c r="M3287" s="347"/>
      <c r="N3287" s="347"/>
      <c r="O3287" s="132"/>
    </row>
    <row r="3288" spans="2:15" ht="26.25" customHeight="1" x14ac:dyDescent="0.25">
      <c r="B3288" s="130"/>
      <c r="C3288" s="135"/>
      <c r="D3288" s="177"/>
      <c r="E3288" s="178"/>
      <c r="F3288" s="178"/>
      <c r="G3288" s="340"/>
      <c r="H3288" s="340"/>
      <c r="I3288" s="179"/>
      <c r="J3288" s="344"/>
      <c r="K3288" s="345"/>
      <c r="L3288" s="346"/>
      <c r="M3288" s="347"/>
      <c r="N3288" s="347"/>
      <c r="O3288" s="132"/>
    </row>
    <row r="3289" spans="2:15" ht="26.25" customHeight="1" x14ac:dyDescent="0.25">
      <c r="B3289" s="130"/>
      <c r="C3289" s="135"/>
      <c r="D3289" s="177"/>
      <c r="E3289" s="178"/>
      <c r="F3289" s="178"/>
      <c r="G3289" s="340"/>
      <c r="H3289" s="340"/>
      <c r="I3289" s="179"/>
      <c r="J3289" s="344"/>
      <c r="K3289" s="345"/>
      <c r="L3289" s="346"/>
      <c r="M3289" s="347"/>
      <c r="N3289" s="347"/>
      <c r="O3289" s="132"/>
    </row>
    <row r="3290" spans="2:15" ht="26.25" customHeight="1" x14ac:dyDescent="0.25">
      <c r="B3290" s="130"/>
      <c r="C3290" s="135"/>
      <c r="D3290" s="177"/>
      <c r="E3290" s="178"/>
      <c r="F3290" s="178"/>
      <c r="G3290" s="340"/>
      <c r="H3290" s="340"/>
      <c r="I3290" s="179"/>
      <c r="J3290" s="344"/>
      <c r="K3290" s="345"/>
      <c r="L3290" s="346"/>
      <c r="M3290" s="347"/>
      <c r="N3290" s="347"/>
      <c r="O3290" s="132"/>
    </row>
    <row r="3291" spans="2:15" ht="26.25" customHeight="1" x14ac:dyDescent="0.25">
      <c r="B3291" s="130"/>
      <c r="C3291" s="135"/>
      <c r="D3291" s="177"/>
      <c r="E3291" s="178"/>
      <c r="F3291" s="178"/>
      <c r="G3291" s="340"/>
      <c r="H3291" s="340"/>
      <c r="I3291" s="179"/>
      <c r="J3291" s="344"/>
      <c r="K3291" s="345"/>
      <c r="L3291" s="346"/>
      <c r="M3291" s="347"/>
      <c r="N3291" s="347"/>
      <c r="O3291" s="132"/>
    </row>
    <row r="3292" spans="2:15" ht="26.25" customHeight="1" x14ac:dyDescent="0.25">
      <c r="B3292" s="130"/>
      <c r="C3292" s="135"/>
      <c r="D3292" s="177"/>
      <c r="E3292" s="178"/>
      <c r="F3292" s="178"/>
      <c r="G3292" s="340"/>
      <c r="H3292" s="340"/>
      <c r="I3292" s="179"/>
      <c r="J3292" s="344"/>
      <c r="K3292" s="345"/>
      <c r="L3292" s="346"/>
      <c r="M3292" s="347"/>
      <c r="N3292" s="347"/>
      <c r="O3292" s="132"/>
    </row>
    <row r="3293" spans="2:15" ht="26.25" customHeight="1" x14ac:dyDescent="0.25">
      <c r="B3293" s="130"/>
      <c r="C3293" s="135"/>
      <c r="D3293" s="177"/>
      <c r="E3293" s="178"/>
      <c r="F3293" s="178"/>
      <c r="G3293" s="340"/>
      <c r="H3293" s="340"/>
      <c r="I3293" s="179"/>
      <c r="J3293" s="344"/>
      <c r="K3293" s="345"/>
      <c r="L3293" s="346"/>
      <c r="M3293" s="347"/>
      <c r="N3293" s="347"/>
      <c r="O3293" s="132"/>
    </row>
    <row r="3294" spans="2:15" ht="26.25" customHeight="1" x14ac:dyDescent="0.25">
      <c r="B3294" s="130"/>
      <c r="C3294" s="135"/>
      <c r="D3294" s="177"/>
      <c r="E3294" s="178"/>
      <c r="F3294" s="178"/>
      <c r="G3294" s="340"/>
      <c r="H3294" s="340"/>
      <c r="I3294" s="179"/>
      <c r="J3294" s="344"/>
      <c r="K3294" s="345"/>
      <c r="L3294" s="346"/>
      <c r="M3294" s="347"/>
      <c r="N3294" s="347"/>
      <c r="O3294" s="132"/>
    </row>
    <row r="3295" spans="2:15" ht="26.25" customHeight="1" x14ac:dyDescent="0.25">
      <c r="B3295" s="130"/>
      <c r="C3295" s="135"/>
      <c r="D3295" s="177"/>
      <c r="E3295" s="178"/>
      <c r="F3295" s="178"/>
      <c r="G3295" s="340"/>
      <c r="H3295" s="340"/>
      <c r="I3295" s="179"/>
      <c r="J3295" s="344"/>
      <c r="K3295" s="345"/>
      <c r="L3295" s="346"/>
      <c r="M3295" s="347"/>
      <c r="N3295" s="347"/>
      <c r="O3295" s="132"/>
    </row>
    <row r="3296" spans="2:15" ht="26.25" customHeight="1" x14ac:dyDescent="0.25">
      <c r="B3296" s="130"/>
      <c r="C3296" s="135"/>
      <c r="D3296" s="177"/>
      <c r="E3296" s="178"/>
      <c r="F3296" s="178"/>
      <c r="G3296" s="340"/>
      <c r="H3296" s="340"/>
      <c r="I3296" s="179"/>
      <c r="J3296" s="344"/>
      <c r="K3296" s="345"/>
      <c r="L3296" s="346"/>
      <c r="M3296" s="347"/>
      <c r="N3296" s="347"/>
      <c r="O3296" s="132"/>
    </row>
    <row r="3297" spans="2:15" ht="26.25" customHeight="1" x14ac:dyDescent="0.25">
      <c r="B3297" s="130"/>
      <c r="C3297" s="135"/>
      <c r="D3297" s="177"/>
      <c r="E3297" s="178"/>
      <c r="F3297" s="178"/>
      <c r="G3297" s="340"/>
      <c r="H3297" s="340"/>
      <c r="I3297" s="179"/>
      <c r="J3297" s="344"/>
      <c r="K3297" s="345"/>
      <c r="L3297" s="346"/>
      <c r="M3297" s="347"/>
      <c r="N3297" s="347"/>
      <c r="O3297" s="132"/>
    </row>
    <row r="3298" spans="2:15" ht="26.25" customHeight="1" x14ac:dyDescent="0.25">
      <c r="B3298" s="130"/>
      <c r="C3298" s="135"/>
      <c r="D3298" s="177"/>
      <c r="E3298" s="178"/>
      <c r="F3298" s="178"/>
      <c r="G3298" s="340"/>
      <c r="H3298" s="340"/>
      <c r="I3298" s="179"/>
      <c r="J3298" s="344"/>
      <c r="K3298" s="345"/>
      <c r="L3298" s="346"/>
      <c r="M3298" s="347"/>
      <c r="N3298" s="347"/>
      <c r="O3298" s="132"/>
    </row>
    <row r="3299" spans="2:15" ht="26.25" customHeight="1" x14ac:dyDescent="0.25">
      <c r="B3299" s="130"/>
      <c r="C3299" s="135"/>
      <c r="D3299" s="177"/>
      <c r="E3299" s="178"/>
      <c r="F3299" s="178"/>
      <c r="G3299" s="340"/>
      <c r="H3299" s="340"/>
      <c r="I3299" s="179"/>
      <c r="J3299" s="344"/>
      <c r="K3299" s="345"/>
      <c r="L3299" s="346"/>
      <c r="M3299" s="347"/>
      <c r="N3299" s="347"/>
      <c r="O3299" s="132"/>
    </row>
    <row r="3300" spans="2:15" ht="26.25" customHeight="1" x14ac:dyDescent="0.25">
      <c r="B3300" s="130"/>
      <c r="C3300" s="135"/>
      <c r="D3300" s="177"/>
      <c r="E3300" s="178"/>
      <c r="F3300" s="178"/>
      <c r="G3300" s="340"/>
      <c r="H3300" s="340"/>
      <c r="I3300" s="179"/>
      <c r="J3300" s="344"/>
      <c r="K3300" s="345"/>
      <c r="L3300" s="346"/>
      <c r="M3300" s="347"/>
      <c r="N3300" s="347"/>
      <c r="O3300" s="132"/>
    </row>
    <row r="3301" spans="2:15" ht="26.25" customHeight="1" x14ac:dyDescent="0.25">
      <c r="B3301" s="130"/>
      <c r="C3301" s="135"/>
      <c r="D3301" s="177"/>
      <c r="E3301" s="178"/>
      <c r="F3301" s="178"/>
      <c r="G3301" s="340"/>
      <c r="H3301" s="340"/>
      <c r="I3301" s="179"/>
      <c r="J3301" s="344"/>
      <c r="K3301" s="345"/>
      <c r="L3301" s="346"/>
      <c r="M3301" s="347"/>
      <c r="N3301" s="347"/>
      <c r="O3301" s="132"/>
    </row>
    <row r="3302" spans="2:15" ht="26.25" customHeight="1" x14ac:dyDescent="0.25">
      <c r="B3302" s="130"/>
      <c r="C3302" s="135"/>
      <c r="D3302" s="177"/>
      <c r="E3302" s="178"/>
      <c r="F3302" s="178"/>
      <c r="G3302" s="340"/>
      <c r="H3302" s="340"/>
      <c r="I3302" s="179"/>
      <c r="J3302" s="344"/>
      <c r="K3302" s="345"/>
      <c r="L3302" s="346"/>
      <c r="M3302" s="347"/>
      <c r="N3302" s="347"/>
      <c r="O3302" s="132"/>
    </row>
    <row r="3303" spans="2:15" ht="26.25" customHeight="1" x14ac:dyDescent="0.25">
      <c r="B3303" s="130"/>
      <c r="C3303" s="135"/>
      <c r="D3303" s="177"/>
      <c r="E3303" s="178"/>
      <c r="F3303" s="178"/>
      <c r="G3303" s="340"/>
      <c r="H3303" s="340"/>
      <c r="I3303" s="179"/>
      <c r="J3303" s="344"/>
      <c r="K3303" s="345"/>
      <c r="L3303" s="346"/>
      <c r="M3303" s="347"/>
      <c r="N3303" s="347"/>
      <c r="O3303" s="132"/>
    </row>
    <row r="3304" spans="2:15" ht="26.25" customHeight="1" x14ac:dyDescent="0.25">
      <c r="B3304" s="130"/>
      <c r="C3304" s="135"/>
      <c r="D3304" s="177"/>
      <c r="E3304" s="178"/>
      <c r="F3304" s="178"/>
      <c r="G3304" s="340"/>
      <c r="H3304" s="340"/>
      <c r="I3304" s="179"/>
      <c r="J3304" s="344"/>
      <c r="K3304" s="345"/>
      <c r="L3304" s="346"/>
      <c r="M3304" s="347"/>
      <c r="N3304" s="347"/>
      <c r="O3304" s="132"/>
    </row>
    <row r="3305" spans="2:15" ht="26.25" customHeight="1" x14ac:dyDescent="0.25">
      <c r="B3305" s="130"/>
      <c r="C3305" s="135"/>
      <c r="D3305" s="177"/>
      <c r="E3305" s="178"/>
      <c r="F3305" s="178"/>
      <c r="G3305" s="340"/>
      <c r="H3305" s="340"/>
      <c r="I3305" s="179"/>
      <c r="J3305" s="344"/>
      <c r="K3305" s="345"/>
      <c r="L3305" s="346"/>
      <c r="M3305" s="347"/>
      <c r="N3305" s="347"/>
      <c r="O3305" s="132"/>
    </row>
    <row r="3306" spans="2:15" ht="26.25" customHeight="1" x14ac:dyDescent="0.25">
      <c r="B3306" s="130"/>
      <c r="C3306" s="135"/>
      <c r="D3306" s="177"/>
      <c r="E3306" s="178"/>
      <c r="F3306" s="178"/>
      <c r="G3306" s="340"/>
      <c r="H3306" s="340"/>
      <c r="I3306" s="179"/>
      <c r="J3306" s="344"/>
      <c r="K3306" s="345"/>
      <c r="L3306" s="346"/>
      <c r="M3306" s="347"/>
      <c r="N3306" s="347"/>
      <c r="O3306" s="132"/>
    </row>
    <row r="3307" spans="2:15" ht="26.25" customHeight="1" x14ac:dyDescent="0.25">
      <c r="B3307" s="130"/>
      <c r="C3307" s="135"/>
      <c r="D3307" s="177"/>
      <c r="E3307" s="178"/>
      <c r="F3307" s="178"/>
      <c r="G3307" s="340"/>
      <c r="H3307" s="340"/>
      <c r="I3307" s="179"/>
      <c r="J3307" s="344"/>
      <c r="K3307" s="345"/>
      <c r="L3307" s="346"/>
      <c r="M3307" s="347"/>
      <c r="N3307" s="347"/>
      <c r="O3307" s="132"/>
    </row>
    <row r="3308" spans="2:15" ht="26.25" customHeight="1" x14ac:dyDescent="0.25">
      <c r="B3308" s="130"/>
      <c r="C3308" s="135"/>
      <c r="D3308" s="177"/>
      <c r="E3308" s="178"/>
      <c r="F3308" s="178"/>
      <c r="G3308" s="340"/>
      <c r="H3308" s="340"/>
      <c r="I3308" s="179"/>
      <c r="J3308" s="344"/>
      <c r="K3308" s="345"/>
      <c r="L3308" s="346"/>
      <c r="M3308" s="347"/>
      <c r="N3308" s="347"/>
      <c r="O3308" s="132"/>
    </row>
    <row r="3309" spans="2:15" ht="26.25" customHeight="1" x14ac:dyDescent="0.25">
      <c r="B3309" s="130"/>
      <c r="C3309" s="135"/>
      <c r="D3309" s="177"/>
      <c r="E3309" s="178"/>
      <c r="F3309" s="178"/>
      <c r="G3309" s="340"/>
      <c r="H3309" s="340"/>
      <c r="I3309" s="179"/>
      <c r="J3309" s="344"/>
      <c r="K3309" s="345"/>
      <c r="L3309" s="346"/>
      <c r="M3309" s="347"/>
      <c r="N3309" s="347"/>
      <c r="O3309" s="132"/>
    </row>
    <row r="3310" spans="2:15" ht="26.25" customHeight="1" x14ac:dyDescent="0.25">
      <c r="B3310" s="130"/>
      <c r="C3310" s="135"/>
      <c r="D3310" s="177"/>
      <c r="E3310" s="178"/>
      <c r="F3310" s="178"/>
      <c r="G3310" s="340"/>
      <c r="H3310" s="340"/>
      <c r="I3310" s="179"/>
      <c r="J3310" s="344"/>
      <c r="K3310" s="345"/>
      <c r="L3310" s="346"/>
      <c r="M3310" s="347"/>
      <c r="N3310" s="347"/>
      <c r="O3310" s="132"/>
    </row>
    <row r="3311" spans="2:15" ht="26.25" customHeight="1" x14ac:dyDescent="0.25">
      <c r="B3311" s="130"/>
      <c r="C3311" s="135"/>
      <c r="D3311" s="177"/>
      <c r="E3311" s="178"/>
      <c r="F3311" s="178"/>
      <c r="G3311" s="340"/>
      <c r="H3311" s="340"/>
      <c r="I3311" s="179"/>
      <c r="J3311" s="344"/>
      <c r="K3311" s="345"/>
      <c r="L3311" s="346"/>
      <c r="M3311" s="347"/>
      <c r="N3311" s="347"/>
      <c r="O3311" s="132"/>
    </row>
    <row r="3312" spans="2:15" ht="26.25" customHeight="1" x14ac:dyDescent="0.25">
      <c r="B3312" s="130"/>
      <c r="C3312" s="135"/>
      <c r="D3312" s="177"/>
      <c r="E3312" s="178"/>
      <c r="F3312" s="178"/>
      <c r="G3312" s="340"/>
      <c r="H3312" s="340"/>
      <c r="I3312" s="179"/>
      <c r="J3312" s="344"/>
      <c r="K3312" s="345"/>
      <c r="L3312" s="346"/>
      <c r="M3312" s="347"/>
      <c r="N3312" s="347"/>
      <c r="O3312" s="132"/>
    </row>
    <row r="3313" spans="2:15" ht="26.25" customHeight="1" x14ac:dyDescent="0.25">
      <c r="B3313" s="130"/>
      <c r="C3313" s="135"/>
      <c r="D3313" s="177"/>
      <c r="E3313" s="178"/>
      <c r="F3313" s="178"/>
      <c r="G3313" s="340"/>
      <c r="H3313" s="340"/>
      <c r="I3313" s="179"/>
      <c r="J3313" s="344"/>
      <c r="K3313" s="345"/>
      <c r="L3313" s="346"/>
      <c r="M3313" s="347"/>
      <c r="N3313" s="347"/>
      <c r="O3313" s="132"/>
    </row>
    <row r="3314" spans="2:15" ht="26.25" customHeight="1" x14ac:dyDescent="0.25">
      <c r="B3314" s="130"/>
      <c r="C3314" s="135"/>
      <c r="D3314" s="177"/>
      <c r="E3314" s="178"/>
      <c r="F3314" s="178"/>
      <c r="G3314" s="340"/>
      <c r="H3314" s="340"/>
      <c r="I3314" s="179"/>
      <c r="J3314" s="344"/>
      <c r="K3314" s="345"/>
      <c r="L3314" s="346"/>
      <c r="M3314" s="347"/>
      <c r="N3314" s="347"/>
      <c r="O3314" s="132"/>
    </row>
    <row r="3315" spans="2:15" ht="26.25" customHeight="1" x14ac:dyDescent="0.25">
      <c r="B3315" s="130"/>
      <c r="C3315" s="135"/>
      <c r="D3315" s="177"/>
      <c r="E3315" s="178"/>
      <c r="F3315" s="178"/>
      <c r="G3315" s="340"/>
      <c r="H3315" s="340"/>
      <c r="I3315" s="179"/>
      <c r="J3315" s="344"/>
      <c r="K3315" s="345"/>
      <c r="L3315" s="346"/>
      <c r="M3315" s="347"/>
      <c r="N3315" s="347"/>
      <c r="O3315" s="132"/>
    </row>
    <row r="3316" spans="2:15" ht="26.25" customHeight="1" x14ac:dyDescent="0.25">
      <c r="B3316" s="130"/>
      <c r="C3316" s="135"/>
      <c r="D3316" s="177"/>
      <c r="E3316" s="178"/>
      <c r="F3316" s="178"/>
      <c r="G3316" s="340"/>
      <c r="H3316" s="340"/>
      <c r="I3316" s="179"/>
      <c r="J3316" s="344"/>
      <c r="K3316" s="345"/>
      <c r="L3316" s="346"/>
      <c r="M3316" s="347"/>
      <c r="N3316" s="347"/>
      <c r="O3316" s="132"/>
    </row>
    <row r="3317" spans="2:15" ht="26.25" customHeight="1" x14ac:dyDescent="0.25">
      <c r="B3317" s="130"/>
      <c r="C3317" s="135"/>
      <c r="D3317" s="177"/>
      <c r="E3317" s="178"/>
      <c r="F3317" s="178"/>
      <c r="G3317" s="340"/>
      <c r="H3317" s="340"/>
      <c r="I3317" s="179"/>
      <c r="J3317" s="344"/>
      <c r="K3317" s="345"/>
      <c r="L3317" s="346"/>
      <c r="M3317" s="347"/>
      <c r="N3317" s="347"/>
      <c r="O3317" s="132"/>
    </row>
    <row r="3318" spans="2:15" ht="26.25" customHeight="1" x14ac:dyDescent="0.25">
      <c r="B3318" s="130"/>
      <c r="C3318" s="135"/>
      <c r="D3318" s="177"/>
      <c r="E3318" s="178"/>
      <c r="F3318" s="178"/>
      <c r="G3318" s="340"/>
      <c r="H3318" s="340"/>
      <c r="I3318" s="179"/>
      <c r="J3318" s="344"/>
      <c r="K3318" s="345"/>
      <c r="L3318" s="346"/>
      <c r="M3318" s="347"/>
      <c r="N3318" s="347"/>
      <c r="O3318" s="132"/>
    </row>
    <row r="3319" spans="2:15" ht="26.25" customHeight="1" x14ac:dyDescent="0.25">
      <c r="B3319" s="130"/>
      <c r="C3319" s="135"/>
      <c r="D3319" s="177"/>
      <c r="E3319" s="178"/>
      <c r="F3319" s="178"/>
      <c r="G3319" s="340"/>
      <c r="H3319" s="340"/>
      <c r="I3319" s="179"/>
      <c r="J3319" s="344"/>
      <c r="K3319" s="345"/>
      <c r="L3319" s="346"/>
      <c r="M3319" s="347"/>
      <c r="N3319" s="347"/>
      <c r="O3319" s="132"/>
    </row>
    <row r="3320" spans="2:15" ht="26.25" customHeight="1" x14ac:dyDescent="0.25">
      <c r="B3320" s="130"/>
      <c r="C3320" s="135"/>
      <c r="D3320" s="177"/>
      <c r="E3320" s="178"/>
      <c r="F3320" s="178"/>
      <c r="G3320" s="340"/>
      <c r="H3320" s="340"/>
      <c r="I3320" s="179"/>
      <c r="J3320" s="344"/>
      <c r="K3320" s="345"/>
      <c r="L3320" s="346"/>
      <c r="M3320" s="347"/>
      <c r="N3320" s="347"/>
      <c r="O3320" s="132"/>
    </row>
    <row r="3321" spans="2:15" ht="26.25" customHeight="1" x14ac:dyDescent="0.25">
      <c r="B3321" s="130"/>
      <c r="C3321" s="135"/>
      <c r="D3321" s="177"/>
      <c r="E3321" s="178"/>
      <c r="F3321" s="178"/>
      <c r="G3321" s="340"/>
      <c r="H3321" s="340"/>
      <c r="I3321" s="179"/>
      <c r="J3321" s="344"/>
      <c r="K3321" s="345"/>
      <c r="L3321" s="346"/>
      <c r="M3321" s="347"/>
      <c r="N3321" s="347"/>
      <c r="O3321" s="132"/>
    </row>
    <row r="3322" spans="2:15" ht="26.25" customHeight="1" x14ac:dyDescent="0.25">
      <c r="B3322" s="130"/>
      <c r="C3322" s="135"/>
      <c r="D3322" s="177"/>
      <c r="E3322" s="178"/>
      <c r="F3322" s="178"/>
      <c r="G3322" s="340"/>
      <c r="H3322" s="340"/>
      <c r="I3322" s="179"/>
      <c r="J3322" s="344"/>
      <c r="K3322" s="345"/>
      <c r="L3322" s="346"/>
      <c r="M3322" s="347"/>
      <c r="N3322" s="347"/>
      <c r="O3322" s="132"/>
    </row>
    <row r="3323" spans="2:15" ht="26.25" customHeight="1" x14ac:dyDescent="0.25">
      <c r="B3323" s="130"/>
      <c r="C3323" s="135"/>
      <c r="D3323" s="177"/>
      <c r="E3323" s="178"/>
      <c r="F3323" s="178"/>
      <c r="G3323" s="340"/>
      <c r="H3323" s="340"/>
      <c r="I3323" s="179"/>
      <c r="J3323" s="344"/>
      <c r="K3323" s="345"/>
      <c r="L3323" s="346"/>
      <c r="M3323" s="347"/>
      <c r="N3323" s="347"/>
      <c r="O3323" s="132"/>
    </row>
    <row r="3324" spans="2:15" ht="26.25" customHeight="1" x14ac:dyDescent="0.25">
      <c r="B3324" s="130"/>
      <c r="C3324" s="135"/>
      <c r="D3324" s="177"/>
      <c r="E3324" s="178"/>
      <c r="F3324" s="178"/>
      <c r="G3324" s="340"/>
      <c r="H3324" s="340"/>
      <c r="I3324" s="179"/>
      <c r="J3324" s="344"/>
      <c r="K3324" s="345"/>
      <c r="L3324" s="346"/>
      <c r="M3324" s="347"/>
      <c r="N3324" s="347"/>
      <c r="O3324" s="132"/>
    </row>
    <row r="3325" spans="2:15" ht="26.25" customHeight="1" x14ac:dyDescent="0.25">
      <c r="B3325" s="130"/>
      <c r="C3325" s="135"/>
      <c r="D3325" s="177"/>
      <c r="E3325" s="178"/>
      <c r="F3325" s="178"/>
      <c r="G3325" s="340"/>
      <c r="H3325" s="340"/>
      <c r="I3325" s="179"/>
      <c r="J3325" s="344"/>
      <c r="K3325" s="345"/>
      <c r="L3325" s="346"/>
      <c r="M3325" s="347"/>
      <c r="N3325" s="347"/>
      <c r="O3325" s="132"/>
    </row>
    <row r="3326" spans="2:15" ht="26.25" customHeight="1" x14ac:dyDescent="0.25">
      <c r="B3326" s="130"/>
      <c r="C3326" s="135"/>
      <c r="D3326" s="177"/>
      <c r="E3326" s="178"/>
      <c r="F3326" s="178"/>
      <c r="G3326" s="340"/>
      <c r="H3326" s="340"/>
      <c r="I3326" s="179"/>
      <c r="J3326" s="344"/>
      <c r="K3326" s="345"/>
      <c r="L3326" s="346"/>
      <c r="M3326" s="347"/>
      <c r="N3326" s="347"/>
      <c r="O3326" s="132"/>
    </row>
    <row r="3327" spans="2:15" ht="26.25" customHeight="1" x14ac:dyDescent="0.25">
      <c r="B3327" s="130"/>
      <c r="C3327" s="135"/>
      <c r="D3327" s="177"/>
      <c r="E3327" s="178"/>
      <c r="F3327" s="178"/>
      <c r="G3327" s="340"/>
      <c r="H3327" s="340"/>
      <c r="I3327" s="179"/>
      <c r="J3327" s="344"/>
      <c r="K3327" s="345"/>
      <c r="L3327" s="346"/>
      <c r="M3327" s="347"/>
      <c r="N3327" s="347"/>
      <c r="O3327" s="132"/>
    </row>
    <row r="3328" spans="2:15" ht="26.25" customHeight="1" x14ac:dyDescent="0.25">
      <c r="B3328" s="130"/>
      <c r="C3328" s="135"/>
      <c r="D3328" s="177"/>
      <c r="E3328" s="178"/>
      <c r="F3328" s="178"/>
      <c r="G3328" s="340"/>
      <c r="H3328" s="340"/>
      <c r="I3328" s="179"/>
      <c r="J3328" s="344"/>
      <c r="K3328" s="345"/>
      <c r="L3328" s="346"/>
      <c r="M3328" s="347"/>
      <c r="N3328" s="347"/>
      <c r="O3328" s="132"/>
    </row>
    <row r="3329" spans="2:15" ht="26.25" customHeight="1" x14ac:dyDescent="0.25">
      <c r="B3329" s="130"/>
      <c r="C3329" s="135"/>
      <c r="D3329" s="177"/>
      <c r="E3329" s="178"/>
      <c r="F3329" s="178"/>
      <c r="G3329" s="340"/>
      <c r="H3329" s="340"/>
      <c r="I3329" s="179"/>
      <c r="J3329" s="344"/>
      <c r="K3329" s="345"/>
      <c r="L3329" s="346"/>
      <c r="M3329" s="347"/>
      <c r="N3329" s="347"/>
      <c r="O3329" s="132"/>
    </row>
    <row r="3330" spans="2:15" ht="26.25" customHeight="1" x14ac:dyDescent="0.25">
      <c r="B3330" s="130"/>
      <c r="C3330" s="135"/>
      <c r="D3330" s="177"/>
      <c r="E3330" s="178"/>
      <c r="F3330" s="178"/>
      <c r="G3330" s="340"/>
      <c r="H3330" s="340"/>
      <c r="I3330" s="179"/>
      <c r="J3330" s="344"/>
      <c r="K3330" s="345"/>
      <c r="L3330" s="346"/>
      <c r="M3330" s="347"/>
      <c r="N3330" s="347"/>
      <c r="O3330" s="132"/>
    </row>
    <row r="3331" spans="2:15" ht="26.25" customHeight="1" x14ac:dyDescent="0.25">
      <c r="B3331" s="130"/>
      <c r="C3331" s="135"/>
      <c r="D3331" s="177"/>
      <c r="E3331" s="178"/>
      <c r="F3331" s="178"/>
      <c r="G3331" s="340"/>
      <c r="H3331" s="340"/>
      <c r="I3331" s="179"/>
      <c r="J3331" s="344"/>
      <c r="K3331" s="345"/>
      <c r="L3331" s="346"/>
      <c r="M3331" s="347"/>
      <c r="N3331" s="347"/>
      <c r="O3331" s="132"/>
    </row>
    <row r="3332" spans="2:15" ht="26.25" customHeight="1" x14ac:dyDescent="0.25">
      <c r="B3332" s="130"/>
      <c r="C3332" s="135"/>
      <c r="D3332" s="177"/>
      <c r="E3332" s="178"/>
      <c r="F3332" s="178"/>
      <c r="G3332" s="340"/>
      <c r="H3332" s="340"/>
      <c r="I3332" s="179"/>
      <c r="J3332" s="344"/>
      <c r="K3332" s="345"/>
      <c r="L3332" s="346"/>
      <c r="M3332" s="347"/>
      <c r="N3332" s="347"/>
      <c r="O3332" s="132"/>
    </row>
    <row r="3333" spans="2:15" ht="26.25" customHeight="1" x14ac:dyDescent="0.25">
      <c r="B3333" s="130"/>
      <c r="C3333" s="135"/>
      <c r="D3333" s="177"/>
      <c r="E3333" s="178"/>
      <c r="F3333" s="178"/>
      <c r="G3333" s="340"/>
      <c r="H3333" s="340"/>
      <c r="I3333" s="179"/>
      <c r="J3333" s="344"/>
      <c r="K3333" s="345"/>
      <c r="L3333" s="346"/>
      <c r="M3333" s="347"/>
      <c r="N3333" s="347"/>
      <c r="O3333" s="132"/>
    </row>
    <row r="3334" spans="2:15" ht="26.25" customHeight="1" x14ac:dyDescent="0.25">
      <c r="B3334" s="130"/>
      <c r="C3334" s="135"/>
      <c r="D3334" s="177"/>
      <c r="E3334" s="178"/>
      <c r="F3334" s="178"/>
      <c r="G3334" s="340"/>
      <c r="H3334" s="340"/>
      <c r="I3334" s="179"/>
      <c r="J3334" s="344"/>
      <c r="K3334" s="345"/>
      <c r="L3334" s="346"/>
      <c r="M3334" s="347"/>
      <c r="N3334" s="347"/>
      <c r="O3334" s="132"/>
    </row>
    <row r="3335" spans="2:15" ht="26.25" customHeight="1" x14ac:dyDescent="0.25">
      <c r="B3335" s="130"/>
      <c r="C3335" s="135"/>
      <c r="D3335" s="177"/>
      <c r="E3335" s="178"/>
      <c r="F3335" s="178"/>
      <c r="G3335" s="340"/>
      <c r="H3335" s="340"/>
      <c r="I3335" s="179"/>
      <c r="J3335" s="344"/>
      <c r="K3335" s="345"/>
      <c r="L3335" s="346"/>
      <c r="M3335" s="347"/>
      <c r="N3335" s="347"/>
      <c r="O3335" s="132"/>
    </row>
    <row r="3336" spans="2:15" ht="26.25" customHeight="1" x14ac:dyDescent="0.25">
      <c r="B3336" s="130"/>
      <c r="C3336" s="135"/>
      <c r="D3336" s="177"/>
      <c r="E3336" s="178"/>
      <c r="F3336" s="178"/>
      <c r="G3336" s="340"/>
      <c r="H3336" s="340"/>
      <c r="I3336" s="179"/>
      <c r="J3336" s="344"/>
      <c r="K3336" s="345"/>
      <c r="L3336" s="346"/>
      <c r="M3336" s="347"/>
      <c r="N3336" s="347"/>
      <c r="O3336" s="132"/>
    </row>
    <row r="3337" spans="2:15" ht="26.25" customHeight="1" x14ac:dyDescent="0.25">
      <c r="B3337" s="130"/>
      <c r="C3337" s="135"/>
      <c r="D3337" s="177"/>
      <c r="E3337" s="178"/>
      <c r="F3337" s="178"/>
      <c r="G3337" s="340"/>
      <c r="H3337" s="340"/>
      <c r="I3337" s="179"/>
      <c r="J3337" s="344"/>
      <c r="K3337" s="345"/>
      <c r="L3337" s="346"/>
      <c r="M3337" s="347"/>
      <c r="N3337" s="347"/>
      <c r="O3337" s="132"/>
    </row>
    <row r="3338" spans="2:15" ht="26.25" customHeight="1" x14ac:dyDescent="0.25">
      <c r="B3338" s="130"/>
      <c r="C3338" s="135"/>
      <c r="D3338" s="177"/>
      <c r="E3338" s="178"/>
      <c r="F3338" s="178"/>
      <c r="G3338" s="340"/>
      <c r="H3338" s="340"/>
      <c r="I3338" s="179"/>
      <c r="J3338" s="344"/>
      <c r="K3338" s="345"/>
      <c r="L3338" s="346"/>
      <c r="M3338" s="347"/>
      <c r="N3338" s="347"/>
      <c r="O3338" s="132"/>
    </row>
    <row r="3339" spans="2:15" ht="26.25" customHeight="1" x14ac:dyDescent="0.25">
      <c r="B3339" s="130"/>
      <c r="C3339" s="135"/>
      <c r="D3339" s="177"/>
      <c r="E3339" s="178"/>
      <c r="F3339" s="178"/>
      <c r="G3339" s="340"/>
      <c r="H3339" s="340"/>
      <c r="I3339" s="179"/>
      <c r="J3339" s="344"/>
      <c r="K3339" s="345"/>
      <c r="L3339" s="346"/>
      <c r="M3339" s="347"/>
      <c r="N3339" s="347"/>
      <c r="O3339" s="132"/>
    </row>
    <row r="3340" spans="2:15" ht="26.25" customHeight="1" x14ac:dyDescent="0.25">
      <c r="B3340" s="130"/>
      <c r="C3340" s="135"/>
      <c r="D3340" s="177"/>
      <c r="E3340" s="178"/>
      <c r="F3340" s="178"/>
      <c r="G3340" s="340"/>
      <c r="H3340" s="340"/>
      <c r="I3340" s="179"/>
      <c r="J3340" s="344"/>
      <c r="K3340" s="345"/>
      <c r="L3340" s="346"/>
      <c r="M3340" s="347"/>
      <c r="N3340" s="347"/>
      <c r="O3340" s="132"/>
    </row>
    <row r="3341" spans="2:15" ht="26.25" customHeight="1" x14ac:dyDescent="0.25">
      <c r="B3341" s="130"/>
      <c r="C3341" s="135"/>
      <c r="D3341" s="177"/>
      <c r="E3341" s="178"/>
      <c r="F3341" s="178"/>
      <c r="G3341" s="340"/>
      <c r="H3341" s="340"/>
      <c r="I3341" s="179"/>
      <c r="J3341" s="344"/>
      <c r="K3341" s="345"/>
      <c r="L3341" s="346"/>
      <c r="M3341" s="347"/>
      <c r="N3341" s="347"/>
      <c r="O3341" s="132"/>
    </row>
    <row r="3342" spans="2:15" ht="26.25" customHeight="1" x14ac:dyDescent="0.25">
      <c r="B3342" s="130"/>
      <c r="C3342" s="135"/>
      <c r="D3342" s="177"/>
      <c r="E3342" s="178"/>
      <c r="F3342" s="178"/>
      <c r="G3342" s="340"/>
      <c r="H3342" s="340"/>
      <c r="I3342" s="179"/>
      <c r="J3342" s="344"/>
      <c r="K3342" s="345"/>
      <c r="L3342" s="346"/>
      <c r="M3342" s="347"/>
      <c r="N3342" s="347"/>
      <c r="O3342" s="132"/>
    </row>
    <row r="3343" spans="2:15" ht="26.25" customHeight="1" x14ac:dyDescent="0.25">
      <c r="B3343" s="130"/>
      <c r="C3343" s="135"/>
      <c r="D3343" s="177"/>
      <c r="E3343" s="178"/>
      <c r="F3343" s="178"/>
      <c r="G3343" s="340"/>
      <c r="H3343" s="340"/>
      <c r="I3343" s="179"/>
      <c r="J3343" s="344"/>
      <c r="K3343" s="345"/>
      <c r="L3343" s="346"/>
      <c r="M3343" s="347"/>
      <c r="N3343" s="347"/>
      <c r="O3343" s="132"/>
    </row>
    <row r="3344" spans="2:15" ht="26.25" customHeight="1" x14ac:dyDescent="0.25">
      <c r="B3344" s="130"/>
      <c r="C3344" s="135"/>
      <c r="D3344" s="177"/>
      <c r="E3344" s="178"/>
      <c r="F3344" s="178"/>
      <c r="G3344" s="340"/>
      <c r="H3344" s="340"/>
      <c r="I3344" s="179"/>
      <c r="J3344" s="344"/>
      <c r="K3344" s="345"/>
      <c r="L3344" s="346"/>
      <c r="M3344" s="347"/>
      <c r="N3344" s="347"/>
      <c r="O3344" s="132"/>
    </row>
    <row r="3345" spans="2:15" ht="26.25" customHeight="1" x14ac:dyDescent="0.25">
      <c r="B3345" s="130"/>
      <c r="C3345" s="135"/>
      <c r="D3345" s="177"/>
      <c r="E3345" s="178"/>
      <c r="F3345" s="178"/>
      <c r="G3345" s="340"/>
      <c r="H3345" s="340"/>
      <c r="I3345" s="179"/>
      <c r="J3345" s="344"/>
      <c r="K3345" s="345"/>
      <c r="L3345" s="346"/>
      <c r="M3345" s="347"/>
      <c r="N3345" s="347"/>
      <c r="O3345" s="132"/>
    </row>
    <row r="3346" spans="2:15" ht="26.25" customHeight="1" x14ac:dyDescent="0.25">
      <c r="B3346" s="130"/>
      <c r="C3346" s="135"/>
      <c r="D3346" s="177"/>
      <c r="E3346" s="178"/>
      <c r="F3346" s="178"/>
      <c r="G3346" s="340"/>
      <c r="H3346" s="340"/>
      <c r="I3346" s="179"/>
      <c r="J3346" s="344"/>
      <c r="K3346" s="345"/>
      <c r="L3346" s="346"/>
      <c r="M3346" s="347"/>
      <c r="N3346" s="347"/>
      <c r="O3346" s="132"/>
    </row>
    <row r="3347" spans="2:15" ht="26.25" customHeight="1" x14ac:dyDescent="0.25">
      <c r="B3347" s="130"/>
      <c r="C3347" s="135"/>
      <c r="D3347" s="177"/>
      <c r="E3347" s="178"/>
      <c r="F3347" s="178"/>
      <c r="G3347" s="340"/>
      <c r="H3347" s="340"/>
      <c r="I3347" s="179"/>
      <c r="J3347" s="344"/>
      <c r="K3347" s="345"/>
      <c r="L3347" s="346"/>
      <c r="M3347" s="347"/>
      <c r="N3347" s="347"/>
      <c r="O3347" s="132"/>
    </row>
    <row r="3348" spans="2:15" ht="26.25" customHeight="1" x14ac:dyDescent="0.25">
      <c r="B3348" s="130"/>
      <c r="C3348" s="135"/>
      <c r="D3348" s="177"/>
      <c r="E3348" s="178"/>
      <c r="F3348" s="178"/>
      <c r="G3348" s="340"/>
      <c r="H3348" s="340"/>
      <c r="I3348" s="179"/>
      <c r="J3348" s="344"/>
      <c r="K3348" s="345"/>
      <c r="L3348" s="346"/>
      <c r="M3348" s="347"/>
      <c r="N3348" s="347"/>
      <c r="O3348" s="132"/>
    </row>
    <row r="3349" spans="2:15" ht="26.25" customHeight="1" x14ac:dyDescent="0.25">
      <c r="B3349" s="130"/>
      <c r="C3349" s="135"/>
      <c r="D3349" s="177"/>
      <c r="E3349" s="178"/>
      <c r="F3349" s="178"/>
      <c r="G3349" s="340"/>
      <c r="H3349" s="340"/>
      <c r="I3349" s="179"/>
      <c r="J3349" s="344"/>
      <c r="K3349" s="345"/>
      <c r="L3349" s="346"/>
      <c r="M3349" s="347"/>
      <c r="N3349" s="347"/>
      <c r="O3349" s="132"/>
    </row>
    <row r="3350" spans="2:15" ht="26.25" customHeight="1" x14ac:dyDescent="0.25">
      <c r="B3350" s="130"/>
      <c r="C3350" s="135"/>
      <c r="D3350" s="177"/>
      <c r="E3350" s="178"/>
      <c r="F3350" s="178"/>
      <c r="G3350" s="340"/>
      <c r="H3350" s="340"/>
      <c r="I3350" s="179"/>
      <c r="J3350" s="344"/>
      <c r="K3350" s="345"/>
      <c r="L3350" s="346"/>
      <c r="M3350" s="347"/>
      <c r="N3350" s="347"/>
      <c r="O3350" s="132"/>
    </row>
    <row r="3351" spans="2:15" ht="26.25" customHeight="1" x14ac:dyDescent="0.25">
      <c r="B3351" s="130"/>
      <c r="C3351" s="135"/>
      <c r="D3351" s="177"/>
      <c r="E3351" s="178"/>
      <c r="F3351" s="178"/>
      <c r="G3351" s="340"/>
      <c r="H3351" s="340"/>
      <c r="I3351" s="179"/>
      <c r="J3351" s="344"/>
      <c r="K3351" s="345"/>
      <c r="L3351" s="346"/>
      <c r="M3351" s="347"/>
      <c r="N3351" s="347"/>
      <c r="O3351" s="132"/>
    </row>
    <row r="3352" spans="2:15" ht="26.25" customHeight="1" x14ac:dyDescent="0.25">
      <c r="B3352" s="130"/>
      <c r="C3352" s="135"/>
      <c r="D3352" s="177"/>
      <c r="E3352" s="178"/>
      <c r="F3352" s="178"/>
      <c r="G3352" s="340"/>
      <c r="H3352" s="340"/>
      <c r="I3352" s="179"/>
      <c r="J3352" s="344"/>
      <c r="K3352" s="345"/>
      <c r="L3352" s="346"/>
      <c r="M3352" s="347"/>
      <c r="N3352" s="347"/>
      <c r="O3352" s="132"/>
    </row>
    <row r="3353" spans="2:15" ht="26.25" customHeight="1" x14ac:dyDescent="0.25">
      <c r="B3353" s="130"/>
      <c r="C3353" s="135"/>
      <c r="D3353" s="177"/>
      <c r="E3353" s="178"/>
      <c r="F3353" s="178"/>
      <c r="G3353" s="340"/>
      <c r="H3353" s="340"/>
      <c r="I3353" s="179"/>
      <c r="J3353" s="344"/>
      <c r="K3353" s="345"/>
      <c r="L3353" s="346"/>
      <c r="M3353" s="347"/>
      <c r="N3353" s="347"/>
      <c r="O3353" s="132"/>
    </row>
    <row r="3354" spans="2:15" ht="26.25" customHeight="1" x14ac:dyDescent="0.25">
      <c r="B3354" s="130"/>
      <c r="C3354" s="135"/>
      <c r="D3354" s="177"/>
      <c r="E3354" s="178"/>
      <c r="F3354" s="178"/>
      <c r="G3354" s="340"/>
      <c r="H3354" s="340"/>
      <c r="I3354" s="179"/>
      <c r="J3354" s="344"/>
      <c r="K3354" s="345"/>
      <c r="L3354" s="346"/>
      <c r="M3354" s="347"/>
      <c r="N3354" s="347"/>
      <c r="O3354" s="132"/>
    </row>
    <row r="3355" spans="2:15" ht="26.25" customHeight="1" x14ac:dyDescent="0.25">
      <c r="B3355" s="130"/>
      <c r="C3355" s="135"/>
      <c r="D3355" s="177"/>
      <c r="E3355" s="178"/>
      <c r="F3355" s="178"/>
      <c r="G3355" s="340"/>
      <c r="H3355" s="340"/>
      <c r="I3355" s="179"/>
      <c r="J3355" s="344"/>
      <c r="K3355" s="345"/>
      <c r="L3355" s="346"/>
      <c r="M3355" s="347"/>
      <c r="N3355" s="347"/>
      <c r="O3355" s="132"/>
    </row>
    <row r="3356" spans="2:15" ht="26.25" customHeight="1" x14ac:dyDescent="0.25">
      <c r="B3356" s="130"/>
      <c r="C3356" s="135"/>
      <c r="D3356" s="177"/>
      <c r="E3356" s="178"/>
      <c r="F3356" s="178"/>
      <c r="G3356" s="340"/>
      <c r="H3356" s="340"/>
      <c r="I3356" s="179"/>
      <c r="J3356" s="344"/>
      <c r="K3356" s="345"/>
      <c r="L3356" s="346"/>
      <c r="M3356" s="347"/>
      <c r="N3356" s="347"/>
      <c r="O3356" s="132"/>
    </row>
    <row r="3357" spans="2:15" ht="26.25" customHeight="1" x14ac:dyDescent="0.25">
      <c r="B3357" s="130"/>
      <c r="C3357" s="135"/>
      <c r="D3357" s="177"/>
      <c r="E3357" s="178"/>
      <c r="F3357" s="178"/>
      <c r="G3357" s="340"/>
      <c r="H3357" s="340"/>
      <c r="I3357" s="179"/>
      <c r="J3357" s="344"/>
      <c r="K3357" s="345"/>
      <c r="L3357" s="346"/>
      <c r="M3357" s="347"/>
      <c r="N3357" s="347"/>
      <c r="O3357" s="132"/>
    </row>
    <row r="3358" spans="2:15" ht="26.25" customHeight="1" x14ac:dyDescent="0.25">
      <c r="B3358" s="130"/>
      <c r="C3358" s="135"/>
      <c r="D3358" s="177"/>
      <c r="E3358" s="178"/>
      <c r="F3358" s="178"/>
      <c r="G3358" s="340"/>
      <c r="H3358" s="340"/>
      <c r="I3358" s="179"/>
      <c r="J3358" s="344"/>
      <c r="K3358" s="345"/>
      <c r="L3358" s="346"/>
      <c r="M3358" s="347"/>
      <c r="N3358" s="347"/>
      <c r="O3358" s="132"/>
    </row>
    <row r="3359" spans="2:15" ht="26.25" customHeight="1" x14ac:dyDescent="0.25">
      <c r="B3359" s="130"/>
      <c r="C3359" s="135"/>
      <c r="D3359" s="177"/>
      <c r="E3359" s="178"/>
      <c r="F3359" s="178"/>
      <c r="G3359" s="340"/>
      <c r="H3359" s="340"/>
      <c r="I3359" s="179"/>
      <c r="J3359" s="344"/>
      <c r="K3359" s="345"/>
      <c r="L3359" s="346"/>
      <c r="M3359" s="347"/>
      <c r="N3359" s="347"/>
      <c r="O3359" s="132"/>
    </row>
    <row r="3360" spans="2:15" ht="26.25" customHeight="1" x14ac:dyDescent="0.25">
      <c r="B3360" s="130"/>
      <c r="C3360" s="135"/>
      <c r="D3360" s="177"/>
      <c r="E3360" s="178"/>
      <c r="F3360" s="178"/>
      <c r="G3360" s="340"/>
      <c r="H3360" s="340"/>
      <c r="I3360" s="179"/>
      <c r="J3360" s="344"/>
      <c r="K3360" s="345"/>
      <c r="L3360" s="346"/>
      <c r="M3360" s="347"/>
      <c r="N3360" s="347"/>
      <c r="O3360" s="132"/>
    </row>
    <row r="3361" spans="2:15" ht="26.25" customHeight="1" x14ac:dyDescent="0.25">
      <c r="B3361" s="130"/>
      <c r="C3361" s="135"/>
      <c r="D3361" s="177"/>
      <c r="E3361" s="178"/>
      <c r="F3361" s="178"/>
      <c r="G3361" s="340"/>
      <c r="H3361" s="340"/>
      <c r="I3361" s="179"/>
      <c r="J3361" s="344"/>
      <c r="K3361" s="345"/>
      <c r="L3361" s="346"/>
      <c r="M3361" s="347"/>
      <c r="N3361" s="347"/>
      <c r="O3361" s="132"/>
    </row>
    <row r="3362" spans="2:15" ht="26.25" customHeight="1" x14ac:dyDescent="0.25">
      <c r="B3362" s="130"/>
      <c r="C3362" s="135"/>
      <c r="D3362" s="177"/>
      <c r="E3362" s="178"/>
      <c r="F3362" s="178"/>
      <c r="G3362" s="340"/>
      <c r="H3362" s="340"/>
      <c r="I3362" s="179"/>
      <c r="J3362" s="344"/>
      <c r="K3362" s="345"/>
      <c r="L3362" s="346"/>
      <c r="M3362" s="347"/>
      <c r="N3362" s="347"/>
      <c r="O3362" s="132"/>
    </row>
    <row r="3363" spans="2:15" ht="26.25" customHeight="1" x14ac:dyDescent="0.25">
      <c r="B3363" s="130"/>
      <c r="C3363" s="135"/>
      <c r="D3363" s="177"/>
      <c r="E3363" s="178"/>
      <c r="F3363" s="178"/>
      <c r="G3363" s="340"/>
      <c r="H3363" s="340"/>
      <c r="I3363" s="179"/>
      <c r="J3363" s="344"/>
      <c r="K3363" s="345"/>
      <c r="L3363" s="346"/>
      <c r="M3363" s="347"/>
      <c r="N3363" s="347"/>
      <c r="O3363" s="132"/>
    </row>
    <row r="3364" spans="2:15" ht="26.25" customHeight="1" x14ac:dyDescent="0.25">
      <c r="B3364" s="130"/>
      <c r="C3364" s="135"/>
      <c r="D3364" s="177"/>
      <c r="E3364" s="178"/>
      <c r="F3364" s="178"/>
      <c r="G3364" s="340"/>
      <c r="H3364" s="340"/>
      <c r="I3364" s="179"/>
      <c r="J3364" s="344"/>
      <c r="K3364" s="345"/>
      <c r="L3364" s="346"/>
      <c r="M3364" s="347"/>
      <c r="N3364" s="347"/>
      <c r="O3364" s="132"/>
    </row>
    <row r="3365" spans="2:15" ht="26.25" customHeight="1" x14ac:dyDescent="0.25">
      <c r="B3365" s="130"/>
      <c r="C3365" s="135"/>
      <c r="D3365" s="177"/>
      <c r="E3365" s="178"/>
      <c r="F3365" s="178"/>
      <c r="G3365" s="340"/>
      <c r="H3365" s="340"/>
      <c r="I3365" s="179"/>
      <c r="J3365" s="344"/>
      <c r="K3365" s="345"/>
      <c r="L3365" s="346"/>
      <c r="M3365" s="347"/>
      <c r="N3365" s="347"/>
      <c r="O3365" s="132"/>
    </row>
    <row r="3366" spans="2:15" ht="26.25" customHeight="1" x14ac:dyDescent="0.25">
      <c r="B3366" s="130"/>
      <c r="C3366" s="135"/>
      <c r="D3366" s="177"/>
      <c r="E3366" s="178"/>
      <c r="F3366" s="178"/>
      <c r="G3366" s="340"/>
      <c r="H3366" s="340"/>
      <c r="I3366" s="179"/>
      <c r="J3366" s="344"/>
      <c r="K3366" s="345"/>
      <c r="L3366" s="346"/>
      <c r="M3366" s="347"/>
      <c r="N3366" s="347"/>
      <c r="O3366" s="132"/>
    </row>
    <row r="3367" spans="2:15" ht="26.25" customHeight="1" x14ac:dyDescent="0.25">
      <c r="B3367" s="130"/>
      <c r="C3367" s="135"/>
      <c r="D3367" s="177"/>
      <c r="E3367" s="178"/>
      <c r="F3367" s="178"/>
      <c r="G3367" s="340"/>
      <c r="H3367" s="340"/>
      <c r="I3367" s="179"/>
      <c r="J3367" s="344"/>
      <c r="K3367" s="345"/>
      <c r="L3367" s="346"/>
      <c r="M3367" s="347"/>
      <c r="N3367" s="347"/>
      <c r="O3367" s="132"/>
    </row>
    <row r="3368" spans="2:15" ht="26.25" customHeight="1" x14ac:dyDescent="0.25">
      <c r="B3368" s="130"/>
      <c r="C3368" s="135"/>
      <c r="D3368" s="177"/>
      <c r="E3368" s="178"/>
      <c r="F3368" s="178"/>
      <c r="G3368" s="340"/>
      <c r="H3368" s="340"/>
      <c r="I3368" s="179"/>
      <c r="J3368" s="344"/>
      <c r="K3368" s="345"/>
      <c r="L3368" s="346"/>
      <c r="M3368" s="347"/>
      <c r="N3368" s="347"/>
      <c r="O3368" s="132"/>
    </row>
    <row r="3369" spans="2:15" ht="26.25" customHeight="1" x14ac:dyDescent="0.25">
      <c r="B3369" s="130"/>
      <c r="C3369" s="135"/>
      <c r="D3369" s="177"/>
      <c r="E3369" s="178"/>
      <c r="F3369" s="178"/>
      <c r="G3369" s="340"/>
      <c r="H3369" s="340"/>
      <c r="I3369" s="179"/>
      <c r="J3369" s="344"/>
      <c r="K3369" s="345"/>
      <c r="L3369" s="346"/>
      <c r="M3369" s="347"/>
      <c r="N3369" s="347"/>
      <c r="O3369" s="132"/>
    </row>
    <row r="3370" spans="2:15" ht="26.25" customHeight="1" x14ac:dyDescent="0.25">
      <c r="B3370" s="130"/>
      <c r="C3370" s="135"/>
      <c r="D3370" s="177"/>
      <c r="E3370" s="178"/>
      <c r="F3370" s="178"/>
      <c r="G3370" s="340"/>
      <c r="H3370" s="340"/>
      <c r="I3370" s="179"/>
      <c r="J3370" s="344"/>
      <c r="K3370" s="345"/>
      <c r="L3370" s="346"/>
      <c r="M3370" s="347"/>
      <c r="N3370" s="347"/>
      <c r="O3370" s="132"/>
    </row>
    <row r="3371" spans="2:15" ht="26.25" customHeight="1" x14ac:dyDescent="0.25">
      <c r="B3371" s="130"/>
      <c r="C3371" s="135"/>
      <c r="D3371" s="177"/>
      <c r="E3371" s="178"/>
      <c r="F3371" s="178"/>
      <c r="G3371" s="340"/>
      <c r="H3371" s="340"/>
      <c r="I3371" s="179"/>
      <c r="J3371" s="344"/>
      <c r="K3371" s="345"/>
      <c r="L3371" s="346"/>
      <c r="M3371" s="347"/>
      <c r="N3371" s="347"/>
      <c r="O3371" s="132"/>
    </row>
    <row r="3372" spans="2:15" ht="26.25" customHeight="1" x14ac:dyDescent="0.25">
      <c r="B3372" s="130"/>
      <c r="C3372" s="135"/>
      <c r="D3372" s="177"/>
      <c r="E3372" s="178"/>
      <c r="F3372" s="178"/>
      <c r="G3372" s="340"/>
      <c r="H3372" s="340"/>
      <c r="I3372" s="179"/>
      <c r="J3372" s="344"/>
      <c r="K3372" s="345"/>
      <c r="L3372" s="346"/>
      <c r="M3372" s="347"/>
      <c r="N3372" s="347"/>
      <c r="O3372" s="132"/>
    </row>
    <row r="3373" spans="2:15" ht="26.25" customHeight="1" x14ac:dyDescent="0.25">
      <c r="B3373" s="130"/>
      <c r="C3373" s="135"/>
      <c r="D3373" s="177"/>
      <c r="E3373" s="178"/>
      <c r="F3373" s="178"/>
      <c r="G3373" s="340"/>
      <c r="H3373" s="340"/>
      <c r="I3373" s="179"/>
      <c r="J3373" s="344"/>
      <c r="K3373" s="345"/>
      <c r="L3373" s="346"/>
      <c r="M3373" s="347"/>
      <c r="N3373" s="347"/>
      <c r="O3373" s="132"/>
    </row>
    <row r="3374" spans="2:15" ht="26.25" customHeight="1" x14ac:dyDescent="0.25">
      <c r="B3374" s="130"/>
      <c r="C3374" s="135"/>
      <c r="D3374" s="177"/>
      <c r="E3374" s="178"/>
      <c r="F3374" s="178"/>
      <c r="G3374" s="340"/>
      <c r="H3374" s="340"/>
      <c r="I3374" s="179"/>
      <c r="J3374" s="344"/>
      <c r="K3374" s="345"/>
      <c r="L3374" s="346"/>
      <c r="M3374" s="347"/>
      <c r="N3374" s="347"/>
      <c r="O3374" s="132"/>
    </row>
    <row r="3375" spans="2:15" ht="26.25" customHeight="1" x14ac:dyDescent="0.25">
      <c r="B3375" s="130"/>
      <c r="C3375" s="135"/>
      <c r="D3375" s="177"/>
      <c r="E3375" s="178"/>
      <c r="F3375" s="178"/>
      <c r="G3375" s="340"/>
      <c r="H3375" s="340"/>
      <c r="I3375" s="179"/>
      <c r="J3375" s="344"/>
      <c r="K3375" s="345"/>
      <c r="L3375" s="346"/>
      <c r="M3375" s="347"/>
      <c r="N3375" s="347"/>
      <c r="O3375" s="132"/>
    </row>
    <row r="3376" spans="2:15" ht="26.25" customHeight="1" x14ac:dyDescent="0.25">
      <c r="B3376" s="130"/>
      <c r="C3376" s="135"/>
      <c r="D3376" s="177"/>
      <c r="E3376" s="178"/>
      <c r="F3376" s="178"/>
      <c r="G3376" s="340"/>
      <c r="H3376" s="340"/>
      <c r="I3376" s="179"/>
      <c r="J3376" s="344"/>
      <c r="K3376" s="345"/>
      <c r="L3376" s="346"/>
      <c r="M3376" s="347"/>
      <c r="N3376" s="347"/>
      <c r="O3376" s="132"/>
    </row>
    <row r="3377" spans="2:15" ht="26.25" customHeight="1" x14ac:dyDescent="0.25">
      <c r="B3377" s="130"/>
      <c r="C3377" s="135"/>
      <c r="D3377" s="177"/>
      <c r="E3377" s="178"/>
      <c r="F3377" s="178"/>
      <c r="G3377" s="340"/>
      <c r="H3377" s="340"/>
      <c r="I3377" s="179"/>
      <c r="J3377" s="344"/>
      <c r="K3377" s="345"/>
      <c r="L3377" s="346"/>
      <c r="M3377" s="347"/>
      <c r="N3377" s="347"/>
      <c r="O3377" s="132"/>
    </row>
    <row r="3378" spans="2:15" ht="26.25" customHeight="1" x14ac:dyDescent="0.25">
      <c r="B3378" s="130"/>
      <c r="C3378" s="135"/>
      <c r="D3378" s="177"/>
      <c r="E3378" s="178"/>
      <c r="F3378" s="178"/>
      <c r="G3378" s="340"/>
      <c r="H3378" s="340"/>
      <c r="I3378" s="179"/>
      <c r="J3378" s="344"/>
      <c r="K3378" s="345"/>
      <c r="L3378" s="346"/>
      <c r="M3378" s="347"/>
      <c r="N3378" s="347"/>
      <c r="O3378" s="132"/>
    </row>
    <row r="3379" spans="2:15" ht="26.25" customHeight="1" x14ac:dyDescent="0.25">
      <c r="B3379" s="130"/>
      <c r="C3379" s="135"/>
      <c r="D3379" s="177"/>
      <c r="E3379" s="178"/>
      <c r="F3379" s="178"/>
      <c r="G3379" s="340"/>
      <c r="H3379" s="340"/>
      <c r="I3379" s="179"/>
      <c r="J3379" s="344"/>
      <c r="K3379" s="345"/>
      <c r="L3379" s="346"/>
      <c r="M3379" s="347"/>
      <c r="N3379" s="347"/>
      <c r="O3379" s="132"/>
    </row>
    <row r="3380" spans="2:15" ht="26.25" customHeight="1" x14ac:dyDescent="0.25">
      <c r="B3380" s="130"/>
      <c r="C3380" s="135"/>
      <c r="D3380" s="177"/>
      <c r="E3380" s="178"/>
      <c r="F3380" s="178"/>
      <c r="G3380" s="340"/>
      <c r="H3380" s="340"/>
      <c r="I3380" s="179"/>
      <c r="J3380" s="344"/>
      <c r="K3380" s="345"/>
      <c r="L3380" s="346"/>
      <c r="M3380" s="347"/>
      <c r="N3380" s="347"/>
      <c r="O3380" s="132"/>
    </row>
    <row r="3381" spans="2:15" ht="26.25" customHeight="1" x14ac:dyDescent="0.25">
      <c r="B3381" s="130"/>
      <c r="C3381" s="135"/>
      <c r="D3381" s="177"/>
      <c r="E3381" s="178"/>
      <c r="F3381" s="178"/>
      <c r="G3381" s="340"/>
      <c r="H3381" s="340"/>
      <c r="I3381" s="179"/>
      <c r="J3381" s="344"/>
      <c r="K3381" s="345"/>
      <c r="L3381" s="346"/>
      <c r="M3381" s="347"/>
      <c r="N3381" s="347"/>
      <c r="O3381" s="132"/>
    </row>
    <row r="3382" spans="2:15" ht="26.25" customHeight="1" x14ac:dyDescent="0.25">
      <c r="B3382" s="130"/>
      <c r="C3382" s="135"/>
      <c r="D3382" s="177"/>
      <c r="E3382" s="178"/>
      <c r="F3382" s="178"/>
      <c r="G3382" s="340"/>
      <c r="H3382" s="340"/>
      <c r="I3382" s="179"/>
      <c r="J3382" s="344"/>
      <c r="K3382" s="345"/>
      <c r="L3382" s="346"/>
      <c r="M3382" s="347"/>
      <c r="N3382" s="347"/>
      <c r="O3382" s="132"/>
    </row>
    <row r="3383" spans="2:15" ht="26.25" customHeight="1" x14ac:dyDescent="0.25">
      <c r="B3383" s="130"/>
      <c r="C3383" s="135"/>
      <c r="D3383" s="177"/>
      <c r="E3383" s="178"/>
      <c r="F3383" s="178"/>
      <c r="G3383" s="340"/>
      <c r="H3383" s="340"/>
      <c r="I3383" s="179"/>
      <c r="J3383" s="344"/>
      <c r="K3383" s="345"/>
      <c r="L3383" s="346"/>
      <c r="M3383" s="347"/>
      <c r="N3383" s="347"/>
      <c r="O3383" s="132"/>
    </row>
    <row r="3384" spans="2:15" ht="26.25" customHeight="1" x14ac:dyDescent="0.25">
      <c r="B3384" s="130"/>
      <c r="C3384" s="135"/>
      <c r="D3384" s="177"/>
      <c r="E3384" s="178"/>
      <c r="F3384" s="178"/>
      <c r="G3384" s="340"/>
      <c r="H3384" s="340"/>
      <c r="I3384" s="179"/>
      <c r="J3384" s="344"/>
      <c r="K3384" s="345"/>
      <c r="L3384" s="346"/>
      <c r="M3384" s="347"/>
      <c r="N3384" s="347"/>
      <c r="O3384" s="132"/>
    </row>
    <row r="3385" spans="2:15" ht="26.25" customHeight="1" x14ac:dyDescent="0.25">
      <c r="B3385" s="130"/>
      <c r="C3385" s="135"/>
      <c r="D3385" s="177"/>
      <c r="E3385" s="178"/>
      <c r="F3385" s="178"/>
      <c r="G3385" s="340"/>
      <c r="H3385" s="340"/>
      <c r="I3385" s="179"/>
      <c r="J3385" s="344"/>
      <c r="K3385" s="345"/>
      <c r="L3385" s="346"/>
      <c r="M3385" s="347"/>
      <c r="N3385" s="347"/>
      <c r="O3385" s="132"/>
    </row>
    <row r="3386" spans="2:15" ht="26.25" customHeight="1" x14ac:dyDescent="0.25">
      <c r="B3386" s="130"/>
      <c r="C3386" s="135"/>
      <c r="D3386" s="177"/>
      <c r="E3386" s="178"/>
      <c r="F3386" s="178"/>
      <c r="G3386" s="340"/>
      <c r="H3386" s="340"/>
      <c r="I3386" s="179"/>
      <c r="J3386" s="344"/>
      <c r="K3386" s="345"/>
      <c r="L3386" s="346"/>
      <c r="M3386" s="347"/>
      <c r="N3386" s="347"/>
      <c r="O3386" s="132"/>
    </row>
    <row r="3387" spans="2:15" ht="26.25" customHeight="1" x14ac:dyDescent="0.25">
      <c r="B3387" s="130"/>
      <c r="C3387" s="135"/>
      <c r="D3387" s="177"/>
      <c r="E3387" s="178"/>
      <c r="F3387" s="178"/>
      <c r="G3387" s="340"/>
      <c r="H3387" s="340"/>
      <c r="I3387" s="179"/>
      <c r="J3387" s="344"/>
      <c r="K3387" s="345"/>
      <c r="L3387" s="346"/>
      <c r="M3387" s="347"/>
      <c r="N3387" s="347"/>
      <c r="O3387" s="132"/>
    </row>
    <row r="3388" spans="2:15" ht="26.25" customHeight="1" x14ac:dyDescent="0.25">
      <c r="B3388" s="130"/>
      <c r="C3388" s="135"/>
      <c r="D3388" s="177"/>
      <c r="E3388" s="178"/>
      <c r="F3388" s="178"/>
      <c r="G3388" s="340"/>
      <c r="H3388" s="340"/>
      <c r="I3388" s="179"/>
      <c r="J3388" s="344"/>
      <c r="K3388" s="345"/>
      <c r="L3388" s="346"/>
      <c r="M3388" s="347"/>
      <c r="N3388" s="347"/>
      <c r="O3388" s="132"/>
    </row>
    <row r="3389" spans="2:15" ht="26.25" customHeight="1" x14ac:dyDescent="0.25">
      <c r="B3389" s="130"/>
      <c r="C3389" s="135"/>
      <c r="D3389" s="177"/>
      <c r="E3389" s="178"/>
      <c r="F3389" s="178"/>
      <c r="G3389" s="340"/>
      <c r="H3389" s="340"/>
      <c r="I3389" s="179"/>
      <c r="J3389" s="344"/>
      <c r="K3389" s="345"/>
      <c r="L3389" s="346"/>
      <c r="M3389" s="347"/>
      <c r="N3389" s="347"/>
      <c r="O3389" s="132"/>
    </row>
    <row r="3390" spans="2:15" ht="26.25" customHeight="1" x14ac:dyDescent="0.25">
      <c r="B3390" s="130"/>
      <c r="C3390" s="135"/>
      <c r="D3390" s="177"/>
      <c r="E3390" s="178"/>
      <c r="F3390" s="178"/>
      <c r="G3390" s="340"/>
      <c r="H3390" s="340"/>
      <c r="I3390" s="179"/>
      <c r="J3390" s="344"/>
      <c r="K3390" s="345"/>
      <c r="L3390" s="346"/>
      <c r="M3390" s="347"/>
      <c r="N3390" s="347"/>
      <c r="O3390" s="132"/>
    </row>
    <row r="3391" spans="2:15" ht="26.25" customHeight="1" x14ac:dyDescent="0.25">
      <c r="B3391" s="130"/>
      <c r="C3391" s="135"/>
      <c r="D3391" s="177"/>
      <c r="E3391" s="178"/>
      <c r="F3391" s="178"/>
      <c r="G3391" s="340"/>
      <c r="H3391" s="340"/>
      <c r="I3391" s="179"/>
      <c r="J3391" s="344"/>
      <c r="K3391" s="345"/>
      <c r="L3391" s="346"/>
      <c r="M3391" s="347"/>
      <c r="N3391" s="347"/>
      <c r="O3391" s="132"/>
    </row>
    <row r="3392" spans="2:15" ht="26.25" customHeight="1" x14ac:dyDescent="0.25">
      <c r="B3392" s="130"/>
      <c r="C3392" s="135"/>
      <c r="D3392" s="177"/>
      <c r="E3392" s="178"/>
      <c r="F3392" s="178"/>
      <c r="G3392" s="340"/>
      <c r="H3392" s="340"/>
      <c r="I3392" s="179"/>
      <c r="J3392" s="344"/>
      <c r="K3392" s="345"/>
      <c r="L3392" s="346"/>
      <c r="M3392" s="347"/>
      <c r="N3392" s="347"/>
      <c r="O3392" s="132"/>
    </row>
    <row r="3393" spans="2:15" ht="26.25" customHeight="1" x14ac:dyDescent="0.25">
      <c r="B3393" s="130"/>
      <c r="C3393" s="135"/>
      <c r="D3393" s="177"/>
      <c r="E3393" s="178"/>
      <c r="F3393" s="178"/>
      <c r="G3393" s="340"/>
      <c r="H3393" s="340"/>
      <c r="I3393" s="179"/>
      <c r="J3393" s="344"/>
      <c r="K3393" s="345"/>
      <c r="L3393" s="346"/>
      <c r="M3393" s="347"/>
      <c r="N3393" s="347"/>
      <c r="O3393" s="132"/>
    </row>
    <row r="3394" spans="2:15" ht="26.25" customHeight="1" x14ac:dyDescent="0.25">
      <c r="B3394" s="130"/>
      <c r="C3394" s="135"/>
      <c r="D3394" s="177"/>
      <c r="E3394" s="178"/>
      <c r="F3394" s="178"/>
      <c r="G3394" s="340"/>
      <c r="H3394" s="340"/>
      <c r="I3394" s="179"/>
      <c r="J3394" s="344"/>
      <c r="K3394" s="345"/>
      <c r="L3394" s="346"/>
      <c r="M3394" s="347"/>
      <c r="N3394" s="347"/>
      <c r="O3394" s="132"/>
    </row>
    <row r="3395" spans="2:15" ht="26.25" customHeight="1" x14ac:dyDescent="0.25">
      <c r="B3395" s="130"/>
      <c r="C3395" s="135"/>
      <c r="D3395" s="177"/>
      <c r="E3395" s="178"/>
      <c r="F3395" s="178"/>
      <c r="G3395" s="340"/>
      <c r="H3395" s="340"/>
      <c r="I3395" s="179"/>
      <c r="J3395" s="344"/>
      <c r="K3395" s="345"/>
      <c r="L3395" s="346"/>
      <c r="M3395" s="347"/>
      <c r="N3395" s="347"/>
      <c r="O3395" s="132"/>
    </row>
    <row r="3396" spans="2:15" ht="26.25" customHeight="1" x14ac:dyDescent="0.25">
      <c r="B3396" s="130"/>
      <c r="C3396" s="135"/>
      <c r="D3396" s="177"/>
      <c r="E3396" s="178"/>
      <c r="F3396" s="178"/>
      <c r="G3396" s="340"/>
      <c r="H3396" s="340"/>
      <c r="I3396" s="179"/>
      <c r="J3396" s="344"/>
      <c r="K3396" s="345"/>
      <c r="L3396" s="346"/>
      <c r="M3396" s="347"/>
      <c r="N3396" s="347"/>
      <c r="O3396" s="132"/>
    </row>
    <row r="3397" spans="2:15" ht="26.25" customHeight="1" x14ac:dyDescent="0.25">
      <c r="B3397" s="130"/>
      <c r="C3397" s="135"/>
      <c r="D3397" s="177"/>
      <c r="E3397" s="178"/>
      <c r="F3397" s="178"/>
      <c r="G3397" s="340"/>
      <c r="H3397" s="340"/>
      <c r="I3397" s="179"/>
      <c r="J3397" s="344"/>
      <c r="K3397" s="345"/>
      <c r="L3397" s="346"/>
      <c r="M3397" s="347"/>
      <c r="N3397" s="347"/>
      <c r="O3397" s="132"/>
    </row>
    <row r="3398" spans="2:15" ht="26.25" customHeight="1" x14ac:dyDescent="0.25">
      <c r="B3398" s="130"/>
      <c r="C3398" s="135"/>
      <c r="D3398" s="177"/>
      <c r="E3398" s="178"/>
      <c r="F3398" s="178"/>
      <c r="G3398" s="340"/>
      <c r="H3398" s="340"/>
      <c r="I3398" s="179"/>
      <c r="J3398" s="344"/>
      <c r="K3398" s="345"/>
      <c r="L3398" s="346"/>
      <c r="M3398" s="347"/>
      <c r="N3398" s="347"/>
      <c r="O3398" s="132"/>
    </row>
    <row r="3399" spans="2:15" ht="26.25" customHeight="1" x14ac:dyDescent="0.25">
      <c r="B3399" s="130"/>
      <c r="C3399" s="135"/>
      <c r="D3399" s="177"/>
      <c r="E3399" s="178"/>
      <c r="F3399" s="178"/>
      <c r="G3399" s="340"/>
      <c r="H3399" s="340"/>
      <c r="I3399" s="179"/>
      <c r="J3399" s="344"/>
      <c r="K3399" s="345"/>
      <c r="L3399" s="346"/>
      <c r="M3399" s="347"/>
      <c r="N3399" s="347"/>
      <c r="O3399" s="132"/>
    </row>
    <row r="3400" spans="2:15" ht="26.25" customHeight="1" x14ac:dyDescent="0.25">
      <c r="B3400" s="130"/>
      <c r="C3400" s="135"/>
      <c r="D3400" s="177"/>
      <c r="E3400" s="178"/>
      <c r="F3400" s="178"/>
      <c r="G3400" s="340"/>
      <c r="H3400" s="340"/>
      <c r="I3400" s="179"/>
      <c r="J3400" s="344"/>
      <c r="K3400" s="345"/>
      <c r="L3400" s="346"/>
      <c r="M3400" s="347"/>
      <c r="N3400" s="347"/>
      <c r="O3400" s="132"/>
    </row>
    <row r="3401" spans="2:15" ht="26.25" customHeight="1" x14ac:dyDescent="0.25">
      <c r="B3401" s="130"/>
      <c r="C3401" s="135"/>
      <c r="D3401" s="177"/>
      <c r="E3401" s="178"/>
      <c r="F3401" s="178"/>
      <c r="G3401" s="340"/>
      <c r="H3401" s="340"/>
      <c r="I3401" s="179"/>
      <c r="J3401" s="344"/>
      <c r="K3401" s="345"/>
      <c r="L3401" s="346"/>
      <c r="M3401" s="347"/>
      <c r="N3401" s="347"/>
      <c r="O3401" s="132"/>
    </row>
    <row r="3402" spans="2:15" ht="26.25" customHeight="1" x14ac:dyDescent="0.25">
      <c r="B3402" s="130"/>
      <c r="C3402" s="135"/>
      <c r="D3402" s="177"/>
      <c r="E3402" s="178"/>
      <c r="F3402" s="178"/>
      <c r="G3402" s="340"/>
      <c r="H3402" s="340"/>
      <c r="I3402" s="179"/>
      <c r="J3402" s="344"/>
      <c r="K3402" s="345"/>
      <c r="L3402" s="346"/>
      <c r="M3402" s="347"/>
      <c r="N3402" s="347"/>
      <c r="O3402" s="132"/>
    </row>
    <row r="3403" spans="2:15" ht="26.25" customHeight="1" x14ac:dyDescent="0.25">
      <c r="B3403" s="130"/>
      <c r="C3403" s="135"/>
      <c r="D3403" s="177"/>
      <c r="E3403" s="178"/>
      <c r="F3403" s="178"/>
      <c r="G3403" s="340"/>
      <c r="H3403" s="340"/>
      <c r="I3403" s="179"/>
      <c r="J3403" s="344"/>
      <c r="K3403" s="345"/>
      <c r="L3403" s="346"/>
      <c r="M3403" s="347"/>
      <c r="N3403" s="347"/>
      <c r="O3403" s="132"/>
    </row>
    <row r="3404" spans="2:15" ht="26.25" customHeight="1" x14ac:dyDescent="0.25">
      <c r="B3404" s="130"/>
      <c r="C3404" s="135"/>
      <c r="D3404" s="177"/>
      <c r="E3404" s="178"/>
      <c r="F3404" s="178"/>
      <c r="G3404" s="340"/>
      <c r="H3404" s="340"/>
      <c r="I3404" s="179"/>
      <c r="J3404" s="344"/>
      <c r="K3404" s="345"/>
      <c r="L3404" s="346"/>
      <c r="M3404" s="347"/>
      <c r="N3404" s="347"/>
      <c r="O3404" s="132"/>
    </row>
    <row r="3405" spans="2:15" ht="26.25" customHeight="1" x14ac:dyDescent="0.25">
      <c r="B3405" s="130"/>
      <c r="C3405" s="135"/>
      <c r="D3405" s="177"/>
      <c r="E3405" s="178"/>
      <c r="F3405" s="178"/>
      <c r="G3405" s="340"/>
      <c r="H3405" s="340"/>
      <c r="I3405" s="179"/>
      <c r="J3405" s="344"/>
      <c r="K3405" s="345"/>
      <c r="L3405" s="346"/>
      <c r="M3405" s="347"/>
      <c r="N3405" s="347"/>
      <c r="O3405" s="132"/>
    </row>
    <row r="3406" spans="2:15" ht="26.25" customHeight="1" x14ac:dyDescent="0.25">
      <c r="B3406" s="130"/>
      <c r="C3406" s="135"/>
      <c r="D3406" s="177"/>
      <c r="E3406" s="178"/>
      <c r="F3406" s="178"/>
      <c r="G3406" s="340"/>
      <c r="H3406" s="340"/>
      <c r="I3406" s="179"/>
      <c r="J3406" s="344"/>
      <c r="K3406" s="345"/>
      <c r="L3406" s="346"/>
      <c r="M3406" s="347"/>
      <c r="N3406" s="347"/>
      <c r="O3406" s="132"/>
    </row>
    <row r="3407" spans="2:15" ht="26.25" customHeight="1" x14ac:dyDescent="0.25">
      <c r="B3407" s="130"/>
      <c r="C3407" s="135"/>
      <c r="D3407" s="177"/>
      <c r="E3407" s="178"/>
      <c r="F3407" s="178"/>
      <c r="G3407" s="340"/>
      <c r="H3407" s="340"/>
      <c r="I3407" s="179"/>
      <c r="J3407" s="344"/>
      <c r="K3407" s="345"/>
      <c r="L3407" s="346"/>
      <c r="M3407" s="347"/>
      <c r="N3407" s="347"/>
      <c r="O3407" s="132"/>
    </row>
    <row r="3408" spans="2:15" ht="26.25" customHeight="1" x14ac:dyDescent="0.25">
      <c r="B3408" s="130"/>
      <c r="C3408" s="135"/>
      <c r="D3408" s="177"/>
      <c r="E3408" s="178"/>
      <c r="F3408" s="178"/>
      <c r="G3408" s="340"/>
      <c r="H3408" s="340"/>
      <c r="I3408" s="179"/>
      <c r="J3408" s="344"/>
      <c r="K3408" s="345"/>
      <c r="L3408" s="346"/>
      <c r="M3408" s="347"/>
      <c r="N3408" s="347"/>
      <c r="O3408" s="132"/>
    </row>
    <row r="3409" spans="2:15" ht="26.25" customHeight="1" x14ac:dyDescent="0.25">
      <c r="B3409" s="130"/>
      <c r="C3409" s="135"/>
      <c r="D3409" s="177"/>
      <c r="E3409" s="178"/>
      <c r="F3409" s="178"/>
      <c r="G3409" s="340"/>
      <c r="H3409" s="340"/>
      <c r="I3409" s="179"/>
      <c r="J3409" s="344"/>
      <c r="K3409" s="345"/>
      <c r="L3409" s="346"/>
      <c r="M3409" s="347"/>
      <c r="N3409" s="347"/>
      <c r="O3409" s="132"/>
    </row>
    <row r="3410" spans="2:15" ht="26.25" customHeight="1" x14ac:dyDescent="0.25">
      <c r="B3410" s="130"/>
      <c r="C3410" s="135"/>
      <c r="D3410" s="177"/>
      <c r="E3410" s="178"/>
      <c r="F3410" s="178"/>
      <c r="G3410" s="340"/>
      <c r="H3410" s="340"/>
      <c r="I3410" s="179"/>
      <c r="J3410" s="344"/>
      <c r="K3410" s="345"/>
      <c r="L3410" s="346"/>
      <c r="M3410" s="347"/>
      <c r="N3410" s="347"/>
      <c r="O3410" s="132"/>
    </row>
    <row r="3411" spans="2:15" ht="26.25" customHeight="1" x14ac:dyDescent="0.25">
      <c r="B3411" s="130"/>
      <c r="C3411" s="135"/>
      <c r="D3411" s="177"/>
      <c r="E3411" s="178"/>
      <c r="F3411" s="178"/>
      <c r="G3411" s="340"/>
      <c r="H3411" s="340"/>
      <c r="I3411" s="179"/>
      <c r="J3411" s="344"/>
      <c r="K3411" s="345"/>
      <c r="L3411" s="346"/>
      <c r="M3411" s="347"/>
      <c r="N3411" s="347"/>
      <c r="O3411" s="132"/>
    </row>
    <row r="3412" spans="2:15" ht="26.25" customHeight="1" x14ac:dyDescent="0.25">
      <c r="B3412" s="130"/>
      <c r="C3412" s="135"/>
      <c r="D3412" s="177"/>
      <c r="E3412" s="178"/>
      <c r="F3412" s="178"/>
      <c r="G3412" s="340"/>
      <c r="H3412" s="340"/>
      <c r="I3412" s="179"/>
      <c r="J3412" s="344"/>
      <c r="K3412" s="345"/>
      <c r="L3412" s="346"/>
      <c r="M3412" s="347"/>
      <c r="N3412" s="347"/>
      <c r="O3412" s="132"/>
    </row>
    <row r="3413" spans="2:15" ht="26.25" customHeight="1" x14ac:dyDescent="0.25">
      <c r="B3413" s="130"/>
      <c r="C3413" s="135"/>
      <c r="D3413" s="177"/>
      <c r="E3413" s="178"/>
      <c r="F3413" s="178"/>
      <c r="G3413" s="340"/>
      <c r="H3413" s="340"/>
      <c r="I3413" s="179"/>
      <c r="J3413" s="344"/>
      <c r="K3413" s="345"/>
      <c r="L3413" s="346"/>
      <c r="M3413" s="347"/>
      <c r="N3413" s="347"/>
      <c r="O3413" s="132"/>
    </row>
    <row r="3414" spans="2:15" ht="26.25" customHeight="1" x14ac:dyDescent="0.25">
      <c r="B3414" s="130"/>
      <c r="C3414" s="135"/>
      <c r="D3414" s="177"/>
      <c r="E3414" s="178"/>
      <c r="F3414" s="178"/>
      <c r="G3414" s="340"/>
      <c r="H3414" s="340"/>
      <c r="I3414" s="179"/>
      <c r="J3414" s="344"/>
      <c r="K3414" s="345"/>
      <c r="L3414" s="346"/>
      <c r="M3414" s="347"/>
      <c r="N3414" s="347"/>
      <c r="O3414" s="132"/>
    </row>
    <row r="3415" spans="2:15" ht="26.25" customHeight="1" x14ac:dyDescent="0.25">
      <c r="B3415" s="130"/>
      <c r="C3415" s="135"/>
      <c r="D3415" s="177"/>
      <c r="E3415" s="178"/>
      <c r="F3415" s="178"/>
      <c r="G3415" s="340"/>
      <c r="H3415" s="340"/>
      <c r="I3415" s="179"/>
      <c r="J3415" s="344"/>
      <c r="K3415" s="345"/>
      <c r="L3415" s="346"/>
      <c r="M3415" s="347"/>
      <c r="N3415" s="347"/>
      <c r="O3415" s="132"/>
    </row>
    <row r="3416" spans="2:15" ht="26.25" customHeight="1" x14ac:dyDescent="0.25">
      <c r="B3416" s="130"/>
      <c r="C3416" s="135"/>
      <c r="D3416" s="177"/>
      <c r="E3416" s="178"/>
      <c r="F3416" s="178"/>
      <c r="G3416" s="340"/>
      <c r="H3416" s="340"/>
      <c r="I3416" s="179"/>
      <c r="J3416" s="344"/>
      <c r="K3416" s="345"/>
      <c r="L3416" s="346"/>
      <c r="M3416" s="347"/>
      <c r="N3416" s="347"/>
      <c r="O3416" s="132"/>
    </row>
    <row r="3417" spans="2:15" ht="26.25" customHeight="1" x14ac:dyDescent="0.25">
      <c r="B3417" s="130"/>
      <c r="C3417" s="135"/>
      <c r="D3417" s="177"/>
      <c r="E3417" s="178"/>
      <c r="F3417" s="178"/>
      <c r="G3417" s="340"/>
      <c r="H3417" s="340"/>
      <c r="I3417" s="179"/>
      <c r="J3417" s="344"/>
      <c r="K3417" s="345"/>
      <c r="L3417" s="346"/>
      <c r="M3417" s="347"/>
      <c r="N3417" s="347"/>
      <c r="O3417" s="132"/>
    </row>
    <row r="3418" spans="2:15" ht="26.25" customHeight="1" x14ac:dyDescent="0.25">
      <c r="B3418" s="130"/>
      <c r="C3418" s="135"/>
      <c r="D3418" s="177"/>
      <c r="E3418" s="178"/>
      <c r="F3418" s="178"/>
      <c r="G3418" s="340"/>
      <c r="H3418" s="340"/>
      <c r="I3418" s="179"/>
      <c r="J3418" s="344"/>
      <c r="K3418" s="345"/>
      <c r="L3418" s="346"/>
      <c r="M3418" s="347"/>
      <c r="N3418" s="347"/>
      <c r="O3418" s="132"/>
    </row>
    <row r="3419" spans="2:15" ht="26.25" customHeight="1" x14ac:dyDescent="0.25">
      <c r="B3419" s="130"/>
      <c r="C3419" s="135"/>
      <c r="D3419" s="177"/>
      <c r="E3419" s="178"/>
      <c r="F3419" s="178"/>
      <c r="G3419" s="340"/>
      <c r="H3419" s="340"/>
      <c r="I3419" s="179"/>
      <c r="J3419" s="344"/>
      <c r="K3419" s="345"/>
      <c r="L3419" s="346"/>
      <c r="M3419" s="347"/>
      <c r="N3419" s="347"/>
      <c r="O3419" s="132"/>
    </row>
    <row r="3420" spans="2:15" ht="26.25" customHeight="1" x14ac:dyDescent="0.25">
      <c r="B3420" s="130"/>
      <c r="C3420" s="135"/>
      <c r="D3420" s="177"/>
      <c r="E3420" s="178"/>
      <c r="F3420" s="178"/>
      <c r="G3420" s="340"/>
      <c r="H3420" s="340"/>
      <c r="I3420" s="179"/>
      <c r="J3420" s="344"/>
      <c r="K3420" s="345"/>
      <c r="L3420" s="346"/>
      <c r="M3420" s="347"/>
      <c r="N3420" s="347"/>
      <c r="O3420" s="132"/>
    </row>
    <row r="3421" spans="2:15" ht="26.25" customHeight="1" x14ac:dyDescent="0.25">
      <c r="B3421" s="130"/>
      <c r="C3421" s="135"/>
      <c r="D3421" s="177"/>
      <c r="E3421" s="178"/>
      <c r="F3421" s="178"/>
      <c r="G3421" s="340"/>
      <c r="H3421" s="340"/>
      <c r="I3421" s="179"/>
      <c r="J3421" s="344"/>
      <c r="K3421" s="345"/>
      <c r="L3421" s="346"/>
      <c r="M3421" s="347"/>
      <c r="N3421" s="347"/>
      <c r="O3421" s="132"/>
    </row>
    <row r="3422" spans="2:15" ht="26.25" customHeight="1" x14ac:dyDescent="0.25">
      <c r="B3422" s="130"/>
      <c r="C3422" s="135"/>
      <c r="D3422" s="177"/>
      <c r="E3422" s="178"/>
      <c r="F3422" s="178"/>
      <c r="G3422" s="340"/>
      <c r="H3422" s="340"/>
      <c r="I3422" s="179"/>
      <c r="J3422" s="344"/>
      <c r="K3422" s="345"/>
      <c r="L3422" s="346"/>
      <c r="M3422" s="347"/>
      <c r="N3422" s="347"/>
      <c r="O3422" s="132"/>
    </row>
    <row r="3423" spans="2:15" ht="26.25" customHeight="1" x14ac:dyDescent="0.25">
      <c r="B3423" s="130"/>
      <c r="C3423" s="135"/>
      <c r="D3423" s="177"/>
      <c r="E3423" s="178"/>
      <c r="F3423" s="178"/>
      <c r="G3423" s="340"/>
      <c r="H3423" s="340"/>
      <c r="I3423" s="179"/>
      <c r="J3423" s="344"/>
      <c r="K3423" s="345"/>
      <c r="L3423" s="346"/>
      <c r="M3423" s="347"/>
      <c r="N3423" s="347"/>
      <c r="O3423" s="132"/>
    </row>
    <row r="3424" spans="2:15" ht="26.25" customHeight="1" x14ac:dyDescent="0.25">
      <c r="B3424" s="130"/>
      <c r="C3424" s="135"/>
      <c r="D3424" s="177"/>
      <c r="E3424" s="178"/>
      <c r="F3424" s="178"/>
      <c r="G3424" s="340"/>
      <c r="H3424" s="340"/>
      <c r="I3424" s="179"/>
      <c r="J3424" s="344"/>
      <c r="K3424" s="345"/>
      <c r="L3424" s="346"/>
      <c r="M3424" s="347"/>
      <c r="N3424" s="347"/>
      <c r="O3424" s="132"/>
    </row>
    <row r="3425" spans="2:15" ht="26.25" customHeight="1" x14ac:dyDescent="0.25">
      <c r="B3425" s="130"/>
      <c r="C3425" s="135"/>
      <c r="D3425" s="177"/>
      <c r="E3425" s="178"/>
      <c r="F3425" s="178"/>
      <c r="G3425" s="340"/>
      <c r="H3425" s="340"/>
      <c r="I3425" s="179"/>
      <c r="J3425" s="344"/>
      <c r="K3425" s="345"/>
      <c r="L3425" s="346"/>
      <c r="M3425" s="347"/>
      <c r="N3425" s="347"/>
      <c r="O3425" s="132"/>
    </row>
    <row r="3426" spans="2:15" ht="26.25" customHeight="1" x14ac:dyDescent="0.25">
      <c r="B3426" s="130"/>
      <c r="C3426" s="135"/>
      <c r="D3426" s="177"/>
      <c r="E3426" s="178"/>
      <c r="F3426" s="178"/>
      <c r="G3426" s="340"/>
      <c r="H3426" s="340"/>
      <c r="I3426" s="179"/>
      <c r="J3426" s="344"/>
      <c r="K3426" s="345"/>
      <c r="L3426" s="346"/>
      <c r="M3426" s="347"/>
      <c r="N3426" s="347"/>
      <c r="O3426" s="132"/>
    </row>
    <row r="3427" spans="2:15" ht="26.25" customHeight="1" x14ac:dyDescent="0.25">
      <c r="B3427" s="130"/>
      <c r="C3427" s="135"/>
      <c r="D3427" s="177"/>
      <c r="E3427" s="178"/>
      <c r="F3427" s="178"/>
      <c r="G3427" s="340"/>
      <c r="H3427" s="340"/>
      <c r="I3427" s="179"/>
      <c r="J3427" s="344"/>
      <c r="K3427" s="345"/>
      <c r="L3427" s="346"/>
      <c r="M3427" s="347"/>
      <c r="N3427" s="347"/>
      <c r="O3427" s="132"/>
    </row>
    <row r="3428" spans="2:15" ht="26.25" customHeight="1" x14ac:dyDescent="0.25">
      <c r="B3428" s="130"/>
      <c r="C3428" s="135"/>
      <c r="D3428" s="177"/>
      <c r="E3428" s="178"/>
      <c r="F3428" s="178"/>
      <c r="G3428" s="340"/>
      <c r="H3428" s="340"/>
      <c r="I3428" s="179"/>
      <c r="J3428" s="344"/>
      <c r="K3428" s="345"/>
      <c r="L3428" s="346"/>
      <c r="M3428" s="347"/>
      <c r="N3428" s="347"/>
      <c r="O3428" s="132"/>
    </row>
    <row r="3429" spans="2:15" ht="26.25" customHeight="1" x14ac:dyDescent="0.25">
      <c r="B3429" s="130"/>
      <c r="C3429" s="135"/>
      <c r="D3429" s="177"/>
      <c r="E3429" s="178"/>
      <c r="F3429" s="178"/>
      <c r="G3429" s="340"/>
      <c r="H3429" s="340"/>
      <c r="I3429" s="179"/>
      <c r="J3429" s="344"/>
      <c r="K3429" s="345"/>
      <c r="L3429" s="346"/>
      <c r="M3429" s="347"/>
      <c r="N3429" s="347"/>
      <c r="O3429" s="132"/>
    </row>
    <row r="3430" spans="2:15" ht="26.25" customHeight="1" x14ac:dyDescent="0.25">
      <c r="B3430" s="130"/>
      <c r="C3430" s="135"/>
      <c r="D3430" s="177"/>
      <c r="E3430" s="178"/>
      <c r="F3430" s="178"/>
      <c r="G3430" s="340"/>
      <c r="H3430" s="340"/>
      <c r="I3430" s="179"/>
      <c r="J3430" s="344"/>
      <c r="K3430" s="345"/>
      <c r="L3430" s="346"/>
      <c r="M3430" s="347"/>
      <c r="N3430" s="347"/>
      <c r="O3430" s="132"/>
    </row>
    <row r="3431" spans="2:15" ht="26.25" customHeight="1" x14ac:dyDescent="0.25">
      <c r="B3431" s="130"/>
      <c r="C3431" s="135"/>
      <c r="D3431" s="177"/>
      <c r="E3431" s="178"/>
      <c r="F3431" s="178"/>
      <c r="G3431" s="340"/>
      <c r="H3431" s="340"/>
      <c r="I3431" s="179"/>
      <c r="J3431" s="344"/>
      <c r="K3431" s="345"/>
      <c r="L3431" s="346"/>
      <c r="M3431" s="347"/>
      <c r="N3431" s="347"/>
      <c r="O3431" s="132"/>
    </row>
    <row r="3432" spans="2:15" ht="26.25" customHeight="1" x14ac:dyDescent="0.25">
      <c r="B3432" s="130"/>
      <c r="C3432" s="135"/>
      <c r="D3432" s="177"/>
      <c r="E3432" s="178"/>
      <c r="F3432" s="178"/>
      <c r="G3432" s="340"/>
      <c r="H3432" s="340"/>
      <c r="I3432" s="179"/>
      <c r="J3432" s="344"/>
      <c r="K3432" s="345"/>
      <c r="L3432" s="346"/>
      <c r="M3432" s="347"/>
      <c r="N3432" s="347"/>
      <c r="O3432" s="132"/>
    </row>
    <row r="3433" spans="2:15" ht="26.25" customHeight="1" x14ac:dyDescent="0.25">
      <c r="B3433" s="130"/>
      <c r="C3433" s="135"/>
      <c r="D3433" s="177"/>
      <c r="E3433" s="178"/>
      <c r="F3433" s="178"/>
      <c r="G3433" s="340"/>
      <c r="H3433" s="340"/>
      <c r="I3433" s="179"/>
      <c r="J3433" s="344"/>
      <c r="K3433" s="345"/>
      <c r="L3433" s="346"/>
      <c r="M3433" s="347"/>
      <c r="N3433" s="347"/>
      <c r="O3433" s="132"/>
    </row>
    <row r="3434" spans="2:15" ht="26.25" customHeight="1" x14ac:dyDescent="0.25">
      <c r="B3434" s="130"/>
      <c r="C3434" s="135"/>
      <c r="D3434" s="177"/>
      <c r="E3434" s="178"/>
      <c r="F3434" s="178"/>
      <c r="G3434" s="340"/>
      <c r="H3434" s="340"/>
      <c r="I3434" s="179"/>
      <c r="J3434" s="344"/>
      <c r="K3434" s="345"/>
      <c r="L3434" s="346"/>
      <c r="M3434" s="347"/>
      <c r="N3434" s="347"/>
      <c r="O3434" s="132"/>
    </row>
    <row r="3435" spans="2:15" ht="26.25" customHeight="1" x14ac:dyDescent="0.25">
      <c r="B3435" s="130"/>
      <c r="C3435" s="135"/>
      <c r="D3435" s="177"/>
      <c r="E3435" s="178"/>
      <c r="F3435" s="178"/>
      <c r="G3435" s="340"/>
      <c r="H3435" s="340"/>
      <c r="I3435" s="179"/>
      <c r="J3435" s="344"/>
      <c r="K3435" s="345"/>
      <c r="L3435" s="346"/>
      <c r="M3435" s="347"/>
      <c r="N3435" s="347"/>
      <c r="O3435" s="132"/>
    </row>
    <row r="3436" spans="2:15" ht="26.25" customHeight="1" x14ac:dyDescent="0.25">
      <c r="B3436" s="130"/>
      <c r="C3436" s="135"/>
      <c r="D3436" s="177"/>
      <c r="E3436" s="178"/>
      <c r="F3436" s="178"/>
      <c r="G3436" s="340"/>
      <c r="H3436" s="340"/>
      <c r="I3436" s="179"/>
      <c r="J3436" s="344"/>
      <c r="K3436" s="345"/>
      <c r="L3436" s="346"/>
      <c r="M3436" s="347"/>
      <c r="N3436" s="347"/>
      <c r="O3436" s="132"/>
    </row>
    <row r="3437" spans="2:15" ht="26.25" customHeight="1" x14ac:dyDescent="0.25">
      <c r="B3437" s="130"/>
      <c r="C3437" s="135"/>
      <c r="D3437" s="177"/>
      <c r="E3437" s="178"/>
      <c r="F3437" s="178"/>
      <c r="G3437" s="340"/>
      <c r="H3437" s="340"/>
      <c r="I3437" s="179"/>
      <c r="J3437" s="344"/>
      <c r="K3437" s="345"/>
      <c r="L3437" s="346"/>
      <c r="M3437" s="347"/>
      <c r="N3437" s="347"/>
      <c r="O3437" s="132"/>
    </row>
    <row r="3438" spans="2:15" ht="26.25" customHeight="1" x14ac:dyDescent="0.25">
      <c r="B3438" s="130"/>
      <c r="C3438" s="135"/>
      <c r="D3438" s="177"/>
      <c r="E3438" s="178"/>
      <c r="F3438" s="178"/>
      <c r="G3438" s="340"/>
      <c r="H3438" s="340"/>
      <c r="I3438" s="179"/>
      <c r="J3438" s="344"/>
      <c r="K3438" s="345"/>
      <c r="L3438" s="346"/>
      <c r="M3438" s="347"/>
      <c r="N3438" s="347"/>
      <c r="O3438" s="132"/>
    </row>
    <row r="3439" spans="2:15" ht="26.25" customHeight="1" x14ac:dyDescent="0.25">
      <c r="B3439" s="130"/>
      <c r="C3439" s="135"/>
      <c r="D3439" s="177"/>
      <c r="E3439" s="178"/>
      <c r="F3439" s="178"/>
      <c r="G3439" s="340"/>
      <c r="H3439" s="340"/>
      <c r="I3439" s="179"/>
      <c r="J3439" s="344"/>
      <c r="K3439" s="345"/>
      <c r="L3439" s="346"/>
      <c r="M3439" s="347"/>
      <c r="N3439" s="347"/>
      <c r="O3439" s="132"/>
    </row>
    <row r="3440" spans="2:15" ht="26.25" customHeight="1" x14ac:dyDescent="0.25">
      <c r="B3440" s="130"/>
      <c r="C3440" s="135"/>
      <c r="D3440" s="177"/>
      <c r="E3440" s="178"/>
      <c r="F3440" s="178"/>
      <c r="G3440" s="340"/>
      <c r="H3440" s="340"/>
      <c r="I3440" s="179"/>
      <c r="J3440" s="344"/>
      <c r="K3440" s="345"/>
      <c r="L3440" s="346"/>
      <c r="M3440" s="347"/>
      <c r="N3440" s="347"/>
      <c r="O3440" s="132"/>
    </row>
    <row r="3441" spans="2:15" ht="26.25" customHeight="1" x14ac:dyDescent="0.25">
      <c r="B3441" s="130"/>
      <c r="C3441" s="135"/>
      <c r="D3441" s="177"/>
      <c r="E3441" s="178"/>
      <c r="F3441" s="178"/>
      <c r="G3441" s="340"/>
      <c r="H3441" s="340"/>
      <c r="I3441" s="179"/>
      <c r="J3441" s="344"/>
      <c r="K3441" s="345"/>
      <c r="L3441" s="346"/>
      <c r="M3441" s="347"/>
      <c r="N3441" s="347"/>
      <c r="O3441" s="132"/>
    </row>
    <row r="3442" spans="2:15" ht="26.25" customHeight="1" x14ac:dyDescent="0.25">
      <c r="B3442" s="130"/>
      <c r="C3442" s="135"/>
      <c r="D3442" s="177"/>
      <c r="E3442" s="178"/>
      <c r="F3442" s="178"/>
      <c r="G3442" s="340"/>
      <c r="H3442" s="340"/>
      <c r="I3442" s="179"/>
      <c r="J3442" s="344"/>
      <c r="K3442" s="345"/>
      <c r="L3442" s="346"/>
      <c r="M3442" s="347"/>
      <c r="N3442" s="347"/>
      <c r="O3442" s="132"/>
    </row>
    <row r="3443" spans="2:15" ht="26.25" customHeight="1" x14ac:dyDescent="0.25">
      <c r="B3443" s="130"/>
      <c r="C3443" s="135"/>
      <c r="D3443" s="177"/>
      <c r="E3443" s="178"/>
      <c r="F3443" s="178"/>
      <c r="G3443" s="340"/>
      <c r="H3443" s="340"/>
      <c r="I3443" s="179"/>
      <c r="J3443" s="344"/>
      <c r="K3443" s="345"/>
      <c r="L3443" s="346"/>
      <c r="M3443" s="347"/>
      <c r="N3443" s="347"/>
      <c r="O3443" s="132"/>
    </row>
    <row r="3444" spans="2:15" ht="26.25" customHeight="1" x14ac:dyDescent="0.25">
      <c r="B3444" s="130"/>
      <c r="C3444" s="135"/>
      <c r="D3444" s="177"/>
      <c r="E3444" s="178"/>
      <c r="F3444" s="178"/>
      <c r="G3444" s="340"/>
      <c r="H3444" s="340"/>
      <c r="I3444" s="179"/>
      <c r="J3444" s="344"/>
      <c r="K3444" s="345"/>
      <c r="L3444" s="346"/>
      <c r="M3444" s="347"/>
      <c r="N3444" s="347"/>
      <c r="O3444" s="132"/>
    </row>
    <row r="3445" spans="2:15" ht="26.25" customHeight="1" x14ac:dyDescent="0.25">
      <c r="B3445" s="130"/>
      <c r="C3445" s="135"/>
      <c r="D3445" s="177"/>
      <c r="E3445" s="178"/>
      <c r="F3445" s="178"/>
      <c r="G3445" s="340"/>
      <c r="H3445" s="340"/>
      <c r="I3445" s="179"/>
      <c r="J3445" s="344"/>
      <c r="K3445" s="345"/>
      <c r="L3445" s="346"/>
      <c r="M3445" s="347"/>
      <c r="N3445" s="347"/>
      <c r="O3445" s="132"/>
    </row>
    <row r="3446" spans="2:15" ht="26.25" customHeight="1" x14ac:dyDescent="0.25">
      <c r="B3446" s="130"/>
      <c r="C3446" s="135"/>
      <c r="D3446" s="177"/>
      <c r="E3446" s="178"/>
      <c r="F3446" s="178"/>
      <c r="G3446" s="340"/>
      <c r="H3446" s="340"/>
      <c r="I3446" s="179"/>
      <c r="J3446" s="344"/>
      <c r="K3446" s="345"/>
      <c r="L3446" s="346"/>
      <c r="M3446" s="347"/>
      <c r="N3446" s="347"/>
      <c r="O3446" s="132"/>
    </row>
    <row r="3447" spans="2:15" ht="26.25" customHeight="1" x14ac:dyDescent="0.25">
      <c r="B3447" s="130"/>
      <c r="C3447" s="135"/>
      <c r="D3447" s="177"/>
      <c r="E3447" s="178"/>
      <c r="F3447" s="178"/>
      <c r="G3447" s="340"/>
      <c r="H3447" s="340"/>
      <c r="I3447" s="179"/>
      <c r="J3447" s="344"/>
      <c r="K3447" s="345"/>
      <c r="L3447" s="346"/>
      <c r="M3447" s="347"/>
      <c r="N3447" s="347"/>
      <c r="O3447" s="132"/>
    </row>
    <row r="3448" spans="2:15" ht="26.25" customHeight="1" x14ac:dyDescent="0.25">
      <c r="B3448" s="130"/>
      <c r="C3448" s="135"/>
      <c r="D3448" s="177"/>
      <c r="E3448" s="178"/>
      <c r="F3448" s="178"/>
      <c r="G3448" s="340"/>
      <c r="H3448" s="340"/>
      <c r="I3448" s="179"/>
      <c r="J3448" s="344"/>
      <c r="K3448" s="345"/>
      <c r="L3448" s="346"/>
      <c r="M3448" s="347"/>
      <c r="N3448" s="347"/>
      <c r="O3448" s="132"/>
    </row>
    <row r="3449" spans="2:15" ht="26.25" customHeight="1" x14ac:dyDescent="0.25">
      <c r="B3449" s="130"/>
      <c r="C3449" s="135"/>
      <c r="D3449" s="177"/>
      <c r="E3449" s="178"/>
      <c r="F3449" s="178"/>
      <c r="G3449" s="340"/>
      <c r="H3449" s="340"/>
      <c r="I3449" s="179"/>
      <c r="J3449" s="344"/>
      <c r="K3449" s="345"/>
      <c r="L3449" s="346"/>
      <c r="M3449" s="347"/>
      <c r="N3449" s="347"/>
      <c r="O3449" s="132"/>
    </row>
    <row r="3450" spans="2:15" ht="26.25" customHeight="1" x14ac:dyDescent="0.25">
      <c r="B3450" s="130"/>
      <c r="C3450" s="135"/>
      <c r="D3450" s="177"/>
      <c r="E3450" s="178"/>
      <c r="F3450" s="178"/>
      <c r="G3450" s="340"/>
      <c r="H3450" s="340"/>
      <c r="I3450" s="179"/>
      <c r="J3450" s="344"/>
      <c r="K3450" s="345"/>
      <c r="L3450" s="346"/>
      <c r="M3450" s="347"/>
      <c r="N3450" s="347"/>
      <c r="O3450" s="132"/>
    </row>
    <row r="3451" spans="2:15" ht="26.25" customHeight="1" x14ac:dyDescent="0.25">
      <c r="B3451" s="130"/>
      <c r="C3451" s="135"/>
      <c r="D3451" s="177"/>
      <c r="E3451" s="178"/>
      <c r="F3451" s="178"/>
      <c r="G3451" s="340"/>
      <c r="H3451" s="340"/>
      <c r="I3451" s="179"/>
      <c r="J3451" s="344"/>
      <c r="K3451" s="345"/>
      <c r="L3451" s="346"/>
      <c r="M3451" s="347"/>
      <c r="N3451" s="347"/>
      <c r="O3451" s="132"/>
    </row>
    <row r="3452" spans="2:15" ht="26.25" customHeight="1" x14ac:dyDescent="0.25">
      <c r="B3452" s="130"/>
      <c r="C3452" s="135"/>
      <c r="D3452" s="177"/>
      <c r="E3452" s="178"/>
      <c r="F3452" s="178"/>
      <c r="G3452" s="340"/>
      <c r="H3452" s="340"/>
      <c r="I3452" s="179"/>
      <c r="J3452" s="344"/>
      <c r="K3452" s="345"/>
      <c r="L3452" s="346"/>
      <c r="M3452" s="347"/>
      <c r="N3452" s="347"/>
      <c r="O3452" s="132"/>
    </row>
    <row r="3453" spans="2:15" ht="26.25" customHeight="1" x14ac:dyDescent="0.25">
      <c r="B3453" s="130"/>
      <c r="C3453" s="135"/>
      <c r="D3453" s="177"/>
      <c r="E3453" s="178"/>
      <c r="F3453" s="178"/>
      <c r="G3453" s="340"/>
      <c r="H3453" s="340"/>
      <c r="I3453" s="179"/>
      <c r="J3453" s="344"/>
      <c r="K3453" s="345"/>
      <c r="L3453" s="346"/>
      <c r="M3453" s="347"/>
      <c r="N3453" s="347"/>
      <c r="O3453" s="132"/>
    </row>
    <row r="3454" spans="2:15" ht="26.25" customHeight="1" x14ac:dyDescent="0.25">
      <c r="B3454" s="130"/>
      <c r="C3454" s="135"/>
      <c r="D3454" s="177"/>
      <c r="E3454" s="178"/>
      <c r="F3454" s="178"/>
      <c r="G3454" s="340"/>
      <c r="H3454" s="340"/>
      <c r="I3454" s="179"/>
      <c r="J3454" s="344"/>
      <c r="K3454" s="345"/>
      <c r="L3454" s="346"/>
      <c r="M3454" s="347"/>
      <c r="N3454" s="347"/>
      <c r="O3454" s="132"/>
    </row>
    <row r="3455" spans="2:15" ht="26.25" customHeight="1" x14ac:dyDescent="0.25">
      <c r="B3455" s="130"/>
      <c r="C3455" s="135"/>
      <c r="D3455" s="177"/>
      <c r="E3455" s="178"/>
      <c r="F3455" s="178"/>
      <c r="G3455" s="340"/>
      <c r="H3455" s="340"/>
      <c r="I3455" s="179"/>
      <c r="J3455" s="344"/>
      <c r="K3455" s="345"/>
      <c r="L3455" s="346"/>
      <c r="M3455" s="347"/>
      <c r="N3455" s="347"/>
      <c r="O3455" s="132"/>
    </row>
    <row r="3456" spans="2:15" ht="26.25" customHeight="1" x14ac:dyDescent="0.25">
      <c r="B3456" s="130"/>
      <c r="C3456" s="135"/>
      <c r="D3456" s="177"/>
      <c r="E3456" s="178"/>
      <c r="F3456" s="178"/>
      <c r="G3456" s="340"/>
      <c r="H3456" s="340"/>
      <c r="I3456" s="179"/>
      <c r="J3456" s="344"/>
      <c r="K3456" s="345"/>
      <c r="L3456" s="346"/>
      <c r="M3456" s="347"/>
      <c r="N3456" s="347"/>
      <c r="O3456" s="132"/>
    </row>
    <row r="3457" spans="2:15" ht="26.25" customHeight="1" x14ac:dyDescent="0.25">
      <c r="B3457" s="130"/>
      <c r="C3457" s="135"/>
      <c r="D3457" s="177"/>
      <c r="E3457" s="178"/>
      <c r="F3457" s="178"/>
      <c r="G3457" s="340"/>
      <c r="H3457" s="340"/>
      <c r="I3457" s="179"/>
      <c r="J3457" s="344"/>
      <c r="K3457" s="345"/>
      <c r="L3457" s="346"/>
      <c r="M3457" s="347"/>
      <c r="N3457" s="347"/>
      <c r="O3457" s="132"/>
    </row>
    <row r="3458" spans="2:15" ht="26.25" customHeight="1" x14ac:dyDescent="0.25">
      <c r="B3458" s="130"/>
      <c r="C3458" s="135"/>
      <c r="D3458" s="177"/>
      <c r="E3458" s="178"/>
      <c r="F3458" s="178"/>
      <c r="G3458" s="340"/>
      <c r="H3458" s="340"/>
      <c r="I3458" s="179"/>
      <c r="J3458" s="344"/>
      <c r="K3458" s="345"/>
      <c r="L3458" s="346"/>
      <c r="M3458" s="347"/>
      <c r="N3458" s="347"/>
      <c r="O3458" s="132"/>
    </row>
    <row r="3459" spans="2:15" ht="26.25" customHeight="1" x14ac:dyDescent="0.25">
      <c r="B3459" s="130"/>
      <c r="C3459" s="135"/>
      <c r="D3459" s="177"/>
      <c r="E3459" s="178"/>
      <c r="F3459" s="178"/>
      <c r="G3459" s="340"/>
      <c r="H3459" s="340"/>
      <c r="I3459" s="179"/>
      <c r="J3459" s="344"/>
      <c r="K3459" s="345"/>
      <c r="L3459" s="346"/>
      <c r="M3459" s="347"/>
      <c r="N3459" s="347"/>
      <c r="O3459" s="132"/>
    </row>
    <row r="3460" spans="2:15" ht="26.25" customHeight="1" x14ac:dyDescent="0.25">
      <c r="B3460" s="130"/>
      <c r="C3460" s="135"/>
      <c r="D3460" s="177"/>
      <c r="E3460" s="178"/>
      <c r="F3460" s="178"/>
      <c r="G3460" s="340"/>
      <c r="H3460" s="340"/>
      <c r="I3460" s="179"/>
      <c r="J3460" s="344"/>
      <c r="K3460" s="345"/>
      <c r="L3460" s="346"/>
      <c r="M3460" s="347"/>
      <c r="N3460" s="347"/>
      <c r="O3460" s="132"/>
    </row>
    <row r="3461" spans="2:15" ht="26.25" customHeight="1" x14ac:dyDescent="0.25">
      <c r="B3461" s="130"/>
      <c r="C3461" s="135"/>
      <c r="D3461" s="177"/>
      <c r="E3461" s="178"/>
      <c r="F3461" s="178"/>
      <c r="G3461" s="340"/>
      <c r="H3461" s="340"/>
      <c r="I3461" s="179"/>
      <c r="J3461" s="344"/>
      <c r="K3461" s="345"/>
      <c r="L3461" s="346"/>
      <c r="M3461" s="347"/>
      <c r="N3461" s="347"/>
      <c r="O3461" s="132"/>
    </row>
    <row r="3462" spans="2:15" ht="26.25" customHeight="1" x14ac:dyDescent="0.25">
      <c r="B3462" s="130"/>
      <c r="C3462" s="135"/>
      <c r="D3462" s="177"/>
      <c r="E3462" s="178"/>
      <c r="F3462" s="178"/>
      <c r="G3462" s="340"/>
      <c r="H3462" s="340"/>
      <c r="I3462" s="179"/>
      <c r="J3462" s="344"/>
      <c r="K3462" s="345"/>
      <c r="L3462" s="346"/>
      <c r="M3462" s="347"/>
      <c r="N3462" s="347"/>
      <c r="O3462" s="132"/>
    </row>
    <row r="3463" spans="2:15" ht="26.25" customHeight="1" x14ac:dyDescent="0.25">
      <c r="B3463" s="130"/>
      <c r="C3463" s="135"/>
      <c r="D3463" s="177"/>
      <c r="E3463" s="178"/>
      <c r="F3463" s="178"/>
      <c r="G3463" s="340"/>
      <c r="H3463" s="340"/>
      <c r="I3463" s="179"/>
      <c r="J3463" s="344"/>
      <c r="K3463" s="345"/>
      <c r="L3463" s="346"/>
      <c r="M3463" s="347"/>
      <c r="N3463" s="347"/>
      <c r="O3463" s="132"/>
    </row>
    <row r="3464" spans="2:15" ht="26.25" customHeight="1" x14ac:dyDescent="0.25">
      <c r="B3464" s="130"/>
      <c r="C3464" s="135"/>
      <c r="D3464" s="177"/>
      <c r="E3464" s="178"/>
      <c r="F3464" s="178"/>
      <c r="G3464" s="340"/>
      <c r="H3464" s="340"/>
      <c r="I3464" s="179"/>
      <c r="J3464" s="344"/>
      <c r="K3464" s="345"/>
      <c r="L3464" s="346"/>
      <c r="M3464" s="347"/>
      <c r="N3464" s="347"/>
      <c r="O3464" s="132"/>
    </row>
    <row r="3465" spans="2:15" ht="26.25" customHeight="1" x14ac:dyDescent="0.25">
      <c r="B3465" s="130"/>
      <c r="C3465" s="135"/>
      <c r="D3465" s="177"/>
      <c r="E3465" s="178"/>
      <c r="F3465" s="178"/>
      <c r="G3465" s="340"/>
      <c r="H3465" s="340"/>
      <c r="I3465" s="179"/>
      <c r="J3465" s="344"/>
      <c r="K3465" s="345"/>
      <c r="L3465" s="346"/>
      <c r="M3465" s="347"/>
      <c r="N3465" s="347"/>
      <c r="O3465" s="132"/>
    </row>
    <row r="3466" spans="2:15" ht="26.25" customHeight="1" x14ac:dyDescent="0.25">
      <c r="B3466" s="130"/>
      <c r="C3466" s="135"/>
      <c r="D3466" s="177"/>
      <c r="E3466" s="178"/>
      <c r="F3466" s="178"/>
      <c r="G3466" s="340"/>
      <c r="H3466" s="340"/>
      <c r="I3466" s="179"/>
      <c r="J3466" s="344"/>
      <c r="K3466" s="345"/>
      <c r="L3466" s="346"/>
      <c r="M3466" s="347"/>
      <c r="N3466" s="347"/>
      <c r="O3466" s="132"/>
    </row>
    <row r="3467" spans="2:15" ht="26.25" customHeight="1" x14ac:dyDescent="0.25">
      <c r="B3467" s="130"/>
      <c r="C3467" s="135"/>
      <c r="D3467" s="177"/>
      <c r="E3467" s="178"/>
      <c r="F3467" s="178"/>
      <c r="G3467" s="340"/>
      <c r="H3467" s="340"/>
      <c r="I3467" s="179"/>
      <c r="J3467" s="344"/>
      <c r="K3467" s="345"/>
      <c r="L3467" s="346"/>
      <c r="M3467" s="347"/>
      <c r="N3467" s="347"/>
      <c r="O3467" s="132"/>
    </row>
    <row r="3468" spans="2:15" ht="26.25" customHeight="1" x14ac:dyDescent="0.25">
      <c r="B3468" s="130"/>
      <c r="C3468" s="135"/>
      <c r="D3468" s="177"/>
      <c r="E3468" s="178"/>
      <c r="F3468" s="178"/>
      <c r="G3468" s="340"/>
      <c r="H3468" s="340"/>
      <c r="I3468" s="179"/>
      <c r="J3468" s="344"/>
      <c r="K3468" s="345"/>
      <c r="L3468" s="346"/>
      <c r="M3468" s="347"/>
      <c r="N3468" s="347"/>
      <c r="O3468" s="132"/>
    </row>
    <row r="3469" spans="2:15" ht="26.25" customHeight="1" x14ac:dyDescent="0.25">
      <c r="B3469" s="130"/>
      <c r="C3469" s="135"/>
      <c r="D3469" s="177"/>
      <c r="E3469" s="178"/>
      <c r="F3469" s="178"/>
      <c r="G3469" s="340"/>
      <c r="H3469" s="340"/>
      <c r="I3469" s="179"/>
      <c r="J3469" s="344"/>
      <c r="K3469" s="345"/>
      <c r="L3469" s="346"/>
      <c r="M3469" s="347"/>
      <c r="N3469" s="347"/>
      <c r="O3469" s="132"/>
    </row>
    <row r="3470" spans="2:15" ht="26.25" customHeight="1" x14ac:dyDescent="0.25">
      <c r="B3470" s="130"/>
      <c r="C3470" s="135"/>
      <c r="D3470" s="177"/>
      <c r="E3470" s="178"/>
      <c r="F3470" s="178"/>
      <c r="G3470" s="340"/>
      <c r="H3470" s="340"/>
      <c r="I3470" s="179"/>
      <c r="J3470" s="344"/>
      <c r="K3470" s="345"/>
      <c r="L3470" s="346"/>
      <c r="M3470" s="347"/>
      <c r="N3470" s="347"/>
      <c r="O3470" s="132"/>
    </row>
    <row r="3471" spans="2:15" ht="26.25" customHeight="1" x14ac:dyDescent="0.25">
      <c r="B3471" s="130"/>
      <c r="C3471" s="135"/>
      <c r="D3471" s="177"/>
      <c r="E3471" s="178"/>
      <c r="F3471" s="178"/>
      <c r="G3471" s="340"/>
      <c r="H3471" s="340"/>
      <c r="I3471" s="179"/>
      <c r="J3471" s="344"/>
      <c r="K3471" s="345"/>
      <c r="L3471" s="346"/>
      <c r="M3471" s="347"/>
      <c r="N3471" s="347"/>
      <c r="O3471" s="132"/>
    </row>
    <row r="3472" spans="2:15" ht="26.25" customHeight="1" x14ac:dyDescent="0.25">
      <c r="B3472" s="130"/>
      <c r="C3472" s="135"/>
      <c r="D3472" s="177"/>
      <c r="E3472" s="178"/>
      <c r="F3472" s="178"/>
      <c r="G3472" s="340"/>
      <c r="H3472" s="340"/>
      <c r="I3472" s="179"/>
      <c r="J3472" s="344"/>
      <c r="K3472" s="345"/>
      <c r="L3472" s="346"/>
      <c r="M3472" s="347"/>
      <c r="N3472" s="347"/>
      <c r="O3472" s="132"/>
    </row>
    <row r="3473" spans="2:15" ht="26.25" customHeight="1" x14ac:dyDescent="0.25">
      <c r="B3473" s="130"/>
      <c r="C3473" s="135"/>
      <c r="D3473" s="177"/>
      <c r="E3473" s="178"/>
      <c r="F3473" s="178"/>
      <c r="G3473" s="340"/>
      <c r="H3473" s="340"/>
      <c r="I3473" s="179"/>
      <c r="J3473" s="344"/>
      <c r="K3473" s="345"/>
      <c r="L3473" s="346"/>
      <c r="M3473" s="347"/>
      <c r="N3473" s="347"/>
      <c r="O3473" s="132"/>
    </row>
    <row r="3474" spans="2:15" ht="26.25" customHeight="1" x14ac:dyDescent="0.25">
      <c r="B3474" s="130"/>
      <c r="C3474" s="135"/>
      <c r="D3474" s="177"/>
      <c r="E3474" s="178"/>
      <c r="F3474" s="178"/>
      <c r="G3474" s="340"/>
      <c r="H3474" s="340"/>
      <c r="I3474" s="179"/>
      <c r="J3474" s="344"/>
      <c r="K3474" s="345"/>
      <c r="L3474" s="346"/>
      <c r="M3474" s="347"/>
      <c r="N3474" s="347"/>
      <c r="O3474" s="132"/>
    </row>
    <row r="3475" spans="2:15" ht="26.25" customHeight="1" x14ac:dyDescent="0.25">
      <c r="B3475" s="130"/>
      <c r="C3475" s="135"/>
      <c r="D3475" s="177"/>
      <c r="E3475" s="178"/>
      <c r="F3475" s="178"/>
      <c r="G3475" s="340"/>
      <c r="H3475" s="340"/>
      <c r="I3475" s="179"/>
      <c r="J3475" s="344"/>
      <c r="K3475" s="345"/>
      <c r="L3475" s="346"/>
      <c r="M3475" s="347"/>
      <c r="N3475" s="347"/>
      <c r="O3475" s="132"/>
    </row>
    <row r="3476" spans="2:15" ht="26.25" customHeight="1" x14ac:dyDescent="0.25">
      <c r="B3476" s="130"/>
      <c r="C3476" s="135"/>
      <c r="D3476" s="177"/>
      <c r="E3476" s="178"/>
      <c r="F3476" s="178"/>
      <c r="G3476" s="340"/>
      <c r="H3476" s="340"/>
      <c r="I3476" s="179"/>
      <c r="J3476" s="344"/>
      <c r="K3476" s="345"/>
      <c r="L3476" s="346"/>
      <c r="M3476" s="347"/>
      <c r="N3476" s="347"/>
      <c r="O3476" s="132"/>
    </row>
    <row r="3477" spans="2:15" ht="26.25" customHeight="1" x14ac:dyDescent="0.25">
      <c r="B3477" s="130"/>
      <c r="C3477" s="135"/>
      <c r="D3477" s="177"/>
      <c r="E3477" s="178"/>
      <c r="F3477" s="178"/>
      <c r="G3477" s="340"/>
      <c r="H3477" s="340"/>
      <c r="I3477" s="179"/>
      <c r="J3477" s="344"/>
      <c r="K3477" s="345"/>
      <c r="L3477" s="346"/>
      <c r="M3477" s="347"/>
      <c r="N3477" s="347"/>
      <c r="O3477" s="132"/>
    </row>
    <row r="3478" spans="2:15" ht="26.25" customHeight="1" x14ac:dyDescent="0.25">
      <c r="B3478" s="130"/>
      <c r="C3478" s="135"/>
      <c r="D3478" s="177"/>
      <c r="E3478" s="178"/>
      <c r="F3478" s="178"/>
      <c r="G3478" s="340"/>
      <c r="H3478" s="340"/>
      <c r="I3478" s="179"/>
      <c r="J3478" s="344"/>
      <c r="K3478" s="345"/>
      <c r="L3478" s="346"/>
      <c r="M3478" s="347"/>
      <c r="N3478" s="347"/>
      <c r="O3478" s="132"/>
    </row>
    <row r="3479" spans="2:15" ht="26.25" customHeight="1" x14ac:dyDescent="0.25">
      <c r="B3479" s="130"/>
      <c r="C3479" s="135"/>
      <c r="D3479" s="177"/>
      <c r="E3479" s="178"/>
      <c r="F3479" s="178"/>
      <c r="G3479" s="340"/>
      <c r="H3479" s="340"/>
      <c r="I3479" s="179"/>
      <c r="J3479" s="344"/>
      <c r="K3479" s="345"/>
      <c r="L3479" s="346"/>
      <c r="M3479" s="347"/>
      <c r="N3479" s="347"/>
      <c r="O3479" s="132"/>
    </row>
    <row r="3480" spans="2:15" ht="26.25" customHeight="1" x14ac:dyDescent="0.25">
      <c r="B3480" s="130"/>
      <c r="C3480" s="135"/>
      <c r="D3480" s="177"/>
      <c r="E3480" s="178"/>
      <c r="F3480" s="178"/>
      <c r="G3480" s="340"/>
      <c r="H3480" s="340"/>
      <c r="I3480" s="179"/>
      <c r="J3480" s="344"/>
      <c r="K3480" s="345"/>
      <c r="L3480" s="346"/>
      <c r="M3480" s="347"/>
      <c r="N3480" s="347"/>
      <c r="O3480" s="132"/>
    </row>
    <row r="3481" spans="2:15" ht="26.25" customHeight="1" x14ac:dyDescent="0.25">
      <c r="B3481" s="130"/>
      <c r="C3481" s="135"/>
      <c r="D3481" s="177"/>
      <c r="E3481" s="178"/>
      <c r="F3481" s="178"/>
      <c r="G3481" s="340"/>
      <c r="H3481" s="340"/>
      <c r="I3481" s="179"/>
      <c r="J3481" s="344"/>
      <c r="K3481" s="345"/>
      <c r="L3481" s="346"/>
      <c r="M3481" s="347"/>
      <c r="N3481" s="347"/>
      <c r="O3481" s="132"/>
    </row>
    <row r="3482" spans="2:15" ht="26.25" customHeight="1" x14ac:dyDescent="0.25">
      <c r="B3482" s="130"/>
      <c r="C3482" s="135"/>
      <c r="D3482" s="177"/>
      <c r="E3482" s="178"/>
      <c r="F3482" s="178"/>
      <c r="G3482" s="340"/>
      <c r="H3482" s="340"/>
      <c r="I3482" s="179"/>
      <c r="J3482" s="344"/>
      <c r="K3482" s="345"/>
      <c r="L3482" s="346"/>
      <c r="M3482" s="347"/>
      <c r="N3482" s="347"/>
      <c r="O3482" s="132"/>
    </row>
    <row r="3483" spans="2:15" ht="26.25" customHeight="1" x14ac:dyDescent="0.25">
      <c r="B3483" s="130"/>
      <c r="C3483" s="135"/>
      <c r="D3483" s="177"/>
      <c r="E3483" s="178"/>
      <c r="F3483" s="178"/>
      <c r="G3483" s="340"/>
      <c r="H3483" s="340"/>
      <c r="I3483" s="179"/>
      <c r="J3483" s="344"/>
      <c r="K3483" s="345"/>
      <c r="L3483" s="346"/>
      <c r="M3483" s="347"/>
      <c r="N3483" s="347"/>
      <c r="O3483" s="132"/>
    </row>
    <row r="3484" spans="2:15" ht="26.25" customHeight="1" x14ac:dyDescent="0.25">
      <c r="B3484" s="130"/>
      <c r="C3484" s="135"/>
      <c r="D3484" s="177"/>
      <c r="E3484" s="178"/>
      <c r="F3484" s="178"/>
      <c r="G3484" s="340"/>
      <c r="H3484" s="340"/>
      <c r="I3484" s="179"/>
      <c r="J3484" s="344"/>
      <c r="K3484" s="345"/>
      <c r="L3484" s="346"/>
      <c r="M3484" s="347"/>
      <c r="N3484" s="347"/>
      <c r="O3484" s="132"/>
    </row>
    <row r="3485" spans="2:15" ht="26.25" customHeight="1" x14ac:dyDescent="0.25">
      <c r="B3485" s="130"/>
      <c r="C3485" s="135"/>
      <c r="D3485" s="177"/>
      <c r="E3485" s="178"/>
      <c r="F3485" s="178"/>
      <c r="G3485" s="340"/>
      <c r="H3485" s="340"/>
      <c r="I3485" s="179"/>
      <c r="J3485" s="344"/>
      <c r="K3485" s="345"/>
      <c r="L3485" s="346"/>
      <c r="M3485" s="347"/>
      <c r="N3485" s="347"/>
      <c r="O3485" s="132"/>
    </row>
    <row r="3486" spans="2:15" ht="26.25" customHeight="1" x14ac:dyDescent="0.25">
      <c r="B3486" s="130"/>
      <c r="C3486" s="135"/>
      <c r="D3486" s="177"/>
      <c r="E3486" s="178"/>
      <c r="F3486" s="178"/>
      <c r="G3486" s="340"/>
      <c r="H3486" s="340"/>
      <c r="I3486" s="179"/>
      <c r="J3486" s="344"/>
      <c r="K3486" s="345"/>
      <c r="L3486" s="346"/>
      <c r="M3486" s="347"/>
      <c r="N3486" s="347"/>
      <c r="O3486" s="132"/>
    </row>
    <row r="3487" spans="2:15" ht="26.25" customHeight="1" x14ac:dyDescent="0.25">
      <c r="B3487" s="130"/>
      <c r="C3487" s="135"/>
      <c r="D3487" s="177"/>
      <c r="E3487" s="178"/>
      <c r="F3487" s="178"/>
      <c r="G3487" s="340"/>
      <c r="H3487" s="340"/>
      <c r="I3487" s="179"/>
      <c r="J3487" s="344"/>
      <c r="K3487" s="345"/>
      <c r="L3487" s="346"/>
      <c r="M3487" s="347"/>
      <c r="N3487" s="347"/>
      <c r="O3487" s="132"/>
    </row>
    <row r="3488" spans="2:15" ht="26.25" customHeight="1" x14ac:dyDescent="0.25">
      <c r="B3488" s="130"/>
      <c r="C3488" s="135"/>
      <c r="D3488" s="177"/>
      <c r="E3488" s="178"/>
      <c r="F3488" s="178"/>
      <c r="G3488" s="340"/>
      <c r="H3488" s="340"/>
      <c r="I3488" s="179"/>
      <c r="J3488" s="344"/>
      <c r="K3488" s="345"/>
      <c r="L3488" s="346"/>
      <c r="M3488" s="347"/>
      <c r="N3488" s="347"/>
      <c r="O3488" s="132"/>
    </row>
    <row r="3489" spans="2:15" ht="26.25" customHeight="1" x14ac:dyDescent="0.25">
      <c r="B3489" s="130"/>
      <c r="C3489" s="135"/>
      <c r="D3489" s="177"/>
      <c r="E3489" s="178"/>
      <c r="F3489" s="178"/>
      <c r="G3489" s="340"/>
      <c r="H3489" s="340"/>
      <c r="I3489" s="179"/>
      <c r="J3489" s="344"/>
      <c r="K3489" s="345"/>
      <c r="L3489" s="346"/>
      <c r="M3489" s="347"/>
      <c r="N3489" s="347"/>
      <c r="O3489" s="132"/>
    </row>
    <row r="3490" spans="2:15" ht="26.25" customHeight="1" x14ac:dyDescent="0.25">
      <c r="B3490" s="130"/>
      <c r="C3490" s="135"/>
      <c r="D3490" s="177"/>
      <c r="E3490" s="178"/>
      <c r="F3490" s="178"/>
      <c r="G3490" s="340"/>
      <c r="H3490" s="340"/>
      <c r="I3490" s="179"/>
      <c r="J3490" s="344"/>
      <c r="K3490" s="345"/>
      <c r="L3490" s="346"/>
      <c r="M3490" s="347"/>
      <c r="N3490" s="347"/>
      <c r="O3490" s="132"/>
    </row>
    <row r="3491" spans="2:15" ht="26.25" customHeight="1" x14ac:dyDescent="0.25">
      <c r="B3491" s="130"/>
      <c r="C3491" s="135"/>
      <c r="D3491" s="177"/>
      <c r="E3491" s="178"/>
      <c r="F3491" s="178"/>
      <c r="G3491" s="340"/>
      <c r="H3491" s="340"/>
      <c r="I3491" s="179"/>
      <c r="J3491" s="344"/>
      <c r="K3491" s="345"/>
      <c r="L3491" s="346"/>
      <c r="M3491" s="347"/>
      <c r="N3491" s="347"/>
      <c r="O3491" s="132"/>
    </row>
    <row r="3492" spans="2:15" ht="26.25" customHeight="1" x14ac:dyDescent="0.25">
      <c r="B3492" s="130"/>
      <c r="C3492" s="135"/>
      <c r="D3492" s="177"/>
      <c r="E3492" s="178"/>
      <c r="F3492" s="178"/>
      <c r="G3492" s="340"/>
      <c r="H3492" s="340"/>
      <c r="I3492" s="179"/>
      <c r="J3492" s="344"/>
      <c r="K3492" s="345"/>
      <c r="L3492" s="346"/>
      <c r="M3492" s="347"/>
      <c r="N3492" s="347"/>
      <c r="O3492" s="132"/>
    </row>
    <row r="3493" spans="2:15" ht="26.25" customHeight="1" x14ac:dyDescent="0.25">
      <c r="B3493" s="130"/>
      <c r="C3493" s="135"/>
      <c r="D3493" s="177"/>
      <c r="E3493" s="178"/>
      <c r="F3493" s="178"/>
      <c r="G3493" s="340"/>
      <c r="H3493" s="340"/>
      <c r="I3493" s="179"/>
      <c r="J3493" s="344"/>
      <c r="K3493" s="345"/>
      <c r="L3493" s="346"/>
      <c r="M3493" s="347"/>
      <c r="N3493" s="347"/>
      <c r="O3493" s="132"/>
    </row>
    <row r="3494" spans="2:15" ht="26.25" customHeight="1" x14ac:dyDescent="0.25">
      <c r="B3494" s="130"/>
      <c r="C3494" s="135"/>
      <c r="D3494" s="177"/>
      <c r="E3494" s="178"/>
      <c r="F3494" s="178"/>
      <c r="G3494" s="340"/>
      <c r="H3494" s="340"/>
      <c r="I3494" s="179"/>
      <c r="J3494" s="344"/>
      <c r="K3494" s="345"/>
      <c r="L3494" s="346"/>
      <c r="M3494" s="347"/>
      <c r="N3494" s="347"/>
      <c r="O3494" s="132"/>
    </row>
    <row r="3495" spans="2:15" ht="26.25" customHeight="1" x14ac:dyDescent="0.25">
      <c r="B3495" s="130"/>
      <c r="C3495" s="135"/>
      <c r="D3495" s="177"/>
      <c r="E3495" s="178"/>
      <c r="F3495" s="178"/>
      <c r="G3495" s="340"/>
      <c r="H3495" s="340"/>
      <c r="I3495" s="179"/>
      <c r="J3495" s="344"/>
      <c r="K3495" s="345"/>
      <c r="L3495" s="346"/>
      <c r="M3495" s="347"/>
      <c r="N3495" s="347"/>
      <c r="O3495" s="132"/>
    </row>
    <row r="3496" spans="2:15" ht="26.25" customHeight="1" x14ac:dyDescent="0.25">
      <c r="B3496" s="130"/>
      <c r="C3496" s="135"/>
      <c r="D3496" s="177"/>
      <c r="E3496" s="178"/>
      <c r="F3496" s="178"/>
      <c r="G3496" s="340"/>
      <c r="H3496" s="340"/>
      <c r="I3496" s="179"/>
      <c r="J3496" s="344"/>
      <c r="K3496" s="345"/>
      <c r="L3496" s="346"/>
      <c r="M3496" s="347"/>
      <c r="N3496" s="347"/>
      <c r="O3496" s="132"/>
    </row>
    <row r="3497" spans="2:15" ht="26.25" customHeight="1" x14ac:dyDescent="0.25">
      <c r="B3497" s="130"/>
      <c r="C3497" s="135"/>
      <c r="D3497" s="177"/>
      <c r="E3497" s="178"/>
      <c r="F3497" s="178"/>
      <c r="G3497" s="340"/>
      <c r="H3497" s="340"/>
      <c r="I3497" s="179"/>
      <c r="J3497" s="344"/>
      <c r="K3497" s="345"/>
      <c r="L3497" s="346"/>
      <c r="M3497" s="347"/>
      <c r="N3497" s="347"/>
      <c r="O3497" s="132"/>
    </row>
    <row r="3498" spans="2:15" ht="26.25" customHeight="1" x14ac:dyDescent="0.25">
      <c r="B3498" s="130"/>
      <c r="C3498" s="135"/>
      <c r="D3498" s="177"/>
      <c r="E3498" s="178"/>
      <c r="F3498" s="178"/>
      <c r="G3498" s="340"/>
      <c r="H3498" s="340"/>
      <c r="I3498" s="179"/>
      <c r="J3498" s="344"/>
      <c r="K3498" s="345"/>
      <c r="L3498" s="346"/>
      <c r="M3498" s="347"/>
      <c r="N3498" s="347"/>
      <c r="O3498" s="132"/>
    </row>
    <row r="3499" spans="2:15" ht="26.25" customHeight="1" x14ac:dyDescent="0.25">
      <c r="B3499" s="130"/>
      <c r="C3499" s="135"/>
      <c r="D3499" s="177"/>
      <c r="E3499" s="178"/>
      <c r="F3499" s="178"/>
      <c r="G3499" s="340"/>
      <c r="H3499" s="340"/>
      <c r="I3499" s="179"/>
      <c r="J3499" s="344"/>
      <c r="K3499" s="345"/>
      <c r="L3499" s="346"/>
      <c r="M3499" s="347"/>
      <c r="N3499" s="347"/>
      <c r="O3499" s="132"/>
    </row>
    <row r="3500" spans="2:15" ht="26.25" customHeight="1" x14ac:dyDescent="0.25">
      <c r="B3500" s="130"/>
      <c r="C3500" s="135"/>
      <c r="D3500" s="177"/>
      <c r="E3500" s="178"/>
      <c r="F3500" s="178"/>
      <c r="G3500" s="340"/>
      <c r="H3500" s="340"/>
      <c r="I3500" s="179"/>
      <c r="J3500" s="344"/>
      <c r="K3500" s="345"/>
      <c r="L3500" s="346"/>
      <c r="M3500" s="347"/>
      <c r="N3500" s="347"/>
      <c r="O3500" s="132"/>
    </row>
    <row r="3501" spans="2:15" ht="26.25" customHeight="1" x14ac:dyDescent="0.25">
      <c r="B3501" s="130"/>
      <c r="C3501" s="135"/>
      <c r="D3501" s="177"/>
      <c r="E3501" s="178"/>
      <c r="F3501" s="178"/>
      <c r="G3501" s="340"/>
      <c r="H3501" s="340"/>
      <c r="I3501" s="179"/>
      <c r="J3501" s="344"/>
      <c r="K3501" s="345"/>
      <c r="L3501" s="346"/>
      <c r="M3501" s="347"/>
      <c r="N3501" s="347"/>
      <c r="O3501" s="132"/>
    </row>
    <row r="3502" spans="2:15" ht="26.25" customHeight="1" x14ac:dyDescent="0.25">
      <c r="B3502" s="130"/>
      <c r="C3502" s="135"/>
      <c r="D3502" s="177"/>
      <c r="E3502" s="178"/>
      <c r="F3502" s="178"/>
      <c r="G3502" s="340"/>
      <c r="H3502" s="340"/>
      <c r="I3502" s="179"/>
      <c r="J3502" s="344"/>
      <c r="K3502" s="345"/>
      <c r="L3502" s="346"/>
      <c r="M3502" s="347"/>
      <c r="N3502" s="347"/>
      <c r="O3502" s="132"/>
    </row>
    <row r="3503" spans="2:15" ht="26.25" customHeight="1" x14ac:dyDescent="0.25">
      <c r="B3503" s="130"/>
      <c r="C3503" s="135"/>
      <c r="D3503" s="177"/>
      <c r="E3503" s="178"/>
      <c r="F3503" s="178"/>
      <c r="G3503" s="340"/>
      <c r="H3503" s="340"/>
      <c r="I3503" s="179"/>
      <c r="J3503" s="344"/>
      <c r="K3503" s="345"/>
      <c r="L3503" s="346"/>
      <c r="M3503" s="347"/>
      <c r="N3503" s="347"/>
      <c r="O3503" s="132"/>
    </row>
    <row r="3504" spans="2:15" ht="26.25" customHeight="1" x14ac:dyDescent="0.25">
      <c r="B3504" s="130"/>
      <c r="C3504" s="135"/>
      <c r="D3504" s="177"/>
      <c r="E3504" s="178"/>
      <c r="F3504" s="178"/>
      <c r="G3504" s="340"/>
      <c r="H3504" s="340"/>
      <c r="I3504" s="179"/>
      <c r="J3504" s="344"/>
      <c r="K3504" s="345"/>
      <c r="L3504" s="346"/>
      <c r="M3504" s="347"/>
      <c r="N3504" s="347"/>
      <c r="O3504" s="132"/>
    </row>
    <row r="3505" spans="2:15" ht="26.25" customHeight="1" x14ac:dyDescent="0.25">
      <c r="B3505" s="130"/>
      <c r="C3505" s="135"/>
      <c r="D3505" s="177"/>
      <c r="E3505" s="178"/>
      <c r="F3505" s="178"/>
      <c r="G3505" s="340"/>
      <c r="H3505" s="340"/>
      <c r="I3505" s="179"/>
      <c r="J3505" s="344"/>
      <c r="K3505" s="345"/>
      <c r="L3505" s="346"/>
      <c r="M3505" s="347"/>
      <c r="N3505" s="347"/>
      <c r="O3505" s="132"/>
    </row>
    <row r="3506" spans="2:15" ht="26.25" customHeight="1" x14ac:dyDescent="0.25">
      <c r="B3506" s="130"/>
      <c r="C3506" s="135"/>
      <c r="D3506" s="177"/>
      <c r="E3506" s="178"/>
      <c r="F3506" s="178"/>
      <c r="G3506" s="340"/>
      <c r="H3506" s="340"/>
      <c r="I3506" s="179"/>
      <c r="J3506" s="344"/>
      <c r="K3506" s="345"/>
      <c r="L3506" s="346"/>
      <c r="M3506" s="347"/>
      <c r="N3506" s="347"/>
      <c r="O3506" s="132"/>
    </row>
    <row r="3507" spans="2:15" ht="26.25" customHeight="1" x14ac:dyDescent="0.25">
      <c r="B3507" s="130"/>
      <c r="C3507" s="135"/>
      <c r="D3507" s="177"/>
      <c r="E3507" s="178"/>
      <c r="F3507" s="178"/>
      <c r="G3507" s="340"/>
      <c r="H3507" s="340"/>
      <c r="I3507" s="179"/>
      <c r="J3507" s="344"/>
      <c r="K3507" s="345"/>
      <c r="L3507" s="346"/>
      <c r="M3507" s="347"/>
      <c r="N3507" s="347"/>
      <c r="O3507" s="132"/>
    </row>
    <row r="3508" spans="2:15" ht="26.25" customHeight="1" x14ac:dyDescent="0.25">
      <c r="B3508" s="130"/>
      <c r="C3508" s="135"/>
      <c r="D3508" s="177"/>
      <c r="E3508" s="178"/>
      <c r="F3508" s="178"/>
      <c r="G3508" s="340"/>
      <c r="H3508" s="340"/>
      <c r="I3508" s="179"/>
      <c r="J3508" s="344"/>
      <c r="K3508" s="345"/>
      <c r="L3508" s="346"/>
      <c r="M3508" s="347"/>
      <c r="N3508" s="347"/>
      <c r="O3508" s="132"/>
    </row>
    <row r="3509" spans="2:15" ht="26.25" customHeight="1" x14ac:dyDescent="0.25">
      <c r="B3509" s="130"/>
      <c r="C3509" s="135"/>
      <c r="D3509" s="177"/>
      <c r="E3509" s="178"/>
      <c r="F3509" s="178"/>
      <c r="G3509" s="340"/>
      <c r="H3509" s="340"/>
      <c r="I3509" s="179"/>
      <c r="J3509" s="344"/>
      <c r="K3509" s="345"/>
      <c r="L3509" s="346"/>
      <c r="M3509" s="347"/>
      <c r="N3509" s="347"/>
      <c r="O3509" s="132"/>
    </row>
    <row r="3510" spans="2:15" ht="26.25" customHeight="1" x14ac:dyDescent="0.25">
      <c r="B3510" s="130"/>
      <c r="C3510" s="135"/>
      <c r="D3510" s="177"/>
      <c r="E3510" s="178"/>
      <c r="F3510" s="178"/>
      <c r="G3510" s="340"/>
      <c r="H3510" s="340"/>
      <c r="I3510" s="179"/>
      <c r="J3510" s="344"/>
      <c r="K3510" s="345"/>
      <c r="L3510" s="346"/>
      <c r="M3510" s="347"/>
      <c r="N3510" s="347"/>
      <c r="O3510" s="132"/>
    </row>
    <row r="3511" spans="2:15" ht="26.25" customHeight="1" x14ac:dyDescent="0.25">
      <c r="B3511" s="130"/>
      <c r="C3511" s="135"/>
      <c r="D3511" s="177"/>
      <c r="E3511" s="178"/>
      <c r="F3511" s="178"/>
      <c r="G3511" s="340"/>
      <c r="H3511" s="340"/>
      <c r="I3511" s="179"/>
      <c r="J3511" s="344"/>
      <c r="K3511" s="345"/>
      <c r="L3511" s="346"/>
      <c r="M3511" s="347"/>
      <c r="N3511" s="347"/>
      <c r="O3511" s="132"/>
    </row>
    <row r="3512" spans="2:15" ht="26.25" customHeight="1" x14ac:dyDescent="0.25">
      <c r="B3512" s="130"/>
      <c r="C3512" s="135"/>
      <c r="D3512" s="177"/>
      <c r="E3512" s="178"/>
      <c r="F3512" s="178"/>
      <c r="G3512" s="340"/>
      <c r="H3512" s="340"/>
      <c r="I3512" s="179"/>
      <c r="J3512" s="344"/>
      <c r="K3512" s="345"/>
      <c r="L3512" s="346"/>
      <c r="M3512" s="347"/>
      <c r="N3512" s="347"/>
      <c r="O3512" s="132"/>
    </row>
    <row r="3513" spans="2:15" ht="26.25" customHeight="1" x14ac:dyDescent="0.25">
      <c r="B3513" s="130"/>
      <c r="C3513" s="135"/>
      <c r="D3513" s="177"/>
      <c r="E3513" s="178"/>
      <c r="F3513" s="178"/>
      <c r="G3513" s="340"/>
      <c r="H3513" s="340"/>
      <c r="I3513" s="179"/>
      <c r="J3513" s="344"/>
      <c r="K3513" s="345"/>
      <c r="L3513" s="346"/>
      <c r="M3513" s="347"/>
      <c r="N3513" s="347"/>
      <c r="O3513" s="132"/>
    </row>
    <row r="3514" spans="2:15" ht="26.25" customHeight="1" x14ac:dyDescent="0.25">
      <c r="B3514" s="130"/>
      <c r="C3514" s="135"/>
      <c r="D3514" s="177"/>
      <c r="E3514" s="178"/>
      <c r="F3514" s="178"/>
      <c r="G3514" s="340"/>
      <c r="H3514" s="340"/>
      <c r="I3514" s="179"/>
      <c r="J3514" s="344"/>
      <c r="K3514" s="345"/>
      <c r="L3514" s="346"/>
      <c r="M3514" s="347"/>
      <c r="N3514" s="347"/>
      <c r="O3514" s="132"/>
    </row>
    <row r="3515" spans="2:15" ht="26.25" customHeight="1" x14ac:dyDescent="0.25">
      <c r="B3515" s="130"/>
      <c r="C3515" s="135"/>
      <c r="D3515" s="177"/>
      <c r="E3515" s="178"/>
      <c r="F3515" s="178"/>
      <c r="G3515" s="340"/>
      <c r="H3515" s="340"/>
      <c r="I3515" s="179"/>
      <c r="J3515" s="344"/>
      <c r="K3515" s="345"/>
      <c r="L3515" s="346"/>
      <c r="M3515" s="347"/>
      <c r="N3515" s="347"/>
      <c r="O3515" s="132"/>
    </row>
    <row r="3516" spans="2:15" ht="26.25" customHeight="1" x14ac:dyDescent="0.25">
      <c r="B3516" s="130"/>
      <c r="C3516" s="135"/>
      <c r="D3516" s="177"/>
      <c r="E3516" s="178"/>
      <c r="F3516" s="178"/>
      <c r="G3516" s="340"/>
      <c r="H3516" s="340"/>
      <c r="I3516" s="179"/>
      <c r="J3516" s="344"/>
      <c r="K3516" s="345"/>
      <c r="L3516" s="346"/>
      <c r="M3516" s="347"/>
      <c r="N3516" s="347"/>
      <c r="O3516" s="132"/>
    </row>
    <row r="3517" spans="2:15" ht="26.25" customHeight="1" x14ac:dyDescent="0.25">
      <c r="B3517" s="130"/>
      <c r="C3517" s="135"/>
      <c r="D3517" s="177"/>
      <c r="E3517" s="178"/>
      <c r="F3517" s="178"/>
      <c r="G3517" s="340"/>
      <c r="H3517" s="340"/>
      <c r="I3517" s="179"/>
      <c r="J3517" s="344"/>
      <c r="K3517" s="345"/>
      <c r="L3517" s="346"/>
      <c r="M3517" s="347"/>
      <c r="N3517" s="347"/>
      <c r="O3517" s="132"/>
    </row>
    <row r="3518" spans="2:15" ht="26.25" customHeight="1" x14ac:dyDescent="0.25">
      <c r="B3518" s="130"/>
      <c r="C3518" s="135"/>
      <c r="D3518" s="177"/>
      <c r="E3518" s="178"/>
      <c r="F3518" s="178"/>
      <c r="G3518" s="340"/>
      <c r="H3518" s="340"/>
      <c r="I3518" s="179"/>
      <c r="J3518" s="344"/>
      <c r="K3518" s="345"/>
      <c r="L3518" s="346"/>
      <c r="M3518" s="347"/>
      <c r="N3518" s="347"/>
      <c r="O3518" s="132"/>
    </row>
    <row r="3519" spans="2:15" ht="26.25" customHeight="1" x14ac:dyDescent="0.25">
      <c r="B3519" s="130"/>
      <c r="C3519" s="135"/>
      <c r="D3519" s="177"/>
      <c r="E3519" s="178"/>
      <c r="F3519" s="178"/>
      <c r="G3519" s="340"/>
      <c r="H3519" s="340"/>
      <c r="I3519" s="179"/>
      <c r="J3519" s="344"/>
      <c r="K3519" s="345"/>
      <c r="L3519" s="346"/>
      <c r="M3519" s="347"/>
      <c r="N3519" s="347"/>
      <c r="O3519" s="132"/>
    </row>
    <row r="3520" spans="2:15" ht="26.25" customHeight="1" x14ac:dyDescent="0.25">
      <c r="B3520" s="130"/>
      <c r="C3520" s="135"/>
      <c r="D3520" s="177"/>
      <c r="E3520" s="178"/>
      <c r="F3520" s="178"/>
      <c r="G3520" s="340"/>
      <c r="H3520" s="340"/>
      <c r="I3520" s="179"/>
      <c r="J3520" s="344"/>
      <c r="K3520" s="345"/>
      <c r="L3520" s="346"/>
      <c r="M3520" s="347"/>
      <c r="N3520" s="347"/>
      <c r="O3520" s="132"/>
    </row>
    <row r="3521" spans="2:15" ht="26.25" customHeight="1" x14ac:dyDescent="0.25">
      <c r="B3521" s="130"/>
      <c r="C3521" s="135"/>
      <c r="D3521" s="177"/>
      <c r="E3521" s="178"/>
      <c r="F3521" s="178"/>
      <c r="G3521" s="340"/>
      <c r="H3521" s="340"/>
      <c r="I3521" s="179"/>
      <c r="J3521" s="344"/>
      <c r="K3521" s="345"/>
      <c r="L3521" s="346"/>
      <c r="M3521" s="347"/>
      <c r="N3521" s="347"/>
      <c r="O3521" s="132"/>
    </row>
    <row r="3522" spans="2:15" ht="26.25" customHeight="1" x14ac:dyDescent="0.25">
      <c r="B3522" s="130"/>
      <c r="C3522" s="135"/>
      <c r="D3522" s="177"/>
      <c r="E3522" s="178"/>
      <c r="F3522" s="178"/>
      <c r="G3522" s="340"/>
      <c r="H3522" s="340"/>
      <c r="I3522" s="179"/>
      <c r="J3522" s="344"/>
      <c r="K3522" s="345"/>
      <c r="L3522" s="346"/>
      <c r="M3522" s="347"/>
      <c r="N3522" s="347"/>
      <c r="O3522" s="132"/>
    </row>
    <row r="3523" spans="2:15" ht="26.25" customHeight="1" x14ac:dyDescent="0.25">
      <c r="B3523" s="130"/>
      <c r="C3523" s="135"/>
      <c r="D3523" s="177"/>
      <c r="E3523" s="178"/>
      <c r="F3523" s="178"/>
      <c r="G3523" s="340"/>
      <c r="H3523" s="340"/>
      <c r="I3523" s="179"/>
      <c r="J3523" s="344"/>
      <c r="K3523" s="345"/>
      <c r="L3523" s="346"/>
      <c r="M3523" s="347"/>
      <c r="N3523" s="347"/>
      <c r="O3523" s="132"/>
    </row>
    <row r="3524" spans="2:15" ht="26.25" customHeight="1" x14ac:dyDescent="0.25">
      <c r="B3524" s="130"/>
      <c r="C3524" s="135"/>
      <c r="D3524" s="177"/>
      <c r="E3524" s="178"/>
      <c r="F3524" s="178"/>
      <c r="G3524" s="340"/>
      <c r="H3524" s="340"/>
      <c r="I3524" s="179"/>
      <c r="J3524" s="344"/>
      <c r="K3524" s="345"/>
      <c r="L3524" s="346"/>
      <c r="M3524" s="347"/>
      <c r="N3524" s="347"/>
      <c r="O3524" s="132"/>
    </row>
    <row r="3525" spans="2:15" ht="26.25" customHeight="1" x14ac:dyDescent="0.25">
      <c r="B3525" s="130"/>
      <c r="C3525" s="135"/>
      <c r="D3525" s="177"/>
      <c r="E3525" s="178"/>
      <c r="F3525" s="178"/>
      <c r="G3525" s="340"/>
      <c r="H3525" s="340"/>
      <c r="I3525" s="179"/>
      <c r="J3525" s="344"/>
      <c r="K3525" s="345"/>
      <c r="L3525" s="346"/>
      <c r="M3525" s="347"/>
      <c r="N3525" s="347"/>
      <c r="O3525" s="132"/>
    </row>
    <row r="3526" spans="2:15" ht="26.25" customHeight="1" x14ac:dyDescent="0.25">
      <c r="B3526" s="130"/>
      <c r="C3526" s="135"/>
      <c r="D3526" s="177"/>
      <c r="E3526" s="178"/>
      <c r="F3526" s="178"/>
      <c r="G3526" s="340"/>
      <c r="H3526" s="340"/>
      <c r="I3526" s="179"/>
      <c r="J3526" s="344"/>
      <c r="K3526" s="345"/>
      <c r="L3526" s="346"/>
      <c r="M3526" s="347"/>
      <c r="N3526" s="347"/>
      <c r="O3526" s="132"/>
    </row>
    <row r="3527" spans="2:15" ht="26.25" customHeight="1" x14ac:dyDescent="0.25">
      <c r="B3527" s="130"/>
      <c r="C3527" s="135"/>
      <c r="D3527" s="177"/>
      <c r="E3527" s="178"/>
      <c r="F3527" s="178"/>
      <c r="G3527" s="340"/>
      <c r="H3527" s="340"/>
      <c r="I3527" s="179"/>
      <c r="J3527" s="344"/>
      <c r="K3527" s="345"/>
      <c r="L3527" s="346"/>
      <c r="M3527" s="347"/>
      <c r="N3527" s="347"/>
      <c r="O3527" s="132"/>
    </row>
    <row r="3528" spans="2:15" ht="26.25" customHeight="1" x14ac:dyDescent="0.25">
      <c r="B3528" s="130"/>
      <c r="C3528" s="135"/>
      <c r="D3528" s="177"/>
      <c r="E3528" s="178"/>
      <c r="F3528" s="178"/>
      <c r="G3528" s="340"/>
      <c r="H3528" s="340"/>
      <c r="I3528" s="179"/>
      <c r="J3528" s="344"/>
      <c r="K3528" s="345"/>
      <c r="L3528" s="346"/>
      <c r="M3528" s="347"/>
      <c r="N3528" s="347"/>
      <c r="O3528" s="132"/>
    </row>
    <row r="3529" spans="2:15" ht="26.25" customHeight="1" x14ac:dyDescent="0.25">
      <c r="B3529" s="130"/>
      <c r="C3529" s="135"/>
      <c r="D3529" s="177"/>
      <c r="E3529" s="178"/>
      <c r="F3529" s="178"/>
      <c r="G3529" s="340"/>
      <c r="H3529" s="340"/>
      <c r="I3529" s="179"/>
      <c r="J3529" s="344"/>
      <c r="K3529" s="345"/>
      <c r="L3529" s="346"/>
      <c r="M3529" s="347"/>
      <c r="N3529" s="347"/>
      <c r="O3529" s="132"/>
    </row>
    <row r="3530" spans="2:15" ht="26.25" customHeight="1" x14ac:dyDescent="0.25">
      <c r="B3530" s="130"/>
      <c r="C3530" s="135"/>
      <c r="D3530" s="177"/>
      <c r="E3530" s="178"/>
      <c r="F3530" s="178"/>
      <c r="G3530" s="340"/>
      <c r="H3530" s="340"/>
      <c r="I3530" s="179"/>
      <c r="J3530" s="344"/>
      <c r="K3530" s="345"/>
      <c r="L3530" s="346"/>
      <c r="M3530" s="347"/>
      <c r="N3530" s="347"/>
      <c r="O3530" s="132"/>
    </row>
    <row r="3531" spans="2:15" ht="26.25" customHeight="1" x14ac:dyDescent="0.25">
      <c r="B3531" s="130"/>
      <c r="C3531" s="135"/>
      <c r="D3531" s="177"/>
      <c r="E3531" s="178"/>
      <c r="F3531" s="178"/>
      <c r="G3531" s="340"/>
      <c r="H3531" s="340"/>
      <c r="I3531" s="179"/>
      <c r="J3531" s="344"/>
      <c r="K3531" s="345"/>
      <c r="L3531" s="346"/>
      <c r="M3531" s="347"/>
      <c r="N3531" s="347"/>
      <c r="O3531" s="132"/>
    </row>
    <row r="3532" spans="2:15" ht="26.25" customHeight="1" x14ac:dyDescent="0.25">
      <c r="B3532" s="130"/>
      <c r="C3532" s="135"/>
      <c r="D3532" s="177"/>
      <c r="E3532" s="178"/>
      <c r="F3532" s="178"/>
      <c r="G3532" s="340"/>
      <c r="H3532" s="340"/>
      <c r="I3532" s="179"/>
      <c r="J3532" s="344"/>
      <c r="K3532" s="345"/>
      <c r="L3532" s="346"/>
      <c r="M3532" s="347"/>
      <c r="N3532" s="347"/>
      <c r="O3532" s="132"/>
    </row>
    <row r="3533" spans="2:15" ht="26.25" customHeight="1" x14ac:dyDescent="0.25">
      <c r="B3533" s="130"/>
      <c r="C3533" s="135"/>
      <c r="D3533" s="177"/>
      <c r="E3533" s="178"/>
      <c r="F3533" s="178"/>
      <c r="G3533" s="340"/>
      <c r="H3533" s="340"/>
      <c r="I3533" s="179"/>
      <c r="J3533" s="344"/>
      <c r="K3533" s="345"/>
      <c r="L3533" s="346"/>
      <c r="M3533" s="347"/>
      <c r="N3533" s="347"/>
      <c r="O3533" s="132"/>
    </row>
    <row r="3534" spans="2:15" ht="26.25" customHeight="1" x14ac:dyDescent="0.25">
      <c r="B3534" s="130"/>
      <c r="C3534" s="135"/>
      <c r="D3534" s="177"/>
      <c r="E3534" s="178"/>
      <c r="F3534" s="178"/>
      <c r="G3534" s="340"/>
      <c r="H3534" s="340"/>
      <c r="I3534" s="179"/>
      <c r="J3534" s="344"/>
      <c r="K3534" s="345"/>
      <c r="L3534" s="346"/>
      <c r="M3534" s="347"/>
      <c r="N3534" s="347"/>
      <c r="O3534" s="132"/>
    </row>
    <row r="3535" spans="2:15" ht="26.25" customHeight="1" x14ac:dyDescent="0.25">
      <c r="B3535" s="130"/>
      <c r="C3535" s="135"/>
      <c r="D3535" s="177"/>
      <c r="E3535" s="178"/>
      <c r="F3535" s="178"/>
      <c r="G3535" s="340"/>
      <c r="H3535" s="340"/>
      <c r="I3535" s="179"/>
      <c r="J3535" s="344"/>
      <c r="K3535" s="345"/>
      <c r="L3535" s="346"/>
      <c r="M3535" s="347"/>
      <c r="N3535" s="347"/>
      <c r="O3535" s="132"/>
    </row>
    <row r="3536" spans="2:15" ht="26.25" customHeight="1" x14ac:dyDescent="0.25">
      <c r="B3536" s="130"/>
      <c r="C3536" s="135"/>
      <c r="D3536" s="177"/>
      <c r="E3536" s="178"/>
      <c r="F3536" s="178"/>
      <c r="G3536" s="340"/>
      <c r="H3536" s="340"/>
      <c r="I3536" s="179"/>
      <c r="J3536" s="344"/>
      <c r="K3536" s="345"/>
      <c r="L3536" s="346"/>
      <c r="M3536" s="347"/>
      <c r="N3536" s="347"/>
      <c r="O3536" s="132"/>
    </row>
    <row r="3537" spans="2:15" ht="26.25" customHeight="1" x14ac:dyDescent="0.25">
      <c r="B3537" s="130"/>
      <c r="C3537" s="135"/>
      <c r="D3537" s="177"/>
      <c r="E3537" s="178"/>
      <c r="F3537" s="178"/>
      <c r="G3537" s="340"/>
      <c r="H3537" s="340"/>
      <c r="I3537" s="179"/>
      <c r="J3537" s="344"/>
      <c r="K3537" s="345"/>
      <c r="L3537" s="346"/>
      <c r="M3537" s="347"/>
      <c r="N3537" s="347"/>
      <c r="O3537" s="132"/>
    </row>
    <row r="3538" spans="2:15" ht="26.25" customHeight="1" x14ac:dyDescent="0.25">
      <c r="B3538" s="130"/>
      <c r="C3538" s="135"/>
      <c r="D3538" s="177"/>
      <c r="E3538" s="178"/>
      <c r="F3538" s="178"/>
      <c r="G3538" s="340"/>
      <c r="H3538" s="340"/>
      <c r="I3538" s="179"/>
      <c r="J3538" s="344"/>
      <c r="K3538" s="345"/>
      <c r="L3538" s="346"/>
      <c r="M3538" s="347"/>
      <c r="N3538" s="347"/>
      <c r="O3538" s="132"/>
    </row>
    <row r="3539" spans="2:15" ht="26.25" customHeight="1" x14ac:dyDescent="0.25">
      <c r="B3539" s="130"/>
      <c r="C3539" s="135"/>
      <c r="D3539" s="177"/>
      <c r="E3539" s="178"/>
      <c r="F3539" s="178"/>
      <c r="G3539" s="340"/>
      <c r="H3539" s="340"/>
      <c r="I3539" s="179"/>
      <c r="J3539" s="344"/>
      <c r="K3539" s="345"/>
      <c r="L3539" s="346"/>
      <c r="M3539" s="347"/>
      <c r="N3539" s="347"/>
      <c r="O3539" s="132"/>
    </row>
    <row r="3540" spans="2:15" ht="26.25" customHeight="1" x14ac:dyDescent="0.25">
      <c r="B3540" s="130"/>
      <c r="C3540" s="135"/>
      <c r="D3540" s="177"/>
      <c r="E3540" s="178"/>
      <c r="F3540" s="178"/>
      <c r="G3540" s="340"/>
      <c r="H3540" s="340"/>
      <c r="I3540" s="179"/>
      <c r="J3540" s="344"/>
      <c r="K3540" s="345"/>
      <c r="L3540" s="346"/>
      <c r="M3540" s="347"/>
      <c r="N3540" s="347"/>
      <c r="O3540" s="132"/>
    </row>
    <row r="3541" spans="2:15" ht="26.25" customHeight="1" x14ac:dyDescent="0.25">
      <c r="B3541" s="130"/>
      <c r="C3541" s="135"/>
      <c r="D3541" s="177"/>
      <c r="E3541" s="178"/>
      <c r="F3541" s="178"/>
      <c r="G3541" s="340"/>
      <c r="H3541" s="340"/>
      <c r="I3541" s="179"/>
      <c r="J3541" s="344"/>
      <c r="K3541" s="345"/>
      <c r="L3541" s="346"/>
      <c r="M3541" s="347"/>
      <c r="N3541" s="347"/>
      <c r="O3541" s="132"/>
    </row>
    <row r="3542" spans="2:15" ht="26.25" customHeight="1" x14ac:dyDescent="0.25">
      <c r="B3542" s="130"/>
      <c r="C3542" s="135"/>
      <c r="D3542" s="177"/>
      <c r="E3542" s="178"/>
      <c r="F3542" s="178"/>
      <c r="G3542" s="340"/>
      <c r="H3542" s="340"/>
      <c r="I3542" s="179"/>
      <c r="J3542" s="344"/>
      <c r="K3542" s="345"/>
      <c r="L3542" s="346"/>
      <c r="M3542" s="347"/>
      <c r="N3542" s="347"/>
      <c r="O3542" s="132"/>
    </row>
    <row r="3543" spans="2:15" ht="26.25" customHeight="1" x14ac:dyDescent="0.25">
      <c r="B3543" s="130"/>
      <c r="C3543" s="135"/>
      <c r="D3543" s="177"/>
      <c r="E3543" s="178"/>
      <c r="F3543" s="178"/>
      <c r="G3543" s="340"/>
      <c r="H3543" s="340"/>
      <c r="I3543" s="179"/>
      <c r="J3543" s="344"/>
      <c r="K3543" s="345"/>
      <c r="L3543" s="346"/>
      <c r="M3543" s="347"/>
      <c r="N3543" s="347"/>
      <c r="O3543" s="132"/>
    </row>
    <row r="3544" spans="2:15" ht="26.25" customHeight="1" x14ac:dyDescent="0.25">
      <c r="B3544" s="130"/>
      <c r="C3544" s="135"/>
      <c r="D3544" s="177"/>
      <c r="E3544" s="178"/>
      <c r="F3544" s="178"/>
      <c r="G3544" s="340"/>
      <c r="H3544" s="340"/>
      <c r="I3544" s="179"/>
      <c r="J3544" s="344"/>
      <c r="K3544" s="345"/>
      <c r="L3544" s="346"/>
      <c r="M3544" s="347"/>
      <c r="N3544" s="347"/>
      <c r="O3544" s="132"/>
    </row>
    <row r="3545" spans="2:15" ht="26.25" customHeight="1" x14ac:dyDescent="0.25">
      <c r="B3545" s="130"/>
      <c r="C3545" s="135"/>
      <c r="D3545" s="177"/>
      <c r="E3545" s="178"/>
      <c r="F3545" s="178"/>
      <c r="G3545" s="340"/>
      <c r="H3545" s="340"/>
      <c r="I3545" s="179"/>
      <c r="J3545" s="344"/>
      <c r="K3545" s="345"/>
      <c r="L3545" s="346"/>
      <c r="M3545" s="347"/>
      <c r="N3545" s="347"/>
      <c r="O3545" s="132"/>
    </row>
    <row r="3546" spans="2:15" ht="26.25" customHeight="1" x14ac:dyDescent="0.25">
      <c r="B3546" s="130"/>
      <c r="C3546" s="135"/>
      <c r="D3546" s="177"/>
      <c r="E3546" s="178"/>
      <c r="F3546" s="178"/>
      <c r="G3546" s="340"/>
      <c r="H3546" s="340"/>
      <c r="I3546" s="179"/>
      <c r="J3546" s="344"/>
      <c r="K3546" s="345"/>
      <c r="L3546" s="346"/>
      <c r="M3546" s="347"/>
      <c r="N3546" s="347"/>
      <c r="O3546" s="132"/>
    </row>
    <row r="3547" spans="2:15" ht="26.25" customHeight="1" x14ac:dyDescent="0.25">
      <c r="B3547" s="130"/>
      <c r="C3547" s="135"/>
      <c r="D3547" s="177"/>
      <c r="E3547" s="178"/>
      <c r="F3547" s="178"/>
      <c r="G3547" s="340"/>
      <c r="H3547" s="340"/>
      <c r="I3547" s="179"/>
      <c r="J3547" s="344"/>
      <c r="K3547" s="345"/>
      <c r="L3547" s="346"/>
      <c r="M3547" s="347"/>
      <c r="N3547" s="347"/>
      <c r="O3547" s="132"/>
    </row>
    <row r="3548" spans="2:15" ht="26.25" customHeight="1" x14ac:dyDescent="0.25">
      <c r="B3548" s="130"/>
      <c r="C3548" s="135"/>
      <c r="D3548" s="177"/>
      <c r="E3548" s="178"/>
      <c r="F3548" s="178"/>
      <c r="G3548" s="340"/>
      <c r="H3548" s="340"/>
      <c r="I3548" s="179"/>
      <c r="J3548" s="344"/>
      <c r="K3548" s="345"/>
      <c r="L3548" s="346"/>
      <c r="M3548" s="347"/>
      <c r="N3548" s="347"/>
      <c r="O3548" s="132"/>
    </row>
    <row r="3549" spans="2:15" ht="26.25" customHeight="1" x14ac:dyDescent="0.25">
      <c r="B3549" s="130"/>
      <c r="C3549" s="135"/>
      <c r="D3549" s="177"/>
      <c r="E3549" s="178"/>
      <c r="F3549" s="178"/>
      <c r="G3549" s="340"/>
      <c r="H3549" s="340"/>
      <c r="I3549" s="179"/>
      <c r="J3549" s="344"/>
      <c r="K3549" s="345"/>
      <c r="L3549" s="346"/>
      <c r="M3549" s="347"/>
      <c r="N3549" s="347"/>
      <c r="O3549" s="132"/>
    </row>
    <row r="3550" spans="2:15" ht="26.25" customHeight="1" x14ac:dyDescent="0.25">
      <c r="B3550" s="130"/>
      <c r="C3550" s="135"/>
      <c r="D3550" s="177"/>
      <c r="E3550" s="178"/>
      <c r="F3550" s="178"/>
      <c r="G3550" s="340"/>
      <c r="H3550" s="340"/>
      <c r="I3550" s="179"/>
      <c r="J3550" s="344"/>
      <c r="K3550" s="345"/>
      <c r="L3550" s="346"/>
      <c r="M3550" s="347"/>
      <c r="N3550" s="347"/>
      <c r="O3550" s="132"/>
    </row>
    <row r="3551" spans="2:15" ht="26.25" customHeight="1" x14ac:dyDescent="0.25">
      <c r="B3551" s="130"/>
      <c r="C3551" s="135"/>
      <c r="D3551" s="177"/>
      <c r="E3551" s="178"/>
      <c r="F3551" s="178"/>
      <c r="G3551" s="340"/>
      <c r="H3551" s="340"/>
      <c r="I3551" s="179"/>
      <c r="J3551" s="344"/>
      <c r="K3551" s="345"/>
      <c r="L3551" s="346"/>
      <c r="M3551" s="347"/>
      <c r="N3551" s="347"/>
      <c r="O3551" s="132"/>
    </row>
    <row r="3552" spans="2:15" ht="26.25" customHeight="1" x14ac:dyDescent="0.25">
      <c r="B3552" s="130"/>
      <c r="C3552" s="135"/>
      <c r="D3552" s="177"/>
      <c r="E3552" s="178"/>
      <c r="F3552" s="178"/>
      <c r="G3552" s="340"/>
      <c r="H3552" s="340"/>
      <c r="I3552" s="179"/>
      <c r="J3552" s="344"/>
      <c r="K3552" s="345"/>
      <c r="L3552" s="346"/>
      <c r="M3552" s="347"/>
      <c r="N3552" s="347"/>
      <c r="O3552" s="132"/>
    </row>
    <row r="3553" spans="2:15" ht="26.25" customHeight="1" x14ac:dyDescent="0.25">
      <c r="B3553" s="130"/>
      <c r="C3553" s="135"/>
      <c r="D3553" s="177"/>
      <c r="E3553" s="178"/>
      <c r="F3553" s="178"/>
      <c r="G3553" s="340"/>
      <c r="H3553" s="340"/>
      <c r="I3553" s="179"/>
      <c r="J3553" s="344"/>
      <c r="K3553" s="345"/>
      <c r="L3553" s="346"/>
      <c r="M3553" s="347"/>
      <c r="N3553" s="347"/>
      <c r="O3553" s="132"/>
    </row>
    <row r="3554" spans="2:15" ht="26.25" customHeight="1" x14ac:dyDescent="0.25">
      <c r="B3554" s="130"/>
      <c r="C3554" s="135"/>
      <c r="D3554" s="177"/>
      <c r="E3554" s="178"/>
      <c r="F3554" s="178"/>
      <c r="G3554" s="340"/>
      <c r="H3554" s="340"/>
      <c r="I3554" s="179"/>
      <c r="J3554" s="344"/>
      <c r="K3554" s="345"/>
      <c r="L3554" s="346"/>
      <c r="M3554" s="347"/>
      <c r="N3554" s="347"/>
      <c r="O3554" s="132"/>
    </row>
    <row r="3555" spans="2:15" ht="26.25" customHeight="1" x14ac:dyDescent="0.25">
      <c r="B3555" s="130"/>
      <c r="C3555" s="135"/>
      <c r="D3555" s="177"/>
      <c r="E3555" s="178"/>
      <c r="F3555" s="178"/>
      <c r="G3555" s="340"/>
      <c r="H3555" s="340"/>
      <c r="I3555" s="179"/>
      <c r="J3555" s="344"/>
      <c r="K3555" s="345"/>
      <c r="L3555" s="346"/>
      <c r="M3555" s="347"/>
      <c r="N3555" s="347"/>
      <c r="O3555" s="132"/>
    </row>
    <row r="3556" spans="2:15" ht="26.25" customHeight="1" x14ac:dyDescent="0.25">
      <c r="B3556" s="130"/>
      <c r="C3556" s="135"/>
      <c r="D3556" s="177"/>
      <c r="E3556" s="178"/>
      <c r="F3556" s="178"/>
      <c r="G3556" s="340"/>
      <c r="H3556" s="340"/>
      <c r="I3556" s="179"/>
      <c r="J3556" s="344"/>
      <c r="K3556" s="345"/>
      <c r="L3556" s="346"/>
      <c r="M3556" s="347"/>
      <c r="N3556" s="347"/>
      <c r="O3556" s="132"/>
    </row>
    <row r="3557" spans="2:15" ht="26.25" customHeight="1" x14ac:dyDescent="0.25">
      <c r="B3557" s="130"/>
      <c r="C3557" s="135"/>
      <c r="D3557" s="177"/>
      <c r="E3557" s="178"/>
      <c r="F3557" s="178"/>
      <c r="G3557" s="340"/>
      <c r="H3557" s="340"/>
      <c r="I3557" s="179"/>
      <c r="J3557" s="344"/>
      <c r="K3557" s="345"/>
      <c r="L3557" s="346"/>
      <c r="M3557" s="347"/>
      <c r="N3557" s="347"/>
      <c r="O3557" s="132"/>
    </row>
    <row r="3558" spans="2:15" ht="26.25" customHeight="1" x14ac:dyDescent="0.25">
      <c r="B3558" s="130"/>
      <c r="C3558" s="135"/>
      <c r="D3558" s="177"/>
      <c r="E3558" s="178"/>
      <c r="F3558" s="178"/>
      <c r="G3558" s="340"/>
      <c r="H3558" s="340"/>
      <c r="I3558" s="179"/>
      <c r="J3558" s="344"/>
      <c r="K3558" s="345"/>
      <c r="L3558" s="346"/>
      <c r="M3558" s="347"/>
      <c r="N3558" s="347"/>
      <c r="O3558" s="132"/>
    </row>
    <row r="3559" spans="2:15" ht="26.25" customHeight="1" x14ac:dyDescent="0.25">
      <c r="B3559" s="130"/>
      <c r="C3559" s="135"/>
      <c r="D3559" s="177"/>
      <c r="E3559" s="178"/>
      <c r="F3559" s="178"/>
      <c r="G3559" s="340"/>
      <c r="H3559" s="340"/>
      <c r="I3559" s="179"/>
      <c r="J3559" s="344"/>
      <c r="K3559" s="345"/>
      <c r="L3559" s="346"/>
      <c r="M3559" s="347"/>
      <c r="N3559" s="347"/>
      <c r="O3559" s="132"/>
    </row>
    <row r="3560" spans="2:15" ht="26.25" customHeight="1" x14ac:dyDescent="0.25">
      <c r="B3560" s="130"/>
      <c r="C3560" s="135"/>
      <c r="D3560" s="177"/>
      <c r="E3560" s="178"/>
      <c r="F3560" s="178"/>
      <c r="G3560" s="340"/>
      <c r="H3560" s="340"/>
      <c r="I3560" s="179"/>
      <c r="J3560" s="344"/>
      <c r="K3560" s="345"/>
      <c r="L3560" s="346"/>
      <c r="M3560" s="347"/>
      <c r="N3560" s="347"/>
      <c r="O3560" s="132"/>
    </row>
    <row r="3561" spans="2:15" ht="26.25" customHeight="1" x14ac:dyDescent="0.25">
      <c r="B3561" s="130"/>
      <c r="C3561" s="135"/>
      <c r="D3561" s="177"/>
      <c r="E3561" s="178"/>
      <c r="F3561" s="178"/>
      <c r="G3561" s="340"/>
      <c r="H3561" s="340"/>
      <c r="I3561" s="179"/>
      <c r="J3561" s="344"/>
      <c r="K3561" s="345"/>
      <c r="L3561" s="346"/>
      <c r="M3561" s="347"/>
      <c r="N3561" s="347"/>
      <c r="O3561" s="132"/>
    </row>
    <row r="3562" spans="2:15" ht="26.25" customHeight="1" x14ac:dyDescent="0.25">
      <c r="B3562" s="130"/>
      <c r="C3562" s="135"/>
      <c r="D3562" s="177"/>
      <c r="E3562" s="178"/>
      <c r="F3562" s="178"/>
      <c r="G3562" s="340"/>
      <c r="H3562" s="340"/>
      <c r="I3562" s="179"/>
      <c r="J3562" s="344"/>
      <c r="K3562" s="345"/>
      <c r="L3562" s="346"/>
      <c r="M3562" s="347"/>
      <c r="N3562" s="347"/>
      <c r="O3562" s="132"/>
    </row>
    <row r="3563" spans="2:15" ht="26.25" customHeight="1" x14ac:dyDescent="0.25">
      <c r="B3563" s="130"/>
      <c r="C3563" s="135"/>
      <c r="D3563" s="177"/>
      <c r="E3563" s="178"/>
      <c r="F3563" s="178"/>
      <c r="G3563" s="340"/>
      <c r="H3563" s="340"/>
      <c r="I3563" s="179"/>
      <c r="J3563" s="344"/>
      <c r="K3563" s="345"/>
      <c r="L3563" s="346"/>
      <c r="M3563" s="347"/>
      <c r="N3563" s="347"/>
      <c r="O3563" s="132"/>
    </row>
    <row r="3564" spans="2:15" ht="26.25" customHeight="1" x14ac:dyDescent="0.25">
      <c r="B3564" s="130"/>
      <c r="C3564" s="135"/>
      <c r="D3564" s="177"/>
      <c r="E3564" s="178"/>
      <c r="F3564" s="178"/>
      <c r="G3564" s="340"/>
      <c r="H3564" s="340"/>
      <c r="I3564" s="179"/>
      <c r="J3564" s="344"/>
      <c r="K3564" s="345"/>
      <c r="L3564" s="346"/>
      <c r="M3564" s="347"/>
      <c r="N3564" s="347"/>
      <c r="O3564" s="132"/>
    </row>
    <row r="3565" spans="2:15" ht="26.25" customHeight="1" x14ac:dyDescent="0.25">
      <c r="B3565" s="130"/>
      <c r="C3565" s="135"/>
      <c r="D3565" s="177"/>
      <c r="E3565" s="178"/>
      <c r="F3565" s="178"/>
      <c r="G3565" s="340"/>
      <c r="H3565" s="340"/>
      <c r="I3565" s="179"/>
      <c r="J3565" s="344"/>
      <c r="K3565" s="345"/>
      <c r="L3565" s="346"/>
      <c r="M3565" s="347"/>
      <c r="N3565" s="347"/>
      <c r="O3565" s="132"/>
    </row>
    <row r="3566" spans="2:15" ht="26.25" customHeight="1" x14ac:dyDescent="0.25">
      <c r="B3566" s="130"/>
      <c r="C3566" s="135"/>
      <c r="D3566" s="177"/>
      <c r="E3566" s="178"/>
      <c r="F3566" s="178"/>
      <c r="G3566" s="340"/>
      <c r="H3566" s="340"/>
      <c r="I3566" s="179"/>
      <c r="J3566" s="344"/>
      <c r="K3566" s="345"/>
      <c r="L3566" s="346"/>
      <c r="M3566" s="347"/>
      <c r="N3566" s="347"/>
      <c r="O3566" s="132"/>
    </row>
    <row r="3567" spans="2:15" ht="26.25" customHeight="1" x14ac:dyDescent="0.25">
      <c r="B3567" s="130"/>
      <c r="C3567" s="135"/>
      <c r="D3567" s="177"/>
      <c r="E3567" s="178"/>
      <c r="F3567" s="178"/>
      <c r="G3567" s="340"/>
      <c r="H3567" s="340"/>
      <c r="I3567" s="179"/>
      <c r="J3567" s="344"/>
      <c r="K3567" s="345"/>
      <c r="L3567" s="346"/>
      <c r="M3567" s="347"/>
      <c r="N3567" s="347"/>
      <c r="O3567" s="132"/>
    </row>
    <row r="3568" spans="2:15" ht="26.25" customHeight="1" x14ac:dyDescent="0.25">
      <c r="B3568" s="130"/>
      <c r="C3568" s="135"/>
      <c r="D3568" s="177"/>
      <c r="E3568" s="178"/>
      <c r="F3568" s="178"/>
      <c r="G3568" s="340"/>
      <c r="H3568" s="340"/>
      <c r="I3568" s="179"/>
      <c r="J3568" s="344"/>
      <c r="K3568" s="345"/>
      <c r="L3568" s="346"/>
      <c r="M3568" s="347"/>
      <c r="N3568" s="347"/>
      <c r="O3568" s="132"/>
    </row>
    <row r="3569" spans="2:15" ht="26.25" customHeight="1" x14ac:dyDescent="0.25">
      <c r="B3569" s="130"/>
      <c r="C3569" s="135"/>
      <c r="D3569" s="177"/>
      <c r="E3569" s="178"/>
      <c r="F3569" s="178"/>
      <c r="G3569" s="340"/>
      <c r="H3569" s="340"/>
      <c r="I3569" s="179"/>
      <c r="J3569" s="344"/>
      <c r="K3569" s="345"/>
      <c r="L3569" s="346"/>
      <c r="M3569" s="347"/>
      <c r="N3569" s="347"/>
      <c r="O3569" s="132"/>
    </row>
    <row r="3570" spans="2:15" ht="26.25" customHeight="1" x14ac:dyDescent="0.25">
      <c r="B3570" s="130"/>
      <c r="C3570" s="135"/>
      <c r="D3570" s="177"/>
      <c r="E3570" s="178"/>
      <c r="F3570" s="178"/>
      <c r="G3570" s="340"/>
      <c r="H3570" s="340"/>
      <c r="I3570" s="179"/>
      <c r="J3570" s="344"/>
      <c r="K3570" s="345"/>
      <c r="L3570" s="346"/>
      <c r="M3570" s="347"/>
      <c r="N3570" s="347"/>
      <c r="O3570" s="132"/>
    </row>
    <row r="3571" spans="2:15" ht="26.25" customHeight="1" x14ac:dyDescent="0.25">
      <c r="B3571" s="130"/>
      <c r="C3571" s="135"/>
      <c r="D3571" s="177"/>
      <c r="E3571" s="178"/>
      <c r="F3571" s="178"/>
      <c r="G3571" s="340"/>
      <c r="H3571" s="340"/>
      <c r="I3571" s="179"/>
      <c r="J3571" s="344"/>
      <c r="K3571" s="345"/>
      <c r="L3571" s="346"/>
      <c r="M3571" s="347"/>
      <c r="N3571" s="347"/>
      <c r="O3571" s="132"/>
    </row>
    <row r="3572" spans="2:15" ht="26.25" customHeight="1" x14ac:dyDescent="0.25">
      <c r="B3572" s="130"/>
      <c r="C3572" s="135"/>
      <c r="D3572" s="177"/>
      <c r="E3572" s="178"/>
      <c r="F3572" s="178"/>
      <c r="G3572" s="340"/>
      <c r="H3572" s="340"/>
      <c r="I3572" s="179"/>
      <c r="J3572" s="344"/>
      <c r="K3572" s="345"/>
      <c r="L3572" s="346"/>
      <c r="M3572" s="347"/>
      <c r="N3572" s="347"/>
      <c r="O3572" s="132"/>
    </row>
    <row r="3573" spans="2:15" ht="26.25" customHeight="1" x14ac:dyDescent="0.25">
      <c r="B3573" s="130"/>
      <c r="C3573" s="135"/>
      <c r="D3573" s="177"/>
      <c r="E3573" s="178"/>
      <c r="F3573" s="178"/>
      <c r="G3573" s="340"/>
      <c r="H3573" s="340"/>
      <c r="I3573" s="179"/>
      <c r="J3573" s="344"/>
      <c r="K3573" s="345"/>
      <c r="L3573" s="346"/>
      <c r="M3573" s="347"/>
      <c r="N3573" s="347"/>
      <c r="O3573" s="132"/>
    </row>
    <row r="3574" spans="2:15" ht="26.25" customHeight="1" x14ac:dyDescent="0.25">
      <c r="B3574" s="130"/>
      <c r="C3574" s="135"/>
      <c r="D3574" s="177"/>
      <c r="E3574" s="178"/>
      <c r="F3574" s="178"/>
      <c r="G3574" s="340"/>
      <c r="H3574" s="340"/>
      <c r="I3574" s="179"/>
      <c r="J3574" s="344"/>
      <c r="K3574" s="345"/>
      <c r="L3574" s="346"/>
      <c r="M3574" s="347"/>
      <c r="N3574" s="347"/>
      <c r="O3574" s="132"/>
    </row>
    <row r="3575" spans="2:15" ht="26.25" customHeight="1" x14ac:dyDescent="0.25">
      <c r="B3575" s="130"/>
      <c r="C3575" s="135"/>
      <c r="D3575" s="177"/>
      <c r="E3575" s="178"/>
      <c r="F3575" s="178"/>
      <c r="G3575" s="340"/>
      <c r="H3575" s="340"/>
      <c r="I3575" s="179"/>
      <c r="J3575" s="344"/>
      <c r="K3575" s="345"/>
      <c r="L3575" s="346"/>
      <c r="M3575" s="347"/>
      <c r="N3575" s="347"/>
      <c r="O3575" s="132"/>
    </row>
    <row r="3576" spans="2:15" ht="26.25" customHeight="1" x14ac:dyDescent="0.25">
      <c r="B3576" s="130"/>
      <c r="C3576" s="135"/>
      <c r="D3576" s="177"/>
      <c r="E3576" s="178"/>
      <c r="F3576" s="178"/>
      <c r="G3576" s="340"/>
      <c r="H3576" s="340"/>
      <c r="I3576" s="179"/>
      <c r="J3576" s="344"/>
      <c r="K3576" s="345"/>
      <c r="L3576" s="346"/>
      <c r="M3576" s="347"/>
      <c r="N3576" s="347"/>
      <c r="O3576" s="132"/>
    </row>
    <row r="3577" spans="2:15" ht="26.25" customHeight="1" x14ac:dyDescent="0.25">
      <c r="B3577" s="130"/>
      <c r="C3577" s="135"/>
      <c r="D3577" s="177"/>
      <c r="E3577" s="178"/>
      <c r="F3577" s="178"/>
      <c r="G3577" s="340"/>
      <c r="H3577" s="340"/>
      <c r="I3577" s="179"/>
      <c r="J3577" s="344"/>
      <c r="K3577" s="345"/>
      <c r="L3577" s="346"/>
      <c r="M3577" s="347"/>
      <c r="N3577" s="347"/>
      <c r="O3577" s="132"/>
    </row>
    <row r="3578" spans="2:15" ht="26.25" customHeight="1" x14ac:dyDescent="0.25">
      <c r="B3578" s="130"/>
      <c r="C3578" s="135"/>
      <c r="D3578" s="177"/>
      <c r="E3578" s="178"/>
      <c r="F3578" s="178"/>
      <c r="G3578" s="340"/>
      <c r="H3578" s="340"/>
      <c r="I3578" s="179"/>
      <c r="J3578" s="344"/>
      <c r="K3578" s="345"/>
      <c r="L3578" s="346"/>
      <c r="M3578" s="347"/>
      <c r="N3578" s="347"/>
      <c r="O3578" s="132"/>
    </row>
    <row r="3579" spans="2:15" ht="26.25" customHeight="1" x14ac:dyDescent="0.25">
      <c r="B3579" s="130"/>
      <c r="C3579" s="135"/>
      <c r="D3579" s="177"/>
      <c r="E3579" s="178"/>
      <c r="F3579" s="178"/>
      <c r="G3579" s="340"/>
      <c r="H3579" s="340"/>
      <c r="I3579" s="179"/>
      <c r="J3579" s="344"/>
      <c r="K3579" s="345"/>
      <c r="L3579" s="346"/>
      <c r="M3579" s="347"/>
      <c r="N3579" s="347"/>
      <c r="O3579" s="132"/>
    </row>
    <row r="3580" spans="2:15" ht="26.25" customHeight="1" x14ac:dyDescent="0.25">
      <c r="B3580" s="130"/>
      <c r="C3580" s="135"/>
      <c r="D3580" s="177"/>
      <c r="E3580" s="178"/>
      <c r="F3580" s="178"/>
      <c r="G3580" s="340"/>
      <c r="H3580" s="340"/>
      <c r="I3580" s="179"/>
      <c r="J3580" s="344"/>
      <c r="K3580" s="345"/>
      <c r="L3580" s="346"/>
      <c r="M3580" s="347"/>
      <c r="N3580" s="347"/>
      <c r="O3580" s="132"/>
    </row>
    <row r="3581" spans="2:15" ht="26.25" customHeight="1" x14ac:dyDescent="0.25">
      <c r="B3581" s="130"/>
      <c r="C3581" s="135"/>
      <c r="D3581" s="177"/>
      <c r="E3581" s="178"/>
      <c r="F3581" s="178"/>
      <c r="G3581" s="340"/>
      <c r="H3581" s="340"/>
      <c r="I3581" s="179"/>
      <c r="J3581" s="344"/>
      <c r="K3581" s="345"/>
      <c r="L3581" s="346"/>
      <c r="M3581" s="347"/>
      <c r="N3581" s="347"/>
      <c r="O3581" s="132"/>
    </row>
    <row r="3582" spans="2:15" ht="26.25" customHeight="1" x14ac:dyDescent="0.25">
      <c r="B3582" s="130"/>
      <c r="C3582" s="135"/>
      <c r="D3582" s="177"/>
      <c r="E3582" s="178"/>
      <c r="F3582" s="178"/>
      <c r="G3582" s="340"/>
      <c r="H3582" s="340"/>
      <c r="I3582" s="179"/>
      <c r="J3582" s="344"/>
      <c r="K3582" s="345"/>
      <c r="L3582" s="346"/>
      <c r="M3582" s="347"/>
      <c r="N3582" s="347"/>
      <c r="O3582" s="132"/>
    </row>
    <row r="3583" spans="2:15" ht="26.25" customHeight="1" x14ac:dyDescent="0.25">
      <c r="B3583" s="130"/>
      <c r="C3583" s="135"/>
      <c r="D3583" s="177"/>
      <c r="E3583" s="178"/>
      <c r="F3583" s="178"/>
      <c r="G3583" s="340"/>
      <c r="H3583" s="340"/>
      <c r="I3583" s="179"/>
      <c r="J3583" s="344"/>
      <c r="K3583" s="345"/>
      <c r="L3583" s="346"/>
      <c r="M3583" s="347"/>
      <c r="N3583" s="347"/>
      <c r="O3583" s="132"/>
    </row>
    <row r="3584" spans="2:15" ht="26.25" customHeight="1" x14ac:dyDescent="0.25">
      <c r="B3584" s="130"/>
      <c r="C3584" s="135"/>
      <c r="D3584" s="177"/>
      <c r="E3584" s="178"/>
      <c r="F3584" s="178"/>
      <c r="G3584" s="340"/>
      <c r="H3584" s="340"/>
      <c r="I3584" s="179"/>
      <c r="J3584" s="344"/>
      <c r="K3584" s="345"/>
      <c r="L3584" s="346"/>
      <c r="M3584" s="347"/>
      <c r="N3584" s="347"/>
      <c r="O3584" s="132"/>
    </row>
    <row r="3585" spans="2:15" ht="26.25" customHeight="1" x14ac:dyDescent="0.25">
      <c r="B3585" s="130"/>
      <c r="C3585" s="135"/>
      <c r="D3585" s="177"/>
      <c r="E3585" s="178"/>
      <c r="F3585" s="178"/>
      <c r="G3585" s="340"/>
      <c r="H3585" s="340"/>
      <c r="I3585" s="179"/>
      <c r="J3585" s="344"/>
      <c r="K3585" s="345"/>
      <c r="L3585" s="346"/>
      <c r="M3585" s="347"/>
      <c r="N3585" s="347"/>
      <c r="O3585" s="132"/>
    </row>
    <row r="3586" spans="2:15" ht="26.25" customHeight="1" x14ac:dyDescent="0.25">
      <c r="B3586" s="130"/>
      <c r="C3586" s="135"/>
      <c r="D3586" s="177"/>
      <c r="E3586" s="178"/>
      <c r="F3586" s="178"/>
      <c r="G3586" s="340"/>
      <c r="H3586" s="340"/>
      <c r="I3586" s="179"/>
      <c r="J3586" s="344"/>
      <c r="K3586" s="345"/>
      <c r="L3586" s="346"/>
      <c r="M3586" s="347"/>
      <c r="N3586" s="347"/>
      <c r="O3586" s="132"/>
    </row>
    <row r="3587" spans="2:15" ht="26.25" customHeight="1" x14ac:dyDescent="0.25">
      <c r="B3587" s="130"/>
      <c r="C3587" s="135"/>
      <c r="D3587" s="177"/>
      <c r="E3587" s="178"/>
      <c r="F3587" s="178"/>
      <c r="G3587" s="340"/>
      <c r="H3587" s="340"/>
      <c r="I3587" s="179"/>
      <c r="J3587" s="344"/>
      <c r="K3587" s="345"/>
      <c r="L3587" s="346"/>
      <c r="M3587" s="347"/>
      <c r="N3587" s="347"/>
      <c r="O3587" s="132"/>
    </row>
    <row r="3588" spans="2:15" ht="26.25" customHeight="1" x14ac:dyDescent="0.25">
      <c r="B3588" s="130"/>
      <c r="C3588" s="135"/>
      <c r="D3588" s="177"/>
      <c r="E3588" s="178"/>
      <c r="F3588" s="178"/>
      <c r="G3588" s="340"/>
      <c r="H3588" s="340"/>
      <c r="I3588" s="179"/>
      <c r="J3588" s="344"/>
      <c r="K3588" s="345"/>
      <c r="L3588" s="346"/>
      <c r="M3588" s="347"/>
      <c r="N3588" s="347"/>
      <c r="O3588" s="132"/>
    </row>
    <row r="3589" spans="2:15" ht="26.25" customHeight="1" x14ac:dyDescent="0.25">
      <c r="B3589" s="130"/>
      <c r="C3589" s="135"/>
      <c r="D3589" s="177"/>
      <c r="E3589" s="178"/>
      <c r="F3589" s="178"/>
      <c r="G3589" s="340"/>
      <c r="H3589" s="340"/>
      <c r="I3589" s="179"/>
      <c r="J3589" s="344"/>
      <c r="K3589" s="345"/>
      <c r="L3589" s="346"/>
      <c r="M3589" s="347"/>
      <c r="N3589" s="347"/>
      <c r="O3589" s="132"/>
    </row>
    <row r="3590" spans="2:15" ht="26.25" customHeight="1" x14ac:dyDescent="0.25">
      <c r="B3590" s="130"/>
      <c r="C3590" s="135"/>
      <c r="D3590" s="177"/>
      <c r="E3590" s="178"/>
      <c r="F3590" s="178"/>
      <c r="G3590" s="340"/>
      <c r="H3590" s="340"/>
      <c r="I3590" s="179"/>
      <c r="J3590" s="344"/>
      <c r="K3590" s="345"/>
      <c r="L3590" s="346"/>
      <c r="M3590" s="347"/>
      <c r="N3590" s="347"/>
      <c r="O3590" s="132"/>
    </row>
    <row r="3591" spans="2:15" ht="26.25" customHeight="1" x14ac:dyDescent="0.25">
      <c r="B3591" s="130"/>
      <c r="C3591" s="135"/>
      <c r="D3591" s="177"/>
      <c r="E3591" s="178"/>
      <c r="F3591" s="178"/>
      <c r="G3591" s="340"/>
      <c r="H3591" s="340"/>
      <c r="I3591" s="179"/>
      <c r="J3591" s="344"/>
      <c r="K3591" s="345"/>
      <c r="L3591" s="346"/>
      <c r="M3591" s="347"/>
      <c r="N3591" s="347"/>
      <c r="O3591" s="132"/>
    </row>
    <row r="3592" spans="2:15" ht="26.25" customHeight="1" x14ac:dyDescent="0.25">
      <c r="B3592" s="130"/>
      <c r="C3592" s="135"/>
      <c r="D3592" s="177"/>
      <c r="E3592" s="178"/>
      <c r="F3592" s="178"/>
      <c r="G3592" s="340"/>
      <c r="H3592" s="340"/>
      <c r="I3592" s="179"/>
      <c r="J3592" s="344"/>
      <c r="K3592" s="345"/>
      <c r="L3592" s="346"/>
      <c r="M3592" s="347"/>
      <c r="N3592" s="347"/>
      <c r="O3592" s="132"/>
    </row>
    <row r="3593" spans="2:15" ht="26.25" customHeight="1" x14ac:dyDescent="0.25">
      <c r="B3593" s="130"/>
      <c r="C3593" s="135"/>
      <c r="D3593" s="177"/>
      <c r="E3593" s="178"/>
      <c r="F3593" s="178"/>
      <c r="G3593" s="340"/>
      <c r="H3593" s="340"/>
      <c r="I3593" s="179"/>
      <c r="J3593" s="344"/>
      <c r="K3593" s="345"/>
      <c r="L3593" s="346"/>
      <c r="M3593" s="347"/>
      <c r="N3593" s="347"/>
      <c r="O3593" s="132"/>
    </row>
    <row r="3594" spans="2:15" ht="26.25" customHeight="1" x14ac:dyDescent="0.25">
      <c r="B3594" s="130"/>
      <c r="C3594" s="135"/>
      <c r="D3594" s="177"/>
      <c r="E3594" s="178"/>
      <c r="F3594" s="178"/>
      <c r="G3594" s="340"/>
      <c r="H3594" s="340"/>
      <c r="I3594" s="179"/>
      <c r="J3594" s="344"/>
      <c r="K3594" s="345"/>
      <c r="L3594" s="346"/>
      <c r="M3594" s="347"/>
      <c r="N3594" s="347"/>
      <c r="O3594" s="132"/>
    </row>
    <row r="3595" spans="2:15" ht="26.25" customHeight="1" x14ac:dyDescent="0.25">
      <c r="B3595" s="130"/>
      <c r="C3595" s="135"/>
      <c r="D3595" s="177"/>
      <c r="E3595" s="178"/>
      <c r="F3595" s="178"/>
      <c r="G3595" s="340"/>
      <c r="H3595" s="340"/>
      <c r="I3595" s="179"/>
      <c r="J3595" s="344"/>
      <c r="K3595" s="345"/>
      <c r="L3595" s="346"/>
      <c r="M3595" s="347"/>
      <c r="N3595" s="347"/>
      <c r="O3595" s="132"/>
    </row>
    <row r="3596" spans="2:15" ht="26.25" customHeight="1" x14ac:dyDescent="0.25">
      <c r="B3596" s="130"/>
      <c r="C3596" s="135"/>
      <c r="D3596" s="177"/>
      <c r="E3596" s="178"/>
      <c r="F3596" s="178"/>
      <c r="G3596" s="340"/>
      <c r="H3596" s="340"/>
      <c r="I3596" s="179"/>
      <c r="J3596" s="344"/>
      <c r="K3596" s="345"/>
      <c r="L3596" s="346"/>
      <c r="M3596" s="347"/>
      <c r="N3596" s="347"/>
      <c r="O3596" s="132"/>
    </row>
    <row r="3597" spans="2:15" ht="26.25" customHeight="1" x14ac:dyDescent="0.25">
      <c r="B3597" s="130"/>
      <c r="C3597" s="135"/>
      <c r="D3597" s="177"/>
      <c r="E3597" s="178"/>
      <c r="F3597" s="178"/>
      <c r="G3597" s="340"/>
      <c r="H3597" s="340"/>
      <c r="I3597" s="179"/>
      <c r="J3597" s="344"/>
      <c r="K3597" s="345"/>
      <c r="L3597" s="346"/>
      <c r="M3597" s="347"/>
      <c r="N3597" s="347"/>
      <c r="O3597" s="132"/>
    </row>
    <row r="3598" spans="2:15" ht="26.25" customHeight="1" x14ac:dyDescent="0.25">
      <c r="B3598" s="130"/>
      <c r="C3598" s="135"/>
      <c r="D3598" s="177"/>
      <c r="E3598" s="178"/>
      <c r="F3598" s="178"/>
      <c r="G3598" s="340"/>
      <c r="H3598" s="340"/>
      <c r="I3598" s="179"/>
      <c r="J3598" s="344"/>
      <c r="K3598" s="345"/>
      <c r="L3598" s="346"/>
      <c r="M3598" s="347"/>
      <c r="N3598" s="347"/>
      <c r="O3598" s="132"/>
    </row>
    <row r="3599" spans="2:15" ht="26.25" customHeight="1" x14ac:dyDescent="0.25">
      <c r="B3599" s="130"/>
      <c r="C3599" s="135"/>
      <c r="D3599" s="177"/>
      <c r="E3599" s="178"/>
      <c r="F3599" s="178"/>
      <c r="G3599" s="340"/>
      <c r="H3599" s="340"/>
      <c r="I3599" s="179"/>
      <c r="J3599" s="344"/>
      <c r="K3599" s="345"/>
      <c r="L3599" s="346"/>
      <c r="M3599" s="347"/>
      <c r="N3599" s="347"/>
      <c r="O3599" s="132"/>
    </row>
    <row r="3600" spans="2:15" ht="26.25" customHeight="1" x14ac:dyDescent="0.25">
      <c r="B3600" s="130"/>
      <c r="C3600" s="135"/>
      <c r="D3600" s="177"/>
      <c r="E3600" s="178"/>
      <c r="F3600" s="178"/>
      <c r="G3600" s="340"/>
      <c r="H3600" s="340"/>
      <c r="I3600" s="179"/>
      <c r="J3600" s="344"/>
      <c r="K3600" s="345"/>
      <c r="L3600" s="346"/>
      <c r="M3600" s="347"/>
      <c r="N3600" s="347"/>
      <c r="O3600" s="132"/>
    </row>
    <row r="3601" spans="2:15" ht="26.25" customHeight="1" x14ac:dyDescent="0.25">
      <c r="B3601" s="130"/>
      <c r="C3601" s="135"/>
      <c r="D3601" s="177"/>
      <c r="E3601" s="178"/>
      <c r="F3601" s="178"/>
      <c r="G3601" s="340"/>
      <c r="H3601" s="340"/>
      <c r="I3601" s="179"/>
      <c r="J3601" s="344"/>
      <c r="K3601" s="345"/>
      <c r="L3601" s="346"/>
      <c r="M3601" s="347"/>
      <c r="N3601" s="347"/>
      <c r="O3601" s="132"/>
    </row>
    <row r="3602" spans="2:15" ht="26.25" customHeight="1" x14ac:dyDescent="0.25">
      <c r="B3602" s="130"/>
      <c r="C3602" s="135"/>
      <c r="D3602" s="177"/>
      <c r="E3602" s="178"/>
      <c r="F3602" s="178"/>
      <c r="G3602" s="340"/>
      <c r="H3602" s="340"/>
      <c r="I3602" s="179"/>
      <c r="J3602" s="344"/>
      <c r="K3602" s="345"/>
      <c r="L3602" s="346"/>
      <c r="M3602" s="347"/>
      <c r="N3602" s="347"/>
      <c r="O3602" s="132"/>
    </row>
    <row r="3603" spans="2:15" ht="26.25" customHeight="1" x14ac:dyDescent="0.25">
      <c r="B3603" s="130"/>
      <c r="C3603" s="135"/>
      <c r="D3603" s="177"/>
      <c r="E3603" s="178"/>
      <c r="F3603" s="178"/>
      <c r="G3603" s="340"/>
      <c r="H3603" s="340"/>
      <c r="I3603" s="179"/>
      <c r="J3603" s="344"/>
      <c r="K3603" s="345"/>
      <c r="L3603" s="346"/>
      <c r="M3603" s="347"/>
      <c r="N3603" s="347"/>
      <c r="O3603" s="132"/>
    </row>
    <row r="3604" spans="2:15" ht="26.25" customHeight="1" x14ac:dyDescent="0.25">
      <c r="B3604" s="130"/>
      <c r="C3604" s="135"/>
      <c r="D3604" s="177"/>
      <c r="E3604" s="178"/>
      <c r="F3604" s="178"/>
      <c r="G3604" s="340"/>
      <c r="H3604" s="340"/>
      <c r="I3604" s="179"/>
      <c r="J3604" s="344"/>
      <c r="K3604" s="345"/>
      <c r="L3604" s="346"/>
      <c r="M3604" s="347"/>
      <c r="N3604" s="347"/>
      <c r="O3604" s="132"/>
    </row>
    <row r="3605" spans="2:15" ht="26.25" customHeight="1" x14ac:dyDescent="0.25">
      <c r="B3605" s="130"/>
      <c r="C3605" s="135"/>
      <c r="D3605" s="177"/>
      <c r="E3605" s="178"/>
      <c r="F3605" s="178"/>
      <c r="G3605" s="340"/>
      <c r="H3605" s="340"/>
      <c r="I3605" s="179"/>
      <c r="J3605" s="344"/>
      <c r="K3605" s="345"/>
      <c r="L3605" s="346"/>
      <c r="M3605" s="347"/>
      <c r="N3605" s="347"/>
      <c r="O3605" s="132"/>
    </row>
    <row r="3606" spans="2:15" ht="26.25" customHeight="1" x14ac:dyDescent="0.25">
      <c r="B3606" s="130"/>
      <c r="C3606" s="135"/>
      <c r="D3606" s="177"/>
      <c r="E3606" s="178"/>
      <c r="F3606" s="178"/>
      <c r="G3606" s="340"/>
      <c r="H3606" s="340"/>
      <c r="I3606" s="179"/>
      <c r="J3606" s="344"/>
      <c r="K3606" s="345"/>
      <c r="L3606" s="346"/>
      <c r="M3606" s="347"/>
      <c r="N3606" s="347"/>
      <c r="O3606" s="132"/>
    </row>
    <row r="3607" spans="2:15" ht="26.25" customHeight="1" x14ac:dyDescent="0.25">
      <c r="B3607" s="130"/>
      <c r="C3607" s="135"/>
      <c r="D3607" s="177"/>
      <c r="E3607" s="178"/>
      <c r="F3607" s="178"/>
      <c r="G3607" s="340"/>
      <c r="H3607" s="340"/>
      <c r="I3607" s="179"/>
      <c r="J3607" s="344"/>
      <c r="K3607" s="345"/>
      <c r="L3607" s="346"/>
      <c r="M3607" s="347"/>
      <c r="N3607" s="347"/>
      <c r="O3607" s="132"/>
    </row>
    <row r="3608" spans="2:15" ht="26.25" customHeight="1" x14ac:dyDescent="0.25">
      <c r="B3608" s="130"/>
      <c r="C3608" s="135"/>
      <c r="D3608" s="177"/>
      <c r="E3608" s="178"/>
      <c r="F3608" s="178"/>
      <c r="G3608" s="340"/>
      <c r="H3608" s="340"/>
      <c r="I3608" s="179"/>
      <c r="J3608" s="344"/>
      <c r="K3608" s="345"/>
      <c r="L3608" s="346"/>
      <c r="M3608" s="347"/>
      <c r="N3608" s="347"/>
      <c r="O3608" s="132"/>
    </row>
    <row r="3609" spans="2:15" ht="26.25" customHeight="1" x14ac:dyDescent="0.25">
      <c r="B3609" s="130"/>
      <c r="C3609" s="135"/>
      <c r="D3609" s="177"/>
      <c r="E3609" s="178"/>
      <c r="F3609" s="178"/>
      <c r="G3609" s="340"/>
      <c r="H3609" s="340"/>
      <c r="I3609" s="179"/>
      <c r="J3609" s="344"/>
      <c r="K3609" s="345"/>
      <c r="L3609" s="346"/>
      <c r="M3609" s="347"/>
      <c r="N3609" s="347"/>
      <c r="O3609" s="132"/>
    </row>
    <row r="3610" spans="2:15" ht="26.25" customHeight="1" x14ac:dyDescent="0.25">
      <c r="B3610" s="130"/>
      <c r="C3610" s="135"/>
      <c r="D3610" s="177"/>
      <c r="E3610" s="178"/>
      <c r="F3610" s="178"/>
      <c r="G3610" s="340"/>
      <c r="H3610" s="340"/>
      <c r="I3610" s="179"/>
      <c r="J3610" s="344"/>
      <c r="K3610" s="345"/>
      <c r="L3610" s="346"/>
      <c r="M3610" s="347"/>
      <c r="N3610" s="347"/>
      <c r="O3610" s="132"/>
    </row>
    <row r="3611" spans="2:15" ht="26.25" customHeight="1" x14ac:dyDescent="0.25">
      <c r="B3611" s="130"/>
      <c r="C3611" s="135"/>
      <c r="D3611" s="177"/>
      <c r="E3611" s="178"/>
      <c r="F3611" s="178"/>
      <c r="G3611" s="340"/>
      <c r="H3611" s="340"/>
      <c r="I3611" s="179"/>
      <c r="J3611" s="344"/>
      <c r="K3611" s="345"/>
      <c r="L3611" s="346"/>
      <c r="M3611" s="347"/>
      <c r="N3611" s="347"/>
      <c r="O3611" s="132"/>
    </row>
    <row r="3612" spans="2:15" ht="26.25" customHeight="1" x14ac:dyDescent="0.25">
      <c r="B3612" s="130"/>
      <c r="C3612" s="135"/>
      <c r="D3612" s="177"/>
      <c r="E3612" s="178"/>
      <c r="F3612" s="178"/>
      <c r="G3612" s="340"/>
      <c r="H3612" s="340"/>
      <c r="I3612" s="179"/>
      <c r="J3612" s="344"/>
      <c r="K3612" s="345"/>
      <c r="L3612" s="346"/>
      <c r="M3612" s="347"/>
      <c r="N3612" s="347"/>
      <c r="O3612" s="132"/>
    </row>
    <row r="3613" spans="2:15" ht="26.25" customHeight="1" x14ac:dyDescent="0.25">
      <c r="B3613" s="130"/>
      <c r="C3613" s="135"/>
      <c r="D3613" s="177"/>
      <c r="E3613" s="178"/>
      <c r="F3613" s="178"/>
      <c r="G3613" s="340"/>
      <c r="H3613" s="340"/>
      <c r="I3613" s="179"/>
      <c r="J3613" s="344"/>
      <c r="K3613" s="345"/>
      <c r="L3613" s="346"/>
      <c r="M3613" s="347"/>
      <c r="N3613" s="347"/>
      <c r="O3613" s="132"/>
    </row>
    <row r="3614" spans="2:15" ht="26.25" customHeight="1" x14ac:dyDescent="0.25">
      <c r="B3614" s="130"/>
      <c r="C3614" s="135"/>
      <c r="D3614" s="177"/>
      <c r="E3614" s="178"/>
      <c r="F3614" s="178"/>
      <c r="G3614" s="340"/>
      <c r="H3614" s="340"/>
      <c r="I3614" s="179"/>
      <c r="J3614" s="344"/>
      <c r="K3614" s="345"/>
      <c r="L3614" s="346"/>
      <c r="M3614" s="347"/>
      <c r="N3614" s="347"/>
      <c r="O3614" s="132"/>
    </row>
    <row r="3615" spans="2:15" ht="26.25" customHeight="1" x14ac:dyDescent="0.25">
      <c r="B3615" s="130"/>
      <c r="C3615" s="135"/>
      <c r="D3615" s="177"/>
      <c r="E3615" s="178"/>
      <c r="F3615" s="178"/>
      <c r="G3615" s="340"/>
      <c r="H3615" s="340"/>
      <c r="I3615" s="179"/>
      <c r="J3615" s="344"/>
      <c r="K3615" s="345"/>
      <c r="L3615" s="346"/>
      <c r="M3615" s="347"/>
      <c r="N3615" s="347"/>
      <c r="O3615" s="132"/>
    </row>
    <row r="3616" spans="2:15" ht="26.25" customHeight="1" x14ac:dyDescent="0.25">
      <c r="B3616" s="130"/>
      <c r="C3616" s="135"/>
      <c r="D3616" s="177"/>
      <c r="E3616" s="178"/>
      <c r="F3616" s="178"/>
      <c r="G3616" s="340"/>
      <c r="H3616" s="340"/>
      <c r="I3616" s="179"/>
      <c r="J3616" s="344"/>
      <c r="K3616" s="345"/>
      <c r="L3616" s="346"/>
      <c r="M3616" s="347"/>
      <c r="N3616" s="347"/>
      <c r="O3616" s="132"/>
    </row>
    <row r="3617" spans="2:15" ht="26.25" customHeight="1" x14ac:dyDescent="0.25">
      <c r="B3617" s="130"/>
      <c r="C3617" s="135"/>
      <c r="D3617" s="177"/>
      <c r="E3617" s="178"/>
      <c r="F3617" s="178"/>
      <c r="G3617" s="340"/>
      <c r="H3617" s="340"/>
      <c r="I3617" s="179"/>
      <c r="J3617" s="344"/>
      <c r="K3617" s="345"/>
      <c r="L3617" s="346"/>
      <c r="M3617" s="347"/>
      <c r="N3617" s="347"/>
      <c r="O3617" s="132"/>
    </row>
    <row r="3618" spans="2:15" ht="26.25" customHeight="1" x14ac:dyDescent="0.25">
      <c r="B3618" s="130"/>
      <c r="C3618" s="135"/>
      <c r="D3618" s="177"/>
      <c r="E3618" s="178"/>
      <c r="F3618" s="178"/>
      <c r="G3618" s="340"/>
      <c r="H3618" s="340"/>
      <c r="I3618" s="179"/>
      <c r="J3618" s="344"/>
      <c r="K3618" s="345"/>
      <c r="L3618" s="346"/>
      <c r="M3618" s="347"/>
      <c r="N3618" s="347"/>
      <c r="O3618" s="132"/>
    </row>
    <row r="3619" spans="2:15" ht="26.25" customHeight="1" x14ac:dyDescent="0.25">
      <c r="B3619" s="130"/>
      <c r="C3619" s="135"/>
      <c r="D3619" s="177"/>
      <c r="E3619" s="178"/>
      <c r="F3619" s="178"/>
      <c r="G3619" s="340"/>
      <c r="H3619" s="340"/>
      <c r="I3619" s="179"/>
      <c r="J3619" s="344"/>
      <c r="K3619" s="345"/>
      <c r="L3619" s="346"/>
      <c r="M3619" s="347"/>
      <c r="N3619" s="347"/>
      <c r="O3619" s="132"/>
    </row>
    <row r="3620" spans="2:15" ht="26.25" customHeight="1" x14ac:dyDescent="0.25">
      <c r="B3620" s="130"/>
      <c r="C3620" s="135"/>
      <c r="D3620" s="177"/>
      <c r="E3620" s="178"/>
      <c r="F3620" s="178"/>
      <c r="G3620" s="340"/>
      <c r="H3620" s="340"/>
      <c r="I3620" s="179"/>
      <c r="J3620" s="344"/>
      <c r="K3620" s="345"/>
      <c r="L3620" s="346"/>
      <c r="M3620" s="347"/>
      <c r="N3620" s="347"/>
      <c r="O3620" s="132"/>
    </row>
    <row r="3621" spans="2:15" ht="26.25" customHeight="1" x14ac:dyDescent="0.25">
      <c r="B3621" s="130"/>
      <c r="C3621" s="135"/>
      <c r="D3621" s="177"/>
      <c r="E3621" s="178"/>
      <c r="F3621" s="178"/>
      <c r="G3621" s="340"/>
      <c r="H3621" s="340"/>
      <c r="I3621" s="179"/>
      <c r="J3621" s="344"/>
      <c r="K3621" s="345"/>
      <c r="L3621" s="346"/>
      <c r="M3621" s="347"/>
      <c r="N3621" s="347"/>
      <c r="O3621" s="132"/>
    </row>
    <row r="3622" spans="2:15" ht="26.25" customHeight="1" x14ac:dyDescent="0.25">
      <c r="B3622" s="130"/>
      <c r="C3622" s="135"/>
      <c r="D3622" s="177"/>
      <c r="E3622" s="178"/>
      <c r="F3622" s="178"/>
      <c r="G3622" s="340"/>
      <c r="H3622" s="340"/>
      <c r="I3622" s="179"/>
      <c r="J3622" s="344"/>
      <c r="K3622" s="345"/>
      <c r="L3622" s="346"/>
      <c r="M3622" s="347"/>
      <c r="N3622" s="347"/>
      <c r="O3622" s="132"/>
    </row>
    <row r="3623" spans="2:15" ht="26.25" customHeight="1" x14ac:dyDescent="0.25">
      <c r="B3623" s="130"/>
      <c r="C3623" s="135"/>
      <c r="D3623" s="177"/>
      <c r="E3623" s="178"/>
      <c r="F3623" s="178"/>
      <c r="G3623" s="340"/>
      <c r="H3623" s="340"/>
      <c r="I3623" s="179"/>
      <c r="J3623" s="344"/>
      <c r="K3623" s="345"/>
      <c r="L3623" s="346"/>
      <c r="M3623" s="347"/>
      <c r="N3623" s="347"/>
      <c r="O3623" s="132"/>
    </row>
    <row r="3624" spans="2:15" ht="26.25" customHeight="1" x14ac:dyDescent="0.25">
      <c r="B3624" s="130"/>
      <c r="C3624" s="135"/>
      <c r="D3624" s="177"/>
      <c r="E3624" s="178"/>
      <c r="F3624" s="178"/>
      <c r="G3624" s="340"/>
      <c r="H3624" s="340"/>
      <c r="I3624" s="179"/>
      <c r="J3624" s="344"/>
      <c r="K3624" s="345"/>
      <c r="L3624" s="346"/>
      <c r="M3624" s="347"/>
      <c r="N3624" s="347"/>
      <c r="O3624" s="132"/>
    </row>
    <row r="3625" spans="2:15" ht="26.25" customHeight="1" x14ac:dyDescent="0.25">
      <c r="B3625" s="130"/>
      <c r="C3625" s="135"/>
      <c r="D3625" s="177"/>
      <c r="E3625" s="178"/>
      <c r="F3625" s="178"/>
      <c r="G3625" s="340"/>
      <c r="H3625" s="340"/>
      <c r="I3625" s="179"/>
      <c r="J3625" s="344"/>
      <c r="K3625" s="345"/>
      <c r="L3625" s="346"/>
      <c r="M3625" s="347"/>
      <c r="N3625" s="347"/>
      <c r="O3625" s="132"/>
    </row>
    <row r="3626" spans="2:15" ht="26.25" customHeight="1" x14ac:dyDescent="0.25">
      <c r="B3626" s="130"/>
      <c r="C3626" s="135"/>
      <c r="D3626" s="177"/>
      <c r="E3626" s="178"/>
      <c r="F3626" s="178"/>
      <c r="G3626" s="340"/>
      <c r="H3626" s="340"/>
      <c r="I3626" s="179"/>
      <c r="J3626" s="344"/>
      <c r="K3626" s="345"/>
      <c r="L3626" s="346"/>
      <c r="M3626" s="347"/>
      <c r="N3626" s="347"/>
      <c r="O3626" s="132"/>
    </row>
    <row r="3627" spans="2:15" ht="26.25" customHeight="1" x14ac:dyDescent="0.25">
      <c r="B3627" s="130"/>
      <c r="C3627" s="135"/>
      <c r="D3627" s="177"/>
      <c r="E3627" s="178"/>
      <c r="F3627" s="178"/>
      <c r="G3627" s="340"/>
      <c r="H3627" s="340"/>
      <c r="I3627" s="179"/>
      <c r="J3627" s="344"/>
      <c r="K3627" s="345"/>
      <c r="L3627" s="346"/>
      <c r="M3627" s="347"/>
      <c r="N3627" s="347"/>
      <c r="O3627" s="132"/>
    </row>
    <row r="3628" spans="2:15" ht="26.25" customHeight="1" x14ac:dyDescent="0.25">
      <c r="B3628" s="130"/>
      <c r="C3628" s="135"/>
      <c r="D3628" s="177"/>
      <c r="E3628" s="178"/>
      <c r="F3628" s="178"/>
      <c r="G3628" s="340"/>
      <c r="H3628" s="340"/>
      <c r="I3628" s="179"/>
      <c r="J3628" s="344"/>
      <c r="K3628" s="345"/>
      <c r="L3628" s="346"/>
      <c r="M3628" s="347"/>
      <c r="N3628" s="347"/>
      <c r="O3628" s="132"/>
    </row>
    <row r="3629" spans="2:15" ht="26.25" customHeight="1" x14ac:dyDescent="0.25">
      <c r="B3629" s="130"/>
      <c r="C3629" s="135"/>
      <c r="D3629" s="177"/>
      <c r="E3629" s="178"/>
      <c r="F3629" s="178"/>
      <c r="G3629" s="340"/>
      <c r="H3629" s="340"/>
      <c r="I3629" s="179"/>
      <c r="J3629" s="344"/>
      <c r="K3629" s="345"/>
      <c r="L3629" s="346"/>
      <c r="M3629" s="347"/>
      <c r="N3629" s="347"/>
      <c r="O3629" s="132"/>
    </row>
    <row r="3630" spans="2:15" ht="26.25" customHeight="1" x14ac:dyDescent="0.25">
      <c r="B3630" s="130"/>
      <c r="C3630" s="135"/>
      <c r="D3630" s="177"/>
      <c r="E3630" s="178"/>
      <c r="F3630" s="178"/>
      <c r="G3630" s="340"/>
      <c r="H3630" s="340"/>
      <c r="I3630" s="179"/>
      <c r="J3630" s="344"/>
      <c r="K3630" s="345"/>
      <c r="L3630" s="346"/>
      <c r="M3630" s="347"/>
      <c r="N3630" s="347"/>
      <c r="O3630" s="132"/>
    </row>
    <row r="3631" spans="2:15" ht="26.25" customHeight="1" x14ac:dyDescent="0.25">
      <c r="B3631" s="130"/>
      <c r="C3631" s="135"/>
      <c r="D3631" s="177"/>
      <c r="E3631" s="178"/>
      <c r="F3631" s="178"/>
      <c r="G3631" s="340"/>
      <c r="H3631" s="340"/>
      <c r="I3631" s="179"/>
      <c r="J3631" s="344"/>
      <c r="K3631" s="345"/>
      <c r="L3631" s="346"/>
      <c r="M3631" s="347"/>
      <c r="N3631" s="347"/>
      <c r="O3631" s="132"/>
    </row>
    <row r="3632" spans="2:15" ht="26.25" customHeight="1" x14ac:dyDescent="0.25">
      <c r="B3632" s="130"/>
      <c r="C3632" s="135"/>
      <c r="D3632" s="177"/>
      <c r="E3632" s="178"/>
      <c r="F3632" s="178"/>
      <c r="G3632" s="340"/>
      <c r="H3632" s="340"/>
      <c r="I3632" s="179"/>
      <c r="J3632" s="344"/>
      <c r="K3632" s="345"/>
      <c r="L3632" s="346"/>
      <c r="M3632" s="347"/>
      <c r="N3632" s="347"/>
      <c r="O3632" s="132"/>
    </row>
    <row r="3633" spans="2:15" ht="26.25" customHeight="1" x14ac:dyDescent="0.25">
      <c r="B3633" s="130"/>
      <c r="C3633" s="135"/>
      <c r="D3633" s="177"/>
      <c r="E3633" s="178"/>
      <c r="F3633" s="178"/>
      <c r="G3633" s="340"/>
      <c r="H3633" s="340"/>
      <c r="I3633" s="179"/>
      <c r="J3633" s="344"/>
      <c r="K3633" s="345"/>
      <c r="L3633" s="346"/>
      <c r="M3633" s="347"/>
      <c r="N3633" s="347"/>
      <c r="O3633" s="132"/>
    </row>
    <row r="3634" spans="2:15" ht="26.25" customHeight="1" x14ac:dyDescent="0.25">
      <c r="B3634" s="130"/>
      <c r="C3634" s="135"/>
      <c r="D3634" s="177"/>
      <c r="E3634" s="178"/>
      <c r="F3634" s="178"/>
      <c r="G3634" s="340"/>
      <c r="H3634" s="340"/>
      <c r="I3634" s="179"/>
      <c r="J3634" s="344"/>
      <c r="K3634" s="345"/>
      <c r="L3634" s="346"/>
      <c r="M3634" s="347"/>
      <c r="N3634" s="347"/>
      <c r="O3634" s="132"/>
    </row>
    <row r="3635" spans="2:15" ht="26.25" customHeight="1" x14ac:dyDescent="0.25">
      <c r="B3635" s="130"/>
      <c r="C3635" s="135"/>
      <c r="D3635" s="177"/>
      <c r="E3635" s="178"/>
      <c r="F3635" s="178"/>
      <c r="G3635" s="340"/>
      <c r="H3635" s="340"/>
      <c r="I3635" s="179"/>
      <c r="J3635" s="344"/>
      <c r="K3635" s="345"/>
      <c r="L3635" s="346"/>
      <c r="M3635" s="347"/>
      <c r="N3635" s="347"/>
      <c r="O3635" s="132"/>
    </row>
    <row r="3636" spans="2:15" ht="26.25" customHeight="1" x14ac:dyDescent="0.25">
      <c r="B3636" s="130"/>
      <c r="C3636" s="135"/>
      <c r="D3636" s="177"/>
      <c r="E3636" s="178"/>
      <c r="F3636" s="178"/>
      <c r="G3636" s="340"/>
      <c r="H3636" s="340"/>
      <c r="I3636" s="179"/>
      <c r="J3636" s="344"/>
      <c r="K3636" s="345"/>
      <c r="L3636" s="346"/>
      <c r="M3636" s="347"/>
      <c r="N3636" s="347"/>
      <c r="O3636" s="132"/>
    </row>
    <row r="3637" spans="2:15" ht="26.25" customHeight="1" x14ac:dyDescent="0.25">
      <c r="B3637" s="130"/>
      <c r="C3637" s="135"/>
      <c r="D3637" s="177"/>
      <c r="E3637" s="178"/>
      <c r="F3637" s="178"/>
      <c r="G3637" s="340"/>
      <c r="H3637" s="340"/>
      <c r="I3637" s="179"/>
      <c r="J3637" s="344"/>
      <c r="K3637" s="345"/>
      <c r="L3637" s="346"/>
      <c r="M3637" s="347"/>
      <c r="N3637" s="347"/>
      <c r="O3637" s="132"/>
    </row>
    <row r="3638" spans="2:15" ht="26.25" customHeight="1" x14ac:dyDescent="0.25">
      <c r="B3638" s="130"/>
      <c r="C3638" s="135"/>
      <c r="D3638" s="177"/>
      <c r="E3638" s="178"/>
      <c r="F3638" s="178"/>
      <c r="G3638" s="340"/>
      <c r="H3638" s="340"/>
      <c r="I3638" s="179"/>
      <c r="J3638" s="344"/>
      <c r="K3638" s="345"/>
      <c r="L3638" s="346"/>
      <c r="M3638" s="347"/>
      <c r="N3638" s="347"/>
      <c r="O3638" s="132"/>
    </row>
    <row r="3639" spans="2:15" ht="26.25" customHeight="1" x14ac:dyDescent="0.25">
      <c r="B3639" s="130"/>
      <c r="C3639" s="135"/>
      <c r="D3639" s="177"/>
      <c r="E3639" s="178"/>
      <c r="F3639" s="178"/>
      <c r="G3639" s="340"/>
      <c r="H3639" s="340"/>
      <c r="I3639" s="179"/>
      <c r="J3639" s="344"/>
      <c r="K3639" s="345"/>
      <c r="L3639" s="346"/>
      <c r="M3639" s="347"/>
      <c r="N3639" s="347"/>
      <c r="O3639" s="132"/>
    </row>
    <row r="3640" spans="2:15" ht="26.25" customHeight="1" x14ac:dyDescent="0.25">
      <c r="B3640" s="130"/>
      <c r="C3640" s="135"/>
      <c r="D3640" s="177"/>
      <c r="E3640" s="178"/>
      <c r="F3640" s="178"/>
      <c r="G3640" s="340"/>
      <c r="H3640" s="340"/>
      <c r="I3640" s="179"/>
      <c r="J3640" s="344"/>
      <c r="K3640" s="345"/>
      <c r="L3640" s="346"/>
      <c r="M3640" s="347"/>
      <c r="N3640" s="347"/>
      <c r="O3640" s="132"/>
    </row>
    <row r="3641" spans="2:15" ht="26.25" customHeight="1" x14ac:dyDescent="0.25">
      <c r="B3641" s="130"/>
      <c r="C3641" s="135"/>
      <c r="D3641" s="177"/>
      <c r="E3641" s="178"/>
      <c r="F3641" s="178"/>
      <c r="G3641" s="340"/>
      <c r="H3641" s="340"/>
      <c r="I3641" s="179"/>
      <c r="J3641" s="344"/>
      <c r="K3641" s="345"/>
      <c r="L3641" s="346"/>
      <c r="M3641" s="347"/>
      <c r="N3641" s="347"/>
      <c r="O3641" s="132"/>
    </row>
    <row r="3642" spans="2:15" ht="26.25" customHeight="1" x14ac:dyDescent="0.25">
      <c r="B3642" s="130"/>
      <c r="C3642" s="135"/>
      <c r="D3642" s="177"/>
      <c r="E3642" s="178"/>
      <c r="F3642" s="178"/>
      <c r="G3642" s="340"/>
      <c r="H3642" s="340"/>
      <c r="I3642" s="179"/>
      <c r="J3642" s="344"/>
      <c r="K3642" s="345"/>
      <c r="L3642" s="346"/>
      <c r="M3642" s="347"/>
      <c r="N3642" s="347"/>
      <c r="O3642" s="132"/>
    </row>
    <row r="3643" spans="2:15" ht="26.25" customHeight="1" x14ac:dyDescent="0.25">
      <c r="B3643" s="130"/>
      <c r="C3643" s="135"/>
      <c r="D3643" s="177"/>
      <c r="E3643" s="178"/>
      <c r="F3643" s="178"/>
      <c r="G3643" s="340"/>
      <c r="H3643" s="340"/>
      <c r="I3643" s="179"/>
      <c r="J3643" s="344"/>
      <c r="K3643" s="345"/>
      <c r="L3643" s="346"/>
      <c r="M3643" s="347"/>
      <c r="N3643" s="347"/>
      <c r="O3643" s="132"/>
    </row>
    <row r="3644" spans="2:15" ht="26.25" customHeight="1" x14ac:dyDescent="0.25">
      <c r="B3644" s="130"/>
      <c r="C3644" s="135"/>
      <c r="D3644" s="177"/>
      <c r="E3644" s="178"/>
      <c r="F3644" s="178"/>
      <c r="G3644" s="340"/>
      <c r="H3644" s="340"/>
      <c r="I3644" s="179"/>
      <c r="J3644" s="344"/>
      <c r="K3644" s="345"/>
      <c r="L3644" s="346"/>
      <c r="M3644" s="347"/>
      <c r="N3644" s="347"/>
      <c r="O3644" s="132"/>
    </row>
    <row r="3645" spans="2:15" ht="26.25" customHeight="1" x14ac:dyDescent="0.25">
      <c r="B3645" s="130"/>
      <c r="C3645" s="135"/>
      <c r="D3645" s="177"/>
      <c r="E3645" s="178"/>
      <c r="F3645" s="178"/>
      <c r="G3645" s="340"/>
      <c r="H3645" s="340"/>
      <c r="I3645" s="179"/>
      <c r="J3645" s="344"/>
      <c r="K3645" s="345"/>
      <c r="L3645" s="346"/>
      <c r="M3645" s="347"/>
      <c r="N3645" s="347"/>
      <c r="O3645" s="132"/>
    </row>
    <row r="3646" spans="2:15" ht="26.25" customHeight="1" x14ac:dyDescent="0.25">
      <c r="B3646" s="130"/>
      <c r="C3646" s="135"/>
      <c r="D3646" s="177"/>
      <c r="E3646" s="178"/>
      <c r="F3646" s="178"/>
      <c r="G3646" s="340"/>
      <c r="H3646" s="340"/>
      <c r="I3646" s="179"/>
      <c r="J3646" s="344"/>
      <c r="K3646" s="345"/>
      <c r="L3646" s="346"/>
      <c r="M3646" s="347"/>
      <c r="N3646" s="347"/>
      <c r="O3646" s="132"/>
    </row>
    <row r="3647" spans="2:15" ht="26.25" customHeight="1" x14ac:dyDescent="0.25">
      <c r="B3647" s="130"/>
      <c r="C3647" s="135"/>
      <c r="D3647" s="177"/>
      <c r="E3647" s="178"/>
      <c r="F3647" s="178"/>
      <c r="G3647" s="340"/>
      <c r="H3647" s="340"/>
      <c r="I3647" s="179"/>
      <c r="J3647" s="344"/>
      <c r="K3647" s="345"/>
      <c r="L3647" s="346"/>
      <c r="M3647" s="347"/>
      <c r="N3647" s="347"/>
      <c r="O3647" s="132"/>
    </row>
    <row r="3648" spans="2:15" ht="26.25" customHeight="1" x14ac:dyDescent="0.25">
      <c r="B3648" s="130"/>
      <c r="C3648" s="135"/>
      <c r="D3648" s="177"/>
      <c r="E3648" s="178"/>
      <c r="F3648" s="178"/>
      <c r="G3648" s="340"/>
      <c r="H3648" s="340"/>
      <c r="I3648" s="179"/>
      <c r="J3648" s="344"/>
      <c r="K3648" s="345"/>
      <c r="L3648" s="346"/>
      <c r="M3648" s="347"/>
      <c r="N3648" s="347"/>
      <c r="O3648" s="132"/>
    </row>
    <row r="3649" spans="2:15" ht="26.25" customHeight="1" x14ac:dyDescent="0.25">
      <c r="B3649" s="130"/>
      <c r="C3649" s="135"/>
      <c r="D3649" s="177"/>
      <c r="E3649" s="178"/>
      <c r="F3649" s="178"/>
      <c r="G3649" s="340"/>
      <c r="H3649" s="340"/>
      <c r="I3649" s="179"/>
      <c r="J3649" s="344"/>
      <c r="K3649" s="345"/>
      <c r="L3649" s="346"/>
      <c r="M3649" s="347"/>
      <c r="N3649" s="347"/>
      <c r="O3649" s="132"/>
    </row>
    <row r="3650" spans="2:15" ht="26.25" customHeight="1" x14ac:dyDescent="0.25">
      <c r="B3650" s="130"/>
      <c r="C3650" s="135"/>
      <c r="D3650" s="177"/>
      <c r="E3650" s="178"/>
      <c r="F3650" s="178"/>
      <c r="G3650" s="340"/>
      <c r="H3650" s="340"/>
      <c r="I3650" s="179"/>
      <c r="J3650" s="344"/>
      <c r="K3650" s="345"/>
      <c r="L3650" s="346"/>
      <c r="M3650" s="347"/>
      <c r="N3650" s="347"/>
      <c r="O3650" s="132"/>
    </row>
    <row r="3651" spans="2:15" ht="26.25" customHeight="1" x14ac:dyDescent="0.25">
      <c r="B3651" s="130"/>
      <c r="C3651" s="135"/>
      <c r="D3651" s="177"/>
      <c r="E3651" s="178"/>
      <c r="F3651" s="178"/>
      <c r="G3651" s="340"/>
      <c r="H3651" s="340"/>
      <c r="I3651" s="179"/>
      <c r="J3651" s="344"/>
      <c r="K3651" s="345"/>
      <c r="L3651" s="346"/>
      <c r="M3651" s="347"/>
      <c r="N3651" s="347"/>
      <c r="O3651" s="132"/>
    </row>
    <row r="3652" spans="2:15" ht="26.25" customHeight="1" x14ac:dyDescent="0.25">
      <c r="B3652" s="130"/>
      <c r="C3652" s="135"/>
      <c r="D3652" s="177"/>
      <c r="E3652" s="178"/>
      <c r="F3652" s="178"/>
      <c r="G3652" s="340"/>
      <c r="H3652" s="340"/>
      <c r="I3652" s="179"/>
      <c r="J3652" s="344"/>
      <c r="K3652" s="345"/>
      <c r="L3652" s="346"/>
      <c r="M3652" s="347"/>
      <c r="N3652" s="347"/>
      <c r="O3652" s="132"/>
    </row>
    <row r="3653" spans="2:15" ht="26.25" customHeight="1" x14ac:dyDescent="0.25">
      <c r="B3653" s="130"/>
      <c r="C3653" s="135"/>
      <c r="D3653" s="177"/>
      <c r="E3653" s="178"/>
      <c r="F3653" s="178"/>
      <c r="G3653" s="340"/>
      <c r="H3653" s="340"/>
      <c r="I3653" s="179"/>
      <c r="J3653" s="344"/>
      <c r="K3653" s="345"/>
      <c r="L3653" s="346"/>
      <c r="M3653" s="347"/>
      <c r="N3653" s="347"/>
      <c r="O3653" s="132"/>
    </row>
    <row r="3654" spans="2:15" ht="26.25" customHeight="1" x14ac:dyDescent="0.25">
      <c r="B3654" s="130"/>
      <c r="C3654" s="135"/>
      <c r="D3654" s="177"/>
      <c r="E3654" s="178"/>
      <c r="F3654" s="178"/>
      <c r="G3654" s="340"/>
      <c r="H3654" s="340"/>
      <c r="I3654" s="179"/>
      <c r="J3654" s="344"/>
      <c r="K3654" s="345"/>
      <c r="L3654" s="346"/>
      <c r="M3654" s="347"/>
      <c r="N3654" s="347"/>
      <c r="O3654" s="132"/>
    </row>
    <row r="3655" spans="2:15" ht="26.25" customHeight="1" x14ac:dyDescent="0.25">
      <c r="B3655" s="130"/>
      <c r="C3655" s="135"/>
      <c r="D3655" s="177"/>
      <c r="E3655" s="178"/>
      <c r="F3655" s="178"/>
      <c r="G3655" s="340"/>
      <c r="H3655" s="340"/>
      <c r="I3655" s="179"/>
      <c r="J3655" s="344"/>
      <c r="K3655" s="345"/>
      <c r="L3655" s="346"/>
      <c r="M3655" s="347"/>
      <c r="N3655" s="347"/>
      <c r="O3655" s="132"/>
    </row>
    <row r="3656" spans="2:15" ht="26.25" customHeight="1" x14ac:dyDescent="0.25">
      <c r="B3656" s="130"/>
      <c r="C3656" s="135"/>
      <c r="D3656" s="177"/>
      <c r="E3656" s="178"/>
      <c r="F3656" s="178"/>
      <c r="G3656" s="340"/>
      <c r="H3656" s="340"/>
      <c r="I3656" s="179"/>
      <c r="J3656" s="344"/>
      <c r="K3656" s="345"/>
      <c r="L3656" s="346"/>
      <c r="M3656" s="347"/>
      <c r="N3656" s="347"/>
      <c r="O3656" s="132"/>
    </row>
    <row r="3657" spans="2:15" ht="26.25" customHeight="1" x14ac:dyDescent="0.25">
      <c r="B3657" s="130"/>
      <c r="C3657" s="135"/>
      <c r="D3657" s="177"/>
      <c r="E3657" s="178"/>
      <c r="F3657" s="178"/>
      <c r="G3657" s="340"/>
      <c r="H3657" s="340"/>
      <c r="I3657" s="179"/>
      <c r="J3657" s="344"/>
      <c r="K3657" s="345"/>
      <c r="L3657" s="346"/>
      <c r="M3657" s="347"/>
      <c r="N3657" s="347"/>
      <c r="O3657" s="132"/>
    </row>
    <row r="3658" spans="2:15" ht="26.25" customHeight="1" x14ac:dyDescent="0.25">
      <c r="B3658" s="130"/>
      <c r="C3658" s="135"/>
      <c r="D3658" s="177"/>
      <c r="E3658" s="178"/>
      <c r="F3658" s="178"/>
      <c r="G3658" s="340"/>
      <c r="H3658" s="340"/>
      <c r="I3658" s="179"/>
      <c r="J3658" s="344"/>
      <c r="K3658" s="345"/>
      <c r="L3658" s="346"/>
      <c r="M3658" s="347"/>
      <c r="N3658" s="347"/>
      <c r="O3658" s="132"/>
    </row>
    <row r="3659" spans="2:15" ht="26.25" customHeight="1" x14ac:dyDescent="0.25">
      <c r="B3659" s="130"/>
      <c r="C3659" s="135"/>
      <c r="D3659" s="177"/>
      <c r="E3659" s="178"/>
      <c r="F3659" s="178"/>
      <c r="G3659" s="340"/>
      <c r="H3659" s="340"/>
      <c r="I3659" s="179"/>
      <c r="J3659" s="344"/>
      <c r="K3659" s="345"/>
      <c r="L3659" s="346"/>
      <c r="M3659" s="347"/>
      <c r="N3659" s="347"/>
      <c r="O3659" s="132"/>
    </row>
    <row r="3660" spans="2:15" ht="26.25" customHeight="1" x14ac:dyDescent="0.25">
      <c r="B3660" s="130"/>
      <c r="C3660" s="135"/>
      <c r="D3660" s="177"/>
      <c r="E3660" s="178"/>
      <c r="F3660" s="178"/>
      <c r="G3660" s="340"/>
      <c r="H3660" s="340"/>
      <c r="I3660" s="179"/>
      <c r="J3660" s="344"/>
      <c r="K3660" s="345"/>
      <c r="L3660" s="346"/>
      <c r="M3660" s="347"/>
      <c r="N3660" s="347"/>
      <c r="O3660" s="132"/>
    </row>
    <row r="3661" spans="2:15" ht="26.25" customHeight="1" x14ac:dyDescent="0.25">
      <c r="B3661" s="130"/>
      <c r="C3661" s="135"/>
      <c r="D3661" s="177"/>
      <c r="E3661" s="178"/>
      <c r="F3661" s="178"/>
      <c r="G3661" s="340"/>
      <c r="H3661" s="340"/>
      <c r="I3661" s="179"/>
      <c r="J3661" s="344"/>
      <c r="K3661" s="345"/>
      <c r="L3661" s="346"/>
      <c r="M3661" s="347"/>
      <c r="N3661" s="347"/>
      <c r="O3661" s="132"/>
    </row>
    <row r="3662" spans="2:15" ht="26.25" customHeight="1" x14ac:dyDescent="0.25">
      <c r="B3662" s="130"/>
      <c r="C3662" s="135"/>
      <c r="D3662" s="177"/>
      <c r="E3662" s="178"/>
      <c r="F3662" s="178"/>
      <c r="G3662" s="340"/>
      <c r="H3662" s="340"/>
      <c r="I3662" s="179"/>
      <c r="J3662" s="344"/>
      <c r="K3662" s="345"/>
      <c r="L3662" s="346"/>
      <c r="M3662" s="347"/>
      <c r="N3662" s="347"/>
      <c r="O3662" s="132"/>
    </row>
    <row r="3663" spans="2:15" ht="26.25" customHeight="1" x14ac:dyDescent="0.25">
      <c r="B3663" s="130"/>
      <c r="C3663" s="135"/>
      <c r="D3663" s="177"/>
      <c r="E3663" s="178"/>
      <c r="F3663" s="178"/>
      <c r="G3663" s="340"/>
      <c r="H3663" s="340"/>
      <c r="I3663" s="179"/>
      <c r="J3663" s="344"/>
      <c r="K3663" s="345"/>
      <c r="L3663" s="346"/>
      <c r="M3663" s="347"/>
      <c r="N3663" s="347"/>
      <c r="O3663" s="132"/>
    </row>
    <row r="3664" spans="2:15" ht="26.25" customHeight="1" x14ac:dyDescent="0.25">
      <c r="B3664" s="130"/>
      <c r="C3664" s="135"/>
      <c r="D3664" s="177"/>
      <c r="E3664" s="178"/>
      <c r="F3664" s="178"/>
      <c r="G3664" s="340"/>
      <c r="H3664" s="340"/>
      <c r="I3664" s="179"/>
      <c r="J3664" s="344"/>
      <c r="K3664" s="345"/>
      <c r="L3664" s="346"/>
      <c r="M3664" s="347"/>
      <c r="N3664" s="347"/>
      <c r="O3664" s="132"/>
    </row>
    <row r="3665" spans="2:15" ht="26.25" customHeight="1" x14ac:dyDescent="0.25">
      <c r="B3665" s="130"/>
      <c r="C3665" s="135"/>
      <c r="D3665" s="177"/>
      <c r="E3665" s="178"/>
      <c r="F3665" s="178"/>
      <c r="G3665" s="340"/>
      <c r="H3665" s="340"/>
      <c r="I3665" s="179"/>
      <c r="J3665" s="344"/>
      <c r="K3665" s="345"/>
      <c r="L3665" s="346"/>
      <c r="M3665" s="347"/>
      <c r="N3665" s="347"/>
      <c r="O3665" s="132"/>
    </row>
    <row r="3666" spans="2:15" ht="26.25" customHeight="1" x14ac:dyDescent="0.25">
      <c r="B3666" s="130"/>
      <c r="C3666" s="135"/>
      <c r="D3666" s="177"/>
      <c r="E3666" s="178"/>
      <c r="F3666" s="178"/>
      <c r="G3666" s="340"/>
      <c r="H3666" s="340"/>
      <c r="I3666" s="179"/>
      <c r="J3666" s="344"/>
      <c r="K3666" s="345"/>
      <c r="L3666" s="346"/>
      <c r="M3666" s="347"/>
      <c r="N3666" s="347"/>
      <c r="O3666" s="132"/>
    </row>
    <row r="3667" spans="2:15" ht="26.25" customHeight="1" x14ac:dyDescent="0.25">
      <c r="B3667" s="130"/>
      <c r="C3667" s="135"/>
      <c r="D3667" s="177"/>
      <c r="E3667" s="178"/>
      <c r="F3667" s="178"/>
      <c r="G3667" s="340"/>
      <c r="H3667" s="340"/>
      <c r="I3667" s="179"/>
      <c r="J3667" s="344"/>
      <c r="K3667" s="345"/>
      <c r="L3667" s="346"/>
      <c r="M3667" s="347"/>
      <c r="N3667" s="347"/>
      <c r="O3667" s="132"/>
    </row>
    <row r="3668" spans="2:15" ht="26.25" customHeight="1" x14ac:dyDescent="0.25">
      <c r="B3668" s="130"/>
      <c r="C3668" s="135"/>
      <c r="D3668" s="177"/>
      <c r="E3668" s="178"/>
      <c r="F3668" s="178"/>
      <c r="G3668" s="340"/>
      <c r="H3668" s="340"/>
      <c r="I3668" s="179"/>
      <c r="J3668" s="344"/>
      <c r="K3668" s="345"/>
      <c r="L3668" s="346"/>
      <c r="M3668" s="347"/>
      <c r="N3668" s="347"/>
      <c r="O3668" s="132"/>
    </row>
    <row r="3669" spans="2:15" ht="26.25" customHeight="1" x14ac:dyDescent="0.25">
      <c r="B3669" s="130"/>
      <c r="C3669" s="135"/>
      <c r="D3669" s="177"/>
      <c r="E3669" s="178"/>
      <c r="F3669" s="178"/>
      <c r="G3669" s="340"/>
      <c r="H3669" s="340"/>
      <c r="I3669" s="179"/>
      <c r="J3669" s="344"/>
      <c r="K3669" s="345"/>
      <c r="L3669" s="346"/>
      <c r="M3669" s="347"/>
      <c r="N3669" s="347"/>
      <c r="O3669" s="132"/>
    </row>
    <row r="3670" spans="2:15" ht="26.25" customHeight="1" x14ac:dyDescent="0.25">
      <c r="B3670" s="130"/>
      <c r="C3670" s="135"/>
      <c r="D3670" s="177"/>
      <c r="E3670" s="178"/>
      <c r="F3670" s="178"/>
      <c r="G3670" s="340"/>
      <c r="H3670" s="340"/>
      <c r="I3670" s="179"/>
      <c r="J3670" s="344"/>
      <c r="K3670" s="345"/>
      <c r="L3670" s="346"/>
      <c r="M3670" s="347"/>
      <c r="N3670" s="347"/>
      <c r="O3670" s="132"/>
    </row>
    <row r="3671" spans="2:15" ht="26.25" customHeight="1" x14ac:dyDescent="0.25">
      <c r="B3671" s="130"/>
      <c r="C3671" s="135"/>
      <c r="D3671" s="177"/>
      <c r="E3671" s="178"/>
      <c r="F3671" s="178"/>
      <c r="G3671" s="340"/>
      <c r="H3671" s="340"/>
      <c r="I3671" s="179"/>
      <c r="J3671" s="344"/>
      <c r="K3671" s="345"/>
      <c r="L3671" s="346"/>
      <c r="M3671" s="347"/>
      <c r="N3671" s="347"/>
      <c r="O3671" s="132"/>
    </row>
    <row r="3672" spans="2:15" ht="26.25" customHeight="1" x14ac:dyDescent="0.25">
      <c r="B3672" s="130"/>
      <c r="C3672" s="135"/>
      <c r="D3672" s="177"/>
      <c r="E3672" s="178"/>
      <c r="F3672" s="178"/>
      <c r="G3672" s="340"/>
      <c r="H3672" s="340"/>
      <c r="I3672" s="179"/>
      <c r="J3672" s="344"/>
      <c r="K3672" s="345"/>
      <c r="L3672" s="346"/>
      <c r="M3672" s="347"/>
      <c r="N3672" s="347"/>
      <c r="O3672" s="132"/>
    </row>
    <row r="3673" spans="2:15" ht="26.25" customHeight="1" x14ac:dyDescent="0.25">
      <c r="B3673" s="130"/>
      <c r="C3673" s="135"/>
      <c r="D3673" s="177"/>
      <c r="E3673" s="178"/>
      <c r="F3673" s="178"/>
      <c r="G3673" s="340"/>
      <c r="H3673" s="340"/>
      <c r="I3673" s="179"/>
      <c r="J3673" s="344"/>
      <c r="K3673" s="345"/>
      <c r="L3673" s="346"/>
      <c r="M3673" s="347"/>
      <c r="N3673" s="347"/>
      <c r="O3673" s="132"/>
    </row>
    <row r="3674" spans="2:15" ht="26.25" customHeight="1" x14ac:dyDescent="0.25">
      <c r="B3674" s="130"/>
      <c r="C3674" s="135"/>
      <c r="D3674" s="177"/>
      <c r="E3674" s="178"/>
      <c r="F3674" s="178"/>
      <c r="G3674" s="340"/>
      <c r="H3674" s="340"/>
      <c r="I3674" s="179"/>
      <c r="J3674" s="344"/>
      <c r="K3674" s="345"/>
      <c r="L3674" s="346"/>
      <c r="M3674" s="347"/>
      <c r="N3674" s="347"/>
      <c r="O3674" s="132"/>
    </row>
    <row r="3675" spans="2:15" ht="26.25" customHeight="1" x14ac:dyDescent="0.25">
      <c r="B3675" s="130"/>
      <c r="C3675" s="135"/>
      <c r="D3675" s="177"/>
      <c r="E3675" s="178"/>
      <c r="F3675" s="178"/>
      <c r="G3675" s="340"/>
      <c r="H3675" s="340"/>
      <c r="I3675" s="179"/>
      <c r="J3675" s="344"/>
      <c r="K3675" s="345"/>
      <c r="L3675" s="346"/>
      <c r="M3675" s="347"/>
      <c r="N3675" s="347"/>
      <c r="O3675" s="132"/>
    </row>
    <row r="3676" spans="2:15" ht="26.25" customHeight="1" x14ac:dyDescent="0.25">
      <c r="B3676" s="130"/>
      <c r="C3676" s="135"/>
      <c r="D3676" s="177"/>
      <c r="E3676" s="178"/>
      <c r="F3676" s="178"/>
      <c r="G3676" s="340"/>
      <c r="H3676" s="340"/>
      <c r="I3676" s="179"/>
      <c r="J3676" s="344"/>
      <c r="K3676" s="345"/>
      <c r="L3676" s="346"/>
      <c r="M3676" s="347"/>
      <c r="N3676" s="347"/>
      <c r="O3676" s="132"/>
    </row>
    <row r="3677" spans="2:15" ht="26.25" customHeight="1" x14ac:dyDescent="0.25">
      <c r="B3677" s="130"/>
      <c r="C3677" s="135"/>
      <c r="D3677" s="177"/>
      <c r="E3677" s="178"/>
      <c r="F3677" s="178"/>
      <c r="G3677" s="340"/>
      <c r="H3677" s="340"/>
      <c r="I3677" s="179"/>
      <c r="J3677" s="344"/>
      <c r="K3677" s="345"/>
      <c r="L3677" s="346"/>
      <c r="M3677" s="347"/>
      <c r="N3677" s="347"/>
      <c r="O3677" s="132"/>
    </row>
    <row r="3678" spans="2:15" ht="26.25" customHeight="1" x14ac:dyDescent="0.25">
      <c r="B3678" s="130"/>
      <c r="C3678" s="135"/>
      <c r="D3678" s="177"/>
      <c r="E3678" s="178"/>
      <c r="F3678" s="178"/>
      <c r="G3678" s="340"/>
      <c r="H3678" s="340"/>
      <c r="I3678" s="179"/>
      <c r="J3678" s="344"/>
      <c r="K3678" s="345"/>
      <c r="L3678" s="346"/>
      <c r="M3678" s="347"/>
      <c r="N3678" s="347"/>
      <c r="O3678" s="132"/>
    </row>
    <row r="3679" spans="2:15" ht="26.25" customHeight="1" x14ac:dyDescent="0.25">
      <c r="B3679" s="130"/>
      <c r="C3679" s="135"/>
      <c r="D3679" s="177"/>
      <c r="E3679" s="178"/>
      <c r="F3679" s="178"/>
      <c r="G3679" s="340"/>
      <c r="H3679" s="340"/>
      <c r="I3679" s="179"/>
      <c r="J3679" s="344"/>
      <c r="K3679" s="345"/>
      <c r="L3679" s="346"/>
      <c r="M3679" s="347"/>
      <c r="N3679" s="347"/>
      <c r="O3679" s="132"/>
    </row>
    <row r="3680" spans="2:15" ht="26.25" customHeight="1" x14ac:dyDescent="0.25">
      <c r="B3680" s="130"/>
      <c r="C3680" s="135"/>
      <c r="D3680" s="177"/>
      <c r="E3680" s="178"/>
      <c r="F3680" s="178"/>
      <c r="G3680" s="340"/>
      <c r="H3680" s="340"/>
      <c r="I3680" s="179"/>
      <c r="J3680" s="344"/>
      <c r="K3680" s="345"/>
      <c r="L3680" s="346"/>
      <c r="M3680" s="347"/>
      <c r="N3680" s="347"/>
      <c r="O3680" s="132"/>
    </row>
    <row r="3681" spans="2:15" ht="26.25" customHeight="1" x14ac:dyDescent="0.25">
      <c r="B3681" s="130"/>
      <c r="C3681" s="135"/>
      <c r="D3681" s="177"/>
      <c r="E3681" s="178"/>
      <c r="F3681" s="178"/>
      <c r="G3681" s="340"/>
      <c r="H3681" s="340"/>
      <c r="I3681" s="179"/>
      <c r="J3681" s="344"/>
      <c r="K3681" s="345"/>
      <c r="L3681" s="346"/>
      <c r="M3681" s="347"/>
      <c r="N3681" s="347"/>
      <c r="O3681" s="132"/>
    </row>
    <row r="3682" spans="2:15" ht="26.25" customHeight="1" x14ac:dyDescent="0.25">
      <c r="B3682" s="130"/>
      <c r="C3682" s="135"/>
      <c r="D3682" s="177"/>
      <c r="E3682" s="178"/>
      <c r="F3682" s="178"/>
      <c r="G3682" s="340"/>
      <c r="H3682" s="340"/>
      <c r="I3682" s="179"/>
      <c r="J3682" s="344"/>
      <c r="K3682" s="345"/>
      <c r="L3682" s="346"/>
      <c r="M3682" s="347"/>
      <c r="N3682" s="347"/>
      <c r="O3682" s="132"/>
    </row>
    <row r="3683" spans="2:15" ht="26.25" customHeight="1" x14ac:dyDescent="0.25">
      <c r="B3683" s="130"/>
      <c r="C3683" s="135"/>
      <c r="D3683" s="177"/>
      <c r="E3683" s="178"/>
      <c r="F3683" s="178"/>
      <c r="G3683" s="340"/>
      <c r="H3683" s="340"/>
      <c r="I3683" s="179"/>
      <c r="J3683" s="344"/>
      <c r="K3683" s="345"/>
      <c r="L3683" s="346"/>
      <c r="M3683" s="347"/>
      <c r="N3683" s="347"/>
      <c r="O3683" s="132"/>
    </row>
    <row r="3684" spans="2:15" ht="26.25" customHeight="1" x14ac:dyDescent="0.25">
      <c r="B3684" s="130"/>
      <c r="C3684" s="135"/>
      <c r="D3684" s="177"/>
      <c r="E3684" s="178"/>
      <c r="F3684" s="178"/>
      <c r="G3684" s="340"/>
      <c r="H3684" s="340"/>
      <c r="I3684" s="179"/>
      <c r="J3684" s="344"/>
      <c r="K3684" s="345"/>
      <c r="L3684" s="346"/>
      <c r="M3684" s="347"/>
      <c r="N3684" s="347"/>
      <c r="O3684" s="132"/>
    </row>
    <row r="3685" spans="2:15" ht="26.25" customHeight="1" x14ac:dyDescent="0.25">
      <c r="B3685" s="130"/>
      <c r="C3685" s="135"/>
      <c r="D3685" s="177"/>
      <c r="E3685" s="178"/>
      <c r="F3685" s="178"/>
      <c r="G3685" s="340"/>
      <c r="H3685" s="340"/>
      <c r="I3685" s="179"/>
      <c r="J3685" s="344"/>
      <c r="K3685" s="345"/>
      <c r="L3685" s="346"/>
      <c r="M3685" s="347"/>
      <c r="N3685" s="347"/>
      <c r="O3685" s="132"/>
    </row>
    <row r="3686" spans="2:15" ht="26.25" customHeight="1" x14ac:dyDescent="0.25">
      <c r="B3686" s="130"/>
      <c r="C3686" s="135"/>
      <c r="D3686" s="177"/>
      <c r="E3686" s="178"/>
      <c r="F3686" s="178"/>
      <c r="G3686" s="340"/>
      <c r="H3686" s="340"/>
      <c r="I3686" s="179"/>
      <c r="J3686" s="344"/>
      <c r="K3686" s="345"/>
      <c r="L3686" s="346"/>
      <c r="M3686" s="347"/>
      <c r="N3686" s="347"/>
      <c r="O3686" s="132"/>
    </row>
    <row r="3687" spans="2:15" ht="26.25" customHeight="1" x14ac:dyDescent="0.25">
      <c r="B3687" s="130"/>
      <c r="C3687" s="135"/>
      <c r="D3687" s="177"/>
      <c r="E3687" s="178"/>
      <c r="F3687" s="178"/>
      <c r="G3687" s="340"/>
      <c r="H3687" s="340"/>
      <c r="I3687" s="179"/>
      <c r="J3687" s="344"/>
      <c r="K3687" s="345"/>
      <c r="L3687" s="346"/>
      <c r="M3687" s="347"/>
      <c r="N3687" s="347"/>
      <c r="O3687" s="132"/>
    </row>
    <row r="3688" spans="2:15" ht="26.25" customHeight="1" x14ac:dyDescent="0.25">
      <c r="B3688" s="130"/>
      <c r="C3688" s="135"/>
      <c r="D3688" s="177"/>
      <c r="E3688" s="178"/>
      <c r="F3688" s="178"/>
      <c r="G3688" s="340"/>
      <c r="H3688" s="340"/>
      <c r="I3688" s="179"/>
      <c r="J3688" s="344"/>
      <c r="K3688" s="345"/>
      <c r="L3688" s="346"/>
      <c r="M3688" s="347"/>
      <c r="N3688" s="347"/>
      <c r="O3688" s="132"/>
    </row>
    <row r="3689" spans="2:15" ht="26.25" customHeight="1" x14ac:dyDescent="0.25">
      <c r="B3689" s="130"/>
      <c r="C3689" s="135"/>
      <c r="D3689" s="177"/>
      <c r="E3689" s="178"/>
      <c r="F3689" s="178"/>
      <c r="G3689" s="340"/>
      <c r="H3689" s="340"/>
      <c r="I3689" s="179"/>
      <c r="J3689" s="344"/>
      <c r="K3689" s="345"/>
      <c r="L3689" s="346"/>
      <c r="M3689" s="347"/>
      <c r="N3689" s="347"/>
      <c r="O3689" s="132"/>
    </row>
    <row r="3690" spans="2:15" ht="26.25" customHeight="1" x14ac:dyDescent="0.25">
      <c r="B3690" s="130"/>
      <c r="C3690" s="135"/>
      <c r="D3690" s="177"/>
      <c r="E3690" s="178"/>
      <c r="F3690" s="178"/>
      <c r="G3690" s="340"/>
      <c r="H3690" s="340"/>
      <c r="I3690" s="179"/>
      <c r="J3690" s="344"/>
      <c r="K3690" s="345"/>
      <c r="L3690" s="346"/>
      <c r="M3690" s="347"/>
      <c r="N3690" s="347"/>
      <c r="O3690" s="132"/>
    </row>
    <row r="3691" spans="2:15" ht="26.25" customHeight="1" x14ac:dyDescent="0.25">
      <c r="B3691" s="130"/>
      <c r="C3691" s="135"/>
      <c r="D3691" s="177"/>
      <c r="E3691" s="178"/>
      <c r="F3691" s="178"/>
      <c r="G3691" s="340"/>
      <c r="H3691" s="340"/>
      <c r="I3691" s="179"/>
      <c r="J3691" s="344"/>
      <c r="K3691" s="345"/>
      <c r="L3691" s="346"/>
      <c r="M3691" s="347"/>
      <c r="N3691" s="347"/>
      <c r="O3691" s="132"/>
    </row>
    <row r="3692" spans="2:15" ht="26.25" customHeight="1" x14ac:dyDescent="0.25">
      <c r="B3692" s="130"/>
      <c r="C3692" s="135"/>
      <c r="D3692" s="177"/>
      <c r="E3692" s="178"/>
      <c r="F3692" s="178"/>
      <c r="G3692" s="340"/>
      <c r="H3692" s="340"/>
      <c r="I3692" s="179"/>
      <c r="J3692" s="344"/>
      <c r="K3692" s="345"/>
      <c r="L3692" s="346"/>
      <c r="M3692" s="347"/>
      <c r="N3692" s="347"/>
      <c r="O3692" s="132"/>
    </row>
    <row r="3693" spans="2:15" ht="26.25" customHeight="1" x14ac:dyDescent="0.25">
      <c r="B3693" s="130"/>
      <c r="C3693" s="135"/>
      <c r="D3693" s="177"/>
      <c r="E3693" s="178"/>
      <c r="F3693" s="178"/>
      <c r="G3693" s="340"/>
      <c r="H3693" s="340"/>
      <c r="I3693" s="179"/>
      <c r="J3693" s="344"/>
      <c r="K3693" s="345"/>
      <c r="L3693" s="346"/>
      <c r="M3693" s="347"/>
      <c r="N3693" s="347"/>
      <c r="O3693" s="132"/>
    </row>
    <row r="3694" spans="2:15" ht="26.25" customHeight="1" x14ac:dyDescent="0.25">
      <c r="B3694" s="130"/>
      <c r="C3694" s="135"/>
      <c r="D3694" s="177"/>
      <c r="E3694" s="178"/>
      <c r="F3694" s="178"/>
      <c r="G3694" s="340"/>
      <c r="H3694" s="340"/>
      <c r="I3694" s="179"/>
      <c r="J3694" s="344"/>
      <c r="K3694" s="345"/>
      <c r="L3694" s="346"/>
      <c r="M3694" s="347"/>
      <c r="N3694" s="347"/>
      <c r="O3694" s="132"/>
    </row>
    <row r="3695" spans="2:15" ht="26.25" customHeight="1" x14ac:dyDescent="0.25">
      <c r="B3695" s="130"/>
      <c r="C3695" s="135"/>
      <c r="D3695" s="177"/>
      <c r="E3695" s="178"/>
      <c r="F3695" s="178"/>
      <c r="G3695" s="340"/>
      <c r="H3695" s="340"/>
      <c r="I3695" s="179"/>
      <c r="J3695" s="344"/>
      <c r="K3695" s="345"/>
      <c r="L3695" s="346"/>
      <c r="M3695" s="347"/>
      <c r="N3695" s="347"/>
      <c r="O3695" s="132"/>
    </row>
    <row r="3696" spans="2:15" ht="26.25" customHeight="1" x14ac:dyDescent="0.25">
      <c r="B3696" s="130"/>
      <c r="C3696" s="135"/>
      <c r="D3696" s="177"/>
      <c r="E3696" s="178"/>
      <c r="F3696" s="178"/>
      <c r="G3696" s="340"/>
      <c r="H3696" s="340"/>
      <c r="I3696" s="179"/>
      <c r="J3696" s="344"/>
      <c r="K3696" s="345"/>
      <c r="L3696" s="346"/>
      <c r="M3696" s="347"/>
      <c r="N3696" s="347"/>
      <c r="O3696" s="132"/>
    </row>
    <row r="3697" spans="2:15" ht="26.25" customHeight="1" x14ac:dyDescent="0.25">
      <c r="B3697" s="130"/>
      <c r="C3697" s="135"/>
      <c r="D3697" s="177"/>
      <c r="E3697" s="178"/>
      <c r="F3697" s="178"/>
      <c r="G3697" s="340"/>
      <c r="H3697" s="340"/>
      <c r="I3697" s="179"/>
      <c r="J3697" s="344"/>
      <c r="K3697" s="345"/>
      <c r="L3697" s="346"/>
      <c r="M3697" s="347"/>
      <c r="N3697" s="347"/>
      <c r="O3697" s="132"/>
    </row>
    <row r="3698" spans="2:15" ht="26.25" customHeight="1" x14ac:dyDescent="0.25">
      <c r="B3698" s="130"/>
      <c r="C3698" s="135"/>
      <c r="D3698" s="177"/>
      <c r="E3698" s="178"/>
      <c r="F3698" s="178"/>
      <c r="G3698" s="340"/>
      <c r="H3698" s="340"/>
      <c r="I3698" s="179"/>
      <c r="J3698" s="344"/>
      <c r="K3698" s="345"/>
      <c r="L3698" s="346"/>
      <c r="M3698" s="347"/>
      <c r="N3698" s="347"/>
      <c r="O3698" s="132"/>
    </row>
    <row r="3699" spans="2:15" ht="26.25" customHeight="1" x14ac:dyDescent="0.25">
      <c r="B3699" s="130"/>
      <c r="C3699" s="135"/>
      <c r="D3699" s="177"/>
      <c r="E3699" s="178"/>
      <c r="F3699" s="178"/>
      <c r="G3699" s="340"/>
      <c r="H3699" s="340"/>
      <c r="I3699" s="179"/>
      <c r="J3699" s="344"/>
      <c r="K3699" s="345"/>
      <c r="L3699" s="346"/>
      <c r="M3699" s="347"/>
      <c r="N3699" s="347"/>
      <c r="O3699" s="132"/>
    </row>
    <row r="3700" spans="2:15" ht="26.25" customHeight="1" x14ac:dyDescent="0.25">
      <c r="B3700" s="130"/>
      <c r="C3700" s="135"/>
      <c r="D3700" s="177"/>
      <c r="E3700" s="178"/>
      <c r="F3700" s="178"/>
      <c r="G3700" s="340"/>
      <c r="H3700" s="340"/>
      <c r="I3700" s="179"/>
      <c r="J3700" s="344"/>
      <c r="K3700" s="345"/>
      <c r="L3700" s="346"/>
      <c r="M3700" s="347"/>
      <c r="N3700" s="347"/>
      <c r="O3700" s="132"/>
    </row>
    <row r="3701" spans="2:15" ht="26.25" customHeight="1" x14ac:dyDescent="0.25">
      <c r="B3701" s="130"/>
      <c r="C3701" s="135"/>
      <c r="D3701" s="177"/>
      <c r="E3701" s="178"/>
      <c r="F3701" s="178"/>
      <c r="G3701" s="340"/>
      <c r="H3701" s="340"/>
      <c r="I3701" s="179"/>
      <c r="J3701" s="344"/>
      <c r="K3701" s="345"/>
      <c r="L3701" s="346"/>
      <c r="M3701" s="347"/>
      <c r="N3701" s="347"/>
      <c r="O3701" s="132"/>
    </row>
    <row r="3702" spans="2:15" ht="26.25" customHeight="1" x14ac:dyDescent="0.25">
      <c r="B3702" s="130"/>
      <c r="C3702" s="135"/>
      <c r="D3702" s="177"/>
      <c r="E3702" s="178"/>
      <c r="F3702" s="178"/>
      <c r="G3702" s="340"/>
      <c r="H3702" s="340"/>
      <c r="I3702" s="179"/>
      <c r="J3702" s="344"/>
      <c r="K3702" s="345"/>
      <c r="L3702" s="346"/>
      <c r="M3702" s="347"/>
      <c r="N3702" s="347"/>
      <c r="O3702" s="132"/>
    </row>
    <row r="3703" spans="2:15" ht="26.25" customHeight="1" x14ac:dyDescent="0.25">
      <c r="B3703" s="130"/>
      <c r="C3703" s="135"/>
      <c r="D3703" s="177"/>
      <c r="E3703" s="178"/>
      <c r="F3703" s="178"/>
      <c r="G3703" s="340"/>
      <c r="H3703" s="340"/>
      <c r="I3703" s="179"/>
      <c r="J3703" s="344"/>
      <c r="K3703" s="345"/>
      <c r="L3703" s="346"/>
      <c r="M3703" s="347"/>
      <c r="N3703" s="347"/>
      <c r="O3703" s="132"/>
    </row>
    <row r="3704" spans="2:15" ht="26.25" customHeight="1" x14ac:dyDescent="0.25">
      <c r="B3704" s="130"/>
      <c r="C3704" s="135"/>
      <c r="D3704" s="177"/>
      <c r="E3704" s="178"/>
      <c r="F3704" s="178"/>
      <c r="G3704" s="340"/>
      <c r="H3704" s="340"/>
      <c r="I3704" s="179"/>
      <c r="J3704" s="344"/>
      <c r="K3704" s="345"/>
      <c r="L3704" s="346"/>
      <c r="M3704" s="347"/>
      <c r="N3704" s="347"/>
      <c r="O3704" s="132"/>
    </row>
    <row r="3705" spans="2:15" ht="26.25" customHeight="1" x14ac:dyDescent="0.25">
      <c r="B3705" s="130"/>
      <c r="C3705" s="135"/>
      <c r="D3705" s="177"/>
      <c r="E3705" s="178"/>
      <c r="F3705" s="178"/>
      <c r="G3705" s="340"/>
      <c r="H3705" s="340"/>
      <c r="I3705" s="179"/>
      <c r="J3705" s="344"/>
      <c r="K3705" s="345"/>
      <c r="L3705" s="346"/>
      <c r="M3705" s="347"/>
      <c r="N3705" s="347"/>
      <c r="O3705" s="132"/>
    </row>
    <row r="3706" spans="2:15" ht="26.25" customHeight="1" x14ac:dyDescent="0.25">
      <c r="B3706" s="130"/>
      <c r="C3706" s="135"/>
      <c r="D3706" s="177"/>
      <c r="E3706" s="178"/>
      <c r="F3706" s="178"/>
      <c r="G3706" s="340"/>
      <c r="H3706" s="340"/>
      <c r="I3706" s="179"/>
      <c r="J3706" s="344"/>
      <c r="K3706" s="345"/>
      <c r="L3706" s="346"/>
      <c r="M3706" s="347"/>
      <c r="N3706" s="347"/>
      <c r="O3706" s="132"/>
    </row>
    <row r="3707" spans="2:15" ht="26.25" customHeight="1" x14ac:dyDescent="0.25">
      <c r="B3707" s="130"/>
      <c r="C3707" s="135"/>
      <c r="D3707" s="177"/>
      <c r="E3707" s="178"/>
      <c r="F3707" s="178"/>
      <c r="G3707" s="340"/>
      <c r="H3707" s="340"/>
      <c r="I3707" s="179"/>
      <c r="J3707" s="344"/>
      <c r="K3707" s="345"/>
      <c r="L3707" s="346"/>
      <c r="M3707" s="347"/>
      <c r="N3707" s="347"/>
      <c r="O3707" s="132"/>
    </row>
    <row r="3708" spans="2:15" ht="26.25" customHeight="1" x14ac:dyDescent="0.25">
      <c r="B3708" s="130"/>
      <c r="C3708" s="135"/>
      <c r="D3708" s="177"/>
      <c r="E3708" s="178"/>
      <c r="F3708" s="178"/>
      <c r="G3708" s="340"/>
      <c r="H3708" s="340"/>
      <c r="I3708" s="179"/>
      <c r="J3708" s="344"/>
      <c r="K3708" s="345"/>
      <c r="L3708" s="346"/>
      <c r="M3708" s="347"/>
      <c r="N3708" s="347"/>
      <c r="O3708" s="132"/>
    </row>
    <row r="3709" spans="2:15" ht="26.25" customHeight="1" x14ac:dyDescent="0.25">
      <c r="B3709" s="130"/>
      <c r="C3709" s="135"/>
      <c r="D3709" s="177"/>
      <c r="E3709" s="178"/>
      <c r="F3709" s="178"/>
      <c r="G3709" s="340"/>
      <c r="H3709" s="340"/>
      <c r="I3709" s="179"/>
      <c r="J3709" s="344"/>
      <c r="K3709" s="345"/>
      <c r="L3709" s="346"/>
      <c r="M3709" s="347"/>
      <c r="N3709" s="347"/>
      <c r="O3709" s="132"/>
    </row>
    <row r="3710" spans="2:15" ht="26.25" customHeight="1" x14ac:dyDescent="0.25">
      <c r="B3710" s="130"/>
      <c r="C3710" s="135"/>
      <c r="D3710" s="177"/>
      <c r="E3710" s="178"/>
      <c r="F3710" s="178"/>
      <c r="G3710" s="340"/>
      <c r="H3710" s="340"/>
      <c r="I3710" s="179"/>
      <c r="J3710" s="344"/>
      <c r="K3710" s="345"/>
      <c r="L3710" s="346"/>
      <c r="M3710" s="347"/>
      <c r="N3710" s="347"/>
      <c r="O3710" s="132"/>
    </row>
    <row r="3711" spans="2:15" ht="26.25" customHeight="1" x14ac:dyDescent="0.25">
      <c r="B3711" s="130"/>
      <c r="C3711" s="135"/>
      <c r="D3711" s="177"/>
      <c r="E3711" s="178"/>
      <c r="F3711" s="178"/>
      <c r="G3711" s="340"/>
      <c r="H3711" s="340"/>
      <c r="I3711" s="179"/>
      <c r="J3711" s="344"/>
      <c r="K3711" s="345"/>
      <c r="L3711" s="346"/>
      <c r="M3711" s="347"/>
      <c r="N3711" s="347"/>
      <c r="O3711" s="132"/>
    </row>
    <row r="3712" spans="2:15" ht="26.25" customHeight="1" x14ac:dyDescent="0.25">
      <c r="B3712" s="130"/>
      <c r="C3712" s="135"/>
      <c r="D3712" s="177"/>
      <c r="E3712" s="178"/>
      <c r="F3712" s="178"/>
      <c r="G3712" s="340"/>
      <c r="H3712" s="340"/>
      <c r="I3712" s="179"/>
      <c r="J3712" s="344"/>
      <c r="K3712" s="345"/>
      <c r="L3712" s="346"/>
      <c r="M3712" s="347"/>
      <c r="N3712" s="347"/>
      <c r="O3712" s="132"/>
    </row>
    <row r="3713" spans="2:15" ht="26.25" customHeight="1" x14ac:dyDescent="0.25">
      <c r="B3713" s="130"/>
      <c r="C3713" s="135"/>
      <c r="D3713" s="177"/>
      <c r="E3713" s="178"/>
      <c r="F3713" s="178"/>
      <c r="G3713" s="340"/>
      <c r="H3713" s="340"/>
      <c r="I3713" s="179"/>
      <c r="J3713" s="344"/>
      <c r="K3713" s="345"/>
      <c r="L3713" s="346"/>
      <c r="M3713" s="347"/>
      <c r="N3713" s="347"/>
      <c r="O3713" s="132"/>
    </row>
    <row r="3714" spans="2:15" ht="26.25" customHeight="1" x14ac:dyDescent="0.25">
      <c r="B3714" s="130"/>
      <c r="C3714" s="135"/>
      <c r="D3714" s="177"/>
      <c r="E3714" s="178"/>
      <c r="F3714" s="178"/>
      <c r="G3714" s="340"/>
      <c r="H3714" s="340"/>
      <c r="I3714" s="179"/>
      <c r="J3714" s="344"/>
      <c r="K3714" s="345"/>
      <c r="L3714" s="346"/>
      <c r="M3714" s="347"/>
      <c r="N3714" s="347"/>
      <c r="O3714" s="132"/>
    </row>
    <row r="3715" spans="2:15" ht="26.25" customHeight="1" x14ac:dyDescent="0.25">
      <c r="B3715" s="130"/>
      <c r="C3715" s="135"/>
      <c r="D3715" s="177"/>
      <c r="E3715" s="178"/>
      <c r="F3715" s="178"/>
      <c r="G3715" s="340"/>
      <c r="H3715" s="340"/>
      <c r="I3715" s="179"/>
      <c r="J3715" s="344"/>
      <c r="K3715" s="345"/>
      <c r="L3715" s="346"/>
      <c r="M3715" s="347"/>
      <c r="N3715" s="347"/>
      <c r="O3715" s="132"/>
    </row>
    <row r="3716" spans="2:15" ht="26.25" customHeight="1" x14ac:dyDescent="0.25">
      <c r="B3716" s="130"/>
      <c r="C3716" s="135"/>
      <c r="D3716" s="177"/>
      <c r="E3716" s="178"/>
      <c r="F3716" s="178"/>
      <c r="G3716" s="340"/>
      <c r="H3716" s="340"/>
      <c r="I3716" s="179"/>
      <c r="J3716" s="344"/>
      <c r="K3716" s="345"/>
      <c r="L3716" s="346"/>
      <c r="M3716" s="347"/>
      <c r="N3716" s="347"/>
      <c r="O3716" s="132"/>
    </row>
    <row r="3717" spans="2:15" ht="26.25" customHeight="1" x14ac:dyDescent="0.25">
      <c r="B3717" s="130"/>
      <c r="C3717" s="135"/>
      <c r="D3717" s="177"/>
      <c r="E3717" s="178"/>
      <c r="F3717" s="178"/>
      <c r="G3717" s="340"/>
      <c r="H3717" s="340"/>
      <c r="I3717" s="179"/>
      <c r="J3717" s="344"/>
      <c r="K3717" s="345"/>
      <c r="L3717" s="346"/>
      <c r="M3717" s="347"/>
      <c r="N3717" s="347"/>
      <c r="O3717" s="132"/>
    </row>
    <row r="3718" spans="2:15" ht="26.25" customHeight="1" x14ac:dyDescent="0.25">
      <c r="B3718" s="130"/>
      <c r="C3718" s="135"/>
      <c r="D3718" s="177"/>
      <c r="E3718" s="178"/>
      <c r="F3718" s="178"/>
      <c r="G3718" s="340"/>
      <c r="H3718" s="340"/>
      <c r="I3718" s="179"/>
      <c r="J3718" s="344"/>
      <c r="K3718" s="345"/>
      <c r="L3718" s="346"/>
      <c r="M3718" s="347"/>
      <c r="N3718" s="347"/>
      <c r="O3718" s="132"/>
    </row>
    <row r="3719" spans="2:15" ht="26.25" customHeight="1" x14ac:dyDescent="0.25">
      <c r="B3719" s="130"/>
      <c r="C3719" s="135"/>
      <c r="D3719" s="177"/>
      <c r="E3719" s="178"/>
      <c r="F3719" s="178"/>
      <c r="G3719" s="340"/>
      <c r="H3719" s="340"/>
      <c r="I3719" s="179"/>
      <c r="J3719" s="344"/>
      <c r="K3719" s="345"/>
      <c r="L3719" s="346"/>
      <c r="M3719" s="347"/>
      <c r="N3719" s="347"/>
      <c r="O3719" s="132"/>
    </row>
    <row r="3720" spans="2:15" ht="26.25" customHeight="1" x14ac:dyDescent="0.25">
      <c r="B3720" s="130"/>
      <c r="C3720" s="135"/>
      <c r="D3720" s="177"/>
      <c r="E3720" s="178"/>
      <c r="F3720" s="178"/>
      <c r="G3720" s="340"/>
      <c r="H3720" s="340"/>
      <c r="I3720" s="179"/>
      <c r="J3720" s="344"/>
      <c r="K3720" s="345"/>
      <c r="L3720" s="346"/>
      <c r="M3720" s="347"/>
      <c r="N3720" s="347"/>
      <c r="O3720" s="132"/>
    </row>
    <row r="3721" spans="2:15" ht="26.25" customHeight="1" x14ac:dyDescent="0.25">
      <c r="B3721" s="130"/>
      <c r="C3721" s="135"/>
      <c r="D3721" s="177"/>
      <c r="E3721" s="178"/>
      <c r="F3721" s="178"/>
      <c r="G3721" s="340"/>
      <c r="H3721" s="340"/>
      <c r="I3721" s="179"/>
      <c r="J3721" s="344"/>
      <c r="K3721" s="345"/>
      <c r="L3721" s="346"/>
      <c r="M3721" s="347"/>
      <c r="N3721" s="347"/>
      <c r="O3721" s="132"/>
    </row>
    <row r="3722" spans="2:15" ht="26.25" customHeight="1" x14ac:dyDescent="0.25">
      <c r="B3722" s="130"/>
      <c r="C3722" s="135"/>
      <c r="D3722" s="177"/>
      <c r="E3722" s="178"/>
      <c r="F3722" s="178"/>
      <c r="G3722" s="340"/>
      <c r="H3722" s="340"/>
      <c r="I3722" s="179"/>
      <c r="J3722" s="344"/>
      <c r="K3722" s="345"/>
      <c r="L3722" s="346"/>
      <c r="M3722" s="347"/>
      <c r="N3722" s="347"/>
      <c r="O3722" s="132"/>
    </row>
    <row r="3723" spans="2:15" ht="26.25" customHeight="1" x14ac:dyDescent="0.25">
      <c r="B3723" s="130"/>
      <c r="C3723" s="135"/>
      <c r="D3723" s="177"/>
      <c r="E3723" s="178"/>
      <c r="F3723" s="178"/>
      <c r="G3723" s="340"/>
      <c r="H3723" s="340"/>
      <c r="I3723" s="179"/>
      <c r="J3723" s="344"/>
      <c r="K3723" s="345"/>
      <c r="L3723" s="346"/>
      <c r="M3723" s="347"/>
      <c r="N3723" s="347"/>
      <c r="O3723" s="132"/>
    </row>
    <row r="3724" spans="2:15" ht="26.25" customHeight="1" x14ac:dyDescent="0.25">
      <c r="B3724" s="130"/>
      <c r="C3724" s="135"/>
      <c r="D3724" s="177"/>
      <c r="E3724" s="178"/>
      <c r="F3724" s="178"/>
      <c r="G3724" s="340"/>
      <c r="H3724" s="340"/>
      <c r="I3724" s="179"/>
      <c r="J3724" s="344"/>
      <c r="K3724" s="345"/>
      <c r="L3724" s="346"/>
      <c r="M3724" s="347"/>
      <c r="N3724" s="347"/>
      <c r="O3724" s="132"/>
    </row>
    <row r="3725" spans="2:15" ht="26.25" customHeight="1" x14ac:dyDescent="0.25">
      <c r="B3725" s="130"/>
      <c r="C3725" s="135"/>
      <c r="D3725" s="177"/>
      <c r="E3725" s="178"/>
      <c r="F3725" s="178"/>
      <c r="G3725" s="340"/>
      <c r="H3725" s="340"/>
      <c r="I3725" s="179"/>
      <c r="J3725" s="344"/>
      <c r="K3725" s="345"/>
      <c r="L3725" s="346"/>
      <c r="M3725" s="347"/>
      <c r="N3725" s="347"/>
      <c r="O3725" s="132"/>
    </row>
    <row r="3726" spans="2:15" ht="26.25" customHeight="1" x14ac:dyDescent="0.25">
      <c r="B3726" s="130"/>
      <c r="C3726" s="135"/>
      <c r="D3726" s="177"/>
      <c r="E3726" s="178"/>
      <c r="F3726" s="178"/>
      <c r="G3726" s="340"/>
      <c r="H3726" s="340"/>
      <c r="I3726" s="179"/>
      <c r="J3726" s="344"/>
      <c r="K3726" s="345"/>
      <c r="L3726" s="346"/>
      <c r="M3726" s="347"/>
      <c r="N3726" s="347"/>
      <c r="O3726" s="132"/>
    </row>
    <row r="3727" spans="2:15" ht="26.25" customHeight="1" x14ac:dyDescent="0.25">
      <c r="B3727" s="130"/>
      <c r="C3727" s="135"/>
      <c r="D3727" s="177"/>
      <c r="E3727" s="178"/>
      <c r="F3727" s="178"/>
      <c r="G3727" s="340"/>
      <c r="H3727" s="340"/>
      <c r="I3727" s="179"/>
      <c r="J3727" s="344"/>
      <c r="K3727" s="345"/>
      <c r="L3727" s="346"/>
      <c r="M3727" s="347"/>
      <c r="N3727" s="347"/>
      <c r="O3727" s="132"/>
    </row>
    <row r="3728" spans="2:15" ht="26.25" customHeight="1" x14ac:dyDescent="0.25">
      <c r="B3728" s="130"/>
      <c r="C3728" s="135"/>
      <c r="D3728" s="177"/>
      <c r="E3728" s="178"/>
      <c r="F3728" s="178"/>
      <c r="G3728" s="340"/>
      <c r="H3728" s="340"/>
      <c r="I3728" s="179"/>
      <c r="J3728" s="344"/>
      <c r="K3728" s="345"/>
      <c r="L3728" s="346"/>
      <c r="M3728" s="347"/>
      <c r="N3728" s="347"/>
      <c r="O3728" s="132"/>
    </row>
    <row r="3729" spans="2:15" ht="26.25" customHeight="1" x14ac:dyDescent="0.25">
      <c r="B3729" s="130"/>
      <c r="C3729" s="135"/>
      <c r="D3729" s="177"/>
      <c r="E3729" s="178"/>
      <c r="F3729" s="178"/>
      <c r="G3729" s="340"/>
      <c r="H3729" s="340"/>
      <c r="I3729" s="179"/>
      <c r="J3729" s="344"/>
      <c r="K3729" s="345"/>
      <c r="L3729" s="346"/>
      <c r="M3729" s="347"/>
      <c r="N3729" s="347"/>
      <c r="O3729" s="132"/>
    </row>
    <row r="3730" spans="2:15" ht="26.25" customHeight="1" x14ac:dyDescent="0.25">
      <c r="B3730" s="130"/>
      <c r="C3730" s="135"/>
      <c r="D3730" s="177"/>
      <c r="E3730" s="178"/>
      <c r="F3730" s="178"/>
      <c r="G3730" s="340"/>
      <c r="H3730" s="340"/>
      <c r="I3730" s="179"/>
      <c r="J3730" s="344"/>
      <c r="K3730" s="345"/>
      <c r="L3730" s="346"/>
      <c r="M3730" s="347"/>
      <c r="N3730" s="347"/>
      <c r="O3730" s="132"/>
    </row>
    <row r="3731" spans="2:15" ht="26.25" customHeight="1" x14ac:dyDescent="0.25">
      <c r="B3731" s="130"/>
      <c r="C3731" s="135"/>
      <c r="D3731" s="177"/>
      <c r="E3731" s="178"/>
      <c r="F3731" s="178"/>
      <c r="G3731" s="340"/>
      <c r="H3731" s="340"/>
      <c r="I3731" s="179"/>
      <c r="J3731" s="344"/>
      <c r="K3731" s="345"/>
      <c r="L3731" s="346"/>
      <c r="M3731" s="347"/>
      <c r="N3731" s="347"/>
      <c r="O3731" s="132"/>
    </row>
    <row r="3732" spans="2:15" ht="26.25" customHeight="1" x14ac:dyDescent="0.25">
      <c r="B3732" s="130"/>
      <c r="C3732" s="135"/>
      <c r="D3732" s="177"/>
      <c r="E3732" s="178"/>
      <c r="F3732" s="178"/>
      <c r="G3732" s="340"/>
      <c r="H3732" s="340"/>
      <c r="I3732" s="179"/>
      <c r="J3732" s="344"/>
      <c r="K3732" s="345"/>
      <c r="L3732" s="346"/>
      <c r="M3732" s="347"/>
      <c r="N3732" s="347"/>
      <c r="O3732" s="132"/>
    </row>
    <row r="3733" spans="2:15" ht="26.25" customHeight="1" x14ac:dyDescent="0.25">
      <c r="B3733" s="130"/>
      <c r="C3733" s="135"/>
      <c r="D3733" s="177"/>
      <c r="E3733" s="178"/>
      <c r="F3733" s="178"/>
      <c r="G3733" s="340"/>
      <c r="H3733" s="340"/>
      <c r="I3733" s="179"/>
      <c r="J3733" s="344"/>
      <c r="K3733" s="345"/>
      <c r="L3733" s="346"/>
      <c r="M3733" s="347"/>
      <c r="N3733" s="347"/>
      <c r="O3733" s="132"/>
    </row>
    <row r="3734" spans="2:15" ht="26.25" customHeight="1" x14ac:dyDescent="0.25">
      <c r="B3734" s="130"/>
      <c r="C3734" s="135"/>
      <c r="D3734" s="177"/>
      <c r="E3734" s="178"/>
      <c r="F3734" s="178"/>
      <c r="G3734" s="340"/>
      <c r="H3734" s="340"/>
      <c r="I3734" s="179"/>
      <c r="J3734" s="344"/>
      <c r="K3734" s="345"/>
      <c r="L3734" s="346"/>
      <c r="M3734" s="347"/>
      <c r="N3734" s="347"/>
      <c r="O3734" s="132"/>
    </row>
    <row r="3735" spans="2:15" ht="26.25" customHeight="1" x14ac:dyDescent="0.25">
      <c r="B3735" s="130"/>
      <c r="C3735" s="135"/>
      <c r="D3735" s="177"/>
      <c r="E3735" s="178"/>
      <c r="F3735" s="178"/>
      <c r="G3735" s="340"/>
      <c r="H3735" s="340"/>
      <c r="I3735" s="179"/>
      <c r="J3735" s="344"/>
      <c r="K3735" s="345"/>
      <c r="L3735" s="346"/>
      <c r="M3735" s="347"/>
      <c r="N3735" s="347"/>
      <c r="O3735" s="132"/>
    </row>
    <row r="3736" spans="2:15" ht="26.25" customHeight="1" x14ac:dyDescent="0.25">
      <c r="B3736" s="130"/>
      <c r="C3736" s="135"/>
      <c r="D3736" s="177"/>
      <c r="E3736" s="178"/>
      <c r="F3736" s="178"/>
      <c r="G3736" s="340"/>
      <c r="H3736" s="340"/>
      <c r="I3736" s="179"/>
      <c r="J3736" s="344"/>
      <c r="K3736" s="345"/>
      <c r="L3736" s="346"/>
      <c r="M3736" s="347"/>
      <c r="N3736" s="347"/>
      <c r="O3736" s="132"/>
    </row>
    <row r="3737" spans="2:15" ht="26.25" customHeight="1" x14ac:dyDescent="0.25">
      <c r="B3737" s="130"/>
      <c r="C3737" s="135"/>
      <c r="D3737" s="177"/>
      <c r="E3737" s="178"/>
      <c r="F3737" s="178"/>
      <c r="G3737" s="340"/>
      <c r="H3737" s="340"/>
      <c r="I3737" s="179"/>
      <c r="J3737" s="344"/>
      <c r="K3737" s="345"/>
      <c r="L3737" s="346"/>
      <c r="M3737" s="347"/>
      <c r="N3737" s="347"/>
      <c r="O3737" s="132"/>
    </row>
    <row r="3738" spans="2:15" ht="26.25" customHeight="1" x14ac:dyDescent="0.25">
      <c r="B3738" s="130"/>
      <c r="C3738" s="135"/>
      <c r="D3738" s="177"/>
      <c r="E3738" s="178"/>
      <c r="F3738" s="178"/>
      <c r="G3738" s="340"/>
      <c r="H3738" s="340"/>
      <c r="I3738" s="179"/>
      <c r="J3738" s="344"/>
      <c r="K3738" s="345"/>
      <c r="L3738" s="346"/>
      <c r="M3738" s="347"/>
      <c r="N3738" s="347"/>
      <c r="O3738" s="132"/>
    </row>
    <row r="3739" spans="2:15" ht="26.25" customHeight="1" x14ac:dyDescent="0.25">
      <c r="B3739" s="130"/>
      <c r="C3739" s="135"/>
      <c r="D3739" s="177"/>
      <c r="E3739" s="178"/>
      <c r="F3739" s="178"/>
      <c r="G3739" s="340"/>
      <c r="H3739" s="340"/>
      <c r="I3739" s="179"/>
      <c r="J3739" s="344"/>
      <c r="K3739" s="345"/>
      <c r="L3739" s="346"/>
      <c r="M3739" s="347"/>
      <c r="N3739" s="347"/>
      <c r="O3739" s="132"/>
    </row>
    <row r="3740" spans="2:15" ht="26.25" customHeight="1" x14ac:dyDescent="0.25">
      <c r="B3740" s="130"/>
      <c r="C3740" s="135"/>
      <c r="D3740" s="177"/>
      <c r="E3740" s="178"/>
      <c r="F3740" s="178"/>
      <c r="G3740" s="340"/>
      <c r="H3740" s="340"/>
      <c r="I3740" s="179"/>
      <c r="J3740" s="344"/>
      <c r="K3740" s="345"/>
      <c r="L3740" s="346"/>
      <c r="M3740" s="347"/>
      <c r="N3740" s="347"/>
      <c r="O3740" s="132"/>
    </row>
    <row r="3741" spans="2:15" ht="26.25" customHeight="1" x14ac:dyDescent="0.25">
      <c r="B3741" s="130"/>
      <c r="C3741" s="135"/>
      <c r="D3741" s="177"/>
      <c r="E3741" s="178"/>
      <c r="F3741" s="178"/>
      <c r="G3741" s="340"/>
      <c r="H3741" s="340"/>
      <c r="I3741" s="179"/>
      <c r="J3741" s="344"/>
      <c r="K3741" s="345"/>
      <c r="L3741" s="346"/>
      <c r="M3741" s="347"/>
      <c r="N3741" s="347"/>
      <c r="O3741" s="132"/>
    </row>
    <row r="3742" spans="2:15" ht="26.25" customHeight="1" x14ac:dyDescent="0.25">
      <c r="B3742" s="130"/>
      <c r="C3742" s="135"/>
      <c r="D3742" s="177"/>
      <c r="E3742" s="178"/>
      <c r="F3742" s="178"/>
      <c r="G3742" s="340"/>
      <c r="H3742" s="340"/>
      <c r="I3742" s="179"/>
      <c r="J3742" s="344"/>
      <c r="K3742" s="345"/>
      <c r="L3742" s="346"/>
      <c r="M3742" s="347"/>
      <c r="N3742" s="347"/>
      <c r="O3742" s="132"/>
    </row>
    <row r="3743" spans="2:15" ht="26.25" customHeight="1" x14ac:dyDescent="0.25">
      <c r="B3743" s="130"/>
      <c r="C3743" s="135"/>
      <c r="D3743" s="177"/>
      <c r="E3743" s="178"/>
      <c r="F3743" s="178"/>
      <c r="G3743" s="340"/>
      <c r="H3743" s="340"/>
      <c r="I3743" s="179"/>
      <c r="J3743" s="344"/>
      <c r="K3743" s="345"/>
      <c r="L3743" s="346"/>
      <c r="M3743" s="347"/>
      <c r="N3743" s="347"/>
      <c r="O3743" s="132"/>
    </row>
    <row r="3744" spans="2:15" ht="26.25" customHeight="1" x14ac:dyDescent="0.25">
      <c r="B3744" s="130"/>
      <c r="C3744" s="135"/>
      <c r="D3744" s="177"/>
      <c r="E3744" s="178"/>
      <c r="F3744" s="178"/>
      <c r="G3744" s="340"/>
      <c r="H3744" s="340"/>
      <c r="I3744" s="179"/>
      <c r="J3744" s="344"/>
      <c r="K3744" s="345"/>
      <c r="L3744" s="346"/>
      <c r="M3744" s="347"/>
      <c r="N3744" s="347"/>
      <c r="O3744" s="132"/>
    </row>
    <row r="3745" spans="2:15" ht="26.25" customHeight="1" x14ac:dyDescent="0.25">
      <c r="B3745" s="130"/>
      <c r="C3745" s="135"/>
      <c r="D3745" s="177"/>
      <c r="E3745" s="178"/>
      <c r="F3745" s="178"/>
      <c r="G3745" s="340"/>
      <c r="H3745" s="340"/>
      <c r="I3745" s="179"/>
      <c r="J3745" s="344"/>
      <c r="K3745" s="345"/>
      <c r="L3745" s="346"/>
      <c r="M3745" s="347"/>
      <c r="N3745" s="347"/>
      <c r="O3745" s="132"/>
    </row>
    <row r="3746" spans="2:15" ht="26.25" customHeight="1" x14ac:dyDescent="0.25">
      <c r="B3746" s="130"/>
      <c r="C3746" s="135"/>
      <c r="D3746" s="177"/>
      <c r="E3746" s="178"/>
      <c r="F3746" s="178"/>
      <c r="G3746" s="340"/>
      <c r="H3746" s="340"/>
      <c r="I3746" s="179"/>
      <c r="J3746" s="344"/>
      <c r="K3746" s="345"/>
      <c r="L3746" s="346"/>
      <c r="M3746" s="347"/>
      <c r="N3746" s="347"/>
      <c r="O3746" s="132"/>
    </row>
    <row r="3747" spans="2:15" ht="26.25" customHeight="1" x14ac:dyDescent="0.25">
      <c r="B3747" s="130"/>
      <c r="C3747" s="135"/>
      <c r="D3747" s="177"/>
      <c r="E3747" s="178"/>
      <c r="F3747" s="178"/>
      <c r="G3747" s="340"/>
      <c r="H3747" s="340"/>
      <c r="I3747" s="179"/>
      <c r="J3747" s="344"/>
      <c r="K3747" s="345"/>
      <c r="L3747" s="346"/>
      <c r="M3747" s="347"/>
      <c r="N3747" s="347"/>
      <c r="O3747" s="132"/>
    </row>
    <row r="3748" spans="2:15" ht="26.25" customHeight="1" x14ac:dyDescent="0.25">
      <c r="B3748" s="130"/>
      <c r="C3748" s="135"/>
      <c r="D3748" s="177"/>
      <c r="E3748" s="178"/>
      <c r="F3748" s="178"/>
      <c r="G3748" s="340"/>
      <c r="H3748" s="340"/>
      <c r="I3748" s="179"/>
      <c r="J3748" s="344"/>
      <c r="K3748" s="345"/>
      <c r="L3748" s="346"/>
      <c r="M3748" s="347"/>
      <c r="N3748" s="347"/>
      <c r="O3748" s="132"/>
    </row>
    <row r="3749" spans="2:15" ht="26.25" customHeight="1" x14ac:dyDescent="0.25">
      <c r="B3749" s="130"/>
      <c r="C3749" s="135"/>
      <c r="D3749" s="177"/>
      <c r="E3749" s="178"/>
      <c r="F3749" s="178"/>
      <c r="G3749" s="340"/>
      <c r="H3749" s="340"/>
      <c r="I3749" s="179"/>
      <c r="J3749" s="344"/>
      <c r="K3749" s="345"/>
      <c r="L3749" s="346"/>
      <c r="M3749" s="347"/>
      <c r="N3749" s="347"/>
      <c r="O3749" s="132"/>
    </row>
    <row r="3750" spans="2:15" ht="26.25" customHeight="1" x14ac:dyDescent="0.25">
      <c r="B3750" s="130"/>
      <c r="C3750" s="135"/>
      <c r="D3750" s="177"/>
      <c r="E3750" s="178"/>
      <c r="F3750" s="178"/>
      <c r="G3750" s="340"/>
      <c r="H3750" s="340"/>
      <c r="I3750" s="179"/>
      <c r="J3750" s="344"/>
      <c r="K3750" s="345"/>
      <c r="L3750" s="346"/>
      <c r="M3750" s="347"/>
      <c r="N3750" s="347"/>
      <c r="O3750" s="132"/>
    </row>
    <row r="3751" spans="2:15" ht="26.25" customHeight="1" x14ac:dyDescent="0.25">
      <c r="B3751" s="130"/>
      <c r="C3751" s="135"/>
      <c r="D3751" s="177"/>
      <c r="E3751" s="178"/>
      <c r="F3751" s="178"/>
      <c r="G3751" s="340"/>
      <c r="H3751" s="340"/>
      <c r="I3751" s="179"/>
      <c r="J3751" s="344"/>
      <c r="K3751" s="345"/>
      <c r="L3751" s="346"/>
      <c r="M3751" s="347"/>
      <c r="N3751" s="347"/>
      <c r="O3751" s="132"/>
    </row>
    <row r="3752" spans="2:15" ht="26.25" customHeight="1" x14ac:dyDescent="0.25">
      <c r="B3752" s="130"/>
      <c r="C3752" s="135"/>
      <c r="D3752" s="177"/>
      <c r="E3752" s="178"/>
      <c r="F3752" s="178"/>
      <c r="G3752" s="340"/>
      <c r="H3752" s="340"/>
      <c r="I3752" s="179"/>
      <c r="J3752" s="344"/>
      <c r="K3752" s="345"/>
      <c r="L3752" s="346"/>
      <c r="M3752" s="347"/>
      <c r="N3752" s="347"/>
      <c r="O3752" s="132"/>
    </row>
    <row r="3753" spans="2:15" ht="26.25" customHeight="1" x14ac:dyDescent="0.25">
      <c r="B3753" s="130"/>
      <c r="C3753" s="135"/>
      <c r="D3753" s="177"/>
      <c r="E3753" s="178"/>
      <c r="F3753" s="178"/>
      <c r="G3753" s="340"/>
      <c r="H3753" s="340"/>
      <c r="I3753" s="179"/>
      <c r="J3753" s="344"/>
      <c r="K3753" s="345"/>
      <c r="L3753" s="346"/>
      <c r="M3753" s="347"/>
      <c r="N3753" s="347"/>
      <c r="O3753" s="132"/>
    </row>
    <row r="3754" spans="2:15" ht="26.25" customHeight="1" x14ac:dyDescent="0.25">
      <c r="B3754" s="130"/>
      <c r="C3754" s="135"/>
      <c r="D3754" s="177"/>
      <c r="E3754" s="178"/>
      <c r="F3754" s="178"/>
      <c r="G3754" s="340"/>
      <c r="H3754" s="340"/>
      <c r="I3754" s="179"/>
      <c r="J3754" s="344"/>
      <c r="K3754" s="345"/>
      <c r="L3754" s="346"/>
      <c r="M3754" s="347"/>
      <c r="N3754" s="347"/>
      <c r="O3754" s="132"/>
    </row>
    <row r="3755" spans="2:15" ht="26.25" customHeight="1" x14ac:dyDescent="0.25">
      <c r="B3755" s="130"/>
      <c r="C3755" s="135"/>
      <c r="D3755" s="177"/>
      <c r="E3755" s="178"/>
      <c r="F3755" s="178"/>
      <c r="G3755" s="340"/>
      <c r="H3755" s="340"/>
      <c r="I3755" s="179"/>
      <c r="J3755" s="344"/>
      <c r="K3755" s="345"/>
      <c r="L3755" s="346"/>
      <c r="M3755" s="347"/>
      <c r="N3755" s="347"/>
      <c r="O3755" s="132"/>
    </row>
    <row r="3756" spans="2:15" ht="26.25" customHeight="1" x14ac:dyDescent="0.25">
      <c r="B3756" s="130"/>
      <c r="C3756" s="135"/>
      <c r="D3756" s="177"/>
      <c r="E3756" s="178"/>
      <c r="F3756" s="178"/>
      <c r="G3756" s="340"/>
      <c r="H3756" s="340"/>
      <c r="I3756" s="179"/>
      <c r="J3756" s="344"/>
      <c r="K3756" s="345"/>
      <c r="L3756" s="346"/>
      <c r="M3756" s="347"/>
      <c r="N3756" s="347"/>
      <c r="O3756" s="132"/>
    </row>
    <row r="3757" spans="2:15" ht="26.25" customHeight="1" x14ac:dyDescent="0.25">
      <c r="B3757" s="130"/>
      <c r="C3757" s="135"/>
      <c r="D3757" s="177"/>
      <c r="E3757" s="178"/>
      <c r="F3757" s="178"/>
      <c r="G3757" s="340"/>
      <c r="H3757" s="340"/>
      <c r="I3757" s="179"/>
      <c r="J3757" s="344"/>
      <c r="K3757" s="345"/>
      <c r="L3757" s="346"/>
      <c r="M3757" s="347"/>
      <c r="N3757" s="347"/>
      <c r="O3757" s="132"/>
    </row>
    <row r="3758" spans="2:15" ht="26.25" customHeight="1" x14ac:dyDescent="0.25">
      <c r="B3758" s="130"/>
      <c r="C3758" s="135"/>
      <c r="D3758" s="177"/>
      <c r="E3758" s="178"/>
      <c r="F3758" s="178"/>
      <c r="G3758" s="340"/>
      <c r="H3758" s="340"/>
      <c r="I3758" s="179"/>
      <c r="J3758" s="344"/>
      <c r="K3758" s="345"/>
      <c r="L3758" s="346"/>
      <c r="M3758" s="347"/>
      <c r="N3758" s="347"/>
      <c r="O3758" s="132"/>
    </row>
    <row r="3759" spans="2:15" ht="26.25" customHeight="1" x14ac:dyDescent="0.25">
      <c r="B3759" s="130"/>
      <c r="C3759" s="135"/>
      <c r="D3759" s="177"/>
      <c r="E3759" s="178"/>
      <c r="F3759" s="178"/>
      <c r="G3759" s="340"/>
      <c r="H3759" s="340"/>
      <c r="I3759" s="179"/>
      <c r="J3759" s="344"/>
      <c r="K3759" s="345"/>
      <c r="L3759" s="346"/>
      <c r="M3759" s="347"/>
      <c r="N3759" s="347"/>
      <c r="O3759" s="132"/>
    </row>
    <row r="3760" spans="2:15" ht="26.25" customHeight="1" x14ac:dyDescent="0.25">
      <c r="B3760" s="130"/>
      <c r="C3760" s="135"/>
      <c r="D3760" s="177"/>
      <c r="E3760" s="178"/>
      <c r="F3760" s="178"/>
      <c r="G3760" s="340"/>
      <c r="H3760" s="340"/>
      <c r="I3760" s="179"/>
      <c r="J3760" s="344"/>
      <c r="K3760" s="345"/>
      <c r="L3760" s="346"/>
      <c r="M3760" s="347"/>
      <c r="N3760" s="347"/>
      <c r="O3760" s="132"/>
    </row>
    <row r="3761" spans="2:15" ht="26.25" customHeight="1" x14ac:dyDescent="0.25">
      <c r="B3761" s="130"/>
      <c r="C3761" s="135"/>
      <c r="D3761" s="177"/>
      <c r="E3761" s="178"/>
      <c r="F3761" s="178"/>
      <c r="G3761" s="340"/>
      <c r="H3761" s="340"/>
      <c r="I3761" s="179"/>
      <c r="J3761" s="344"/>
      <c r="K3761" s="345"/>
      <c r="L3761" s="346"/>
      <c r="M3761" s="347"/>
      <c r="N3761" s="347"/>
      <c r="O3761" s="132"/>
    </row>
    <row r="3762" spans="2:15" ht="26.25" customHeight="1" x14ac:dyDescent="0.25">
      <c r="B3762" s="130"/>
      <c r="C3762" s="135"/>
      <c r="D3762" s="177"/>
      <c r="E3762" s="178"/>
      <c r="F3762" s="178"/>
      <c r="G3762" s="340"/>
      <c r="H3762" s="340"/>
      <c r="I3762" s="179"/>
      <c r="J3762" s="344"/>
      <c r="K3762" s="345"/>
      <c r="L3762" s="346"/>
      <c r="M3762" s="347"/>
      <c r="N3762" s="347"/>
      <c r="O3762" s="132"/>
    </row>
    <row r="3763" spans="2:15" ht="26.25" customHeight="1" x14ac:dyDescent="0.25">
      <c r="B3763" s="130"/>
      <c r="C3763" s="135"/>
      <c r="D3763" s="177"/>
      <c r="E3763" s="178"/>
      <c r="F3763" s="178"/>
      <c r="G3763" s="340"/>
      <c r="H3763" s="340"/>
      <c r="I3763" s="179"/>
      <c r="J3763" s="344"/>
      <c r="K3763" s="345"/>
      <c r="L3763" s="346"/>
      <c r="M3763" s="347"/>
      <c r="N3763" s="347"/>
      <c r="O3763" s="132"/>
    </row>
    <row r="3764" spans="2:15" ht="26.25" customHeight="1" x14ac:dyDescent="0.25">
      <c r="B3764" s="130"/>
      <c r="C3764" s="135"/>
      <c r="D3764" s="177"/>
      <c r="E3764" s="178"/>
      <c r="F3764" s="178"/>
      <c r="G3764" s="340"/>
      <c r="H3764" s="340"/>
      <c r="I3764" s="179"/>
      <c r="J3764" s="344"/>
      <c r="K3764" s="345"/>
      <c r="L3764" s="346"/>
      <c r="M3764" s="347"/>
      <c r="N3764" s="347"/>
      <c r="O3764" s="132"/>
    </row>
    <row r="3765" spans="2:15" ht="26.25" customHeight="1" x14ac:dyDescent="0.25">
      <c r="B3765" s="130"/>
      <c r="C3765" s="135"/>
      <c r="D3765" s="177"/>
      <c r="E3765" s="178"/>
      <c r="F3765" s="178"/>
      <c r="G3765" s="340"/>
      <c r="H3765" s="340"/>
      <c r="I3765" s="179"/>
      <c r="J3765" s="344"/>
      <c r="K3765" s="345"/>
      <c r="L3765" s="346"/>
      <c r="M3765" s="347"/>
      <c r="N3765" s="347"/>
      <c r="O3765" s="132"/>
    </row>
    <row r="3766" spans="2:15" ht="26.25" customHeight="1" x14ac:dyDescent="0.25">
      <c r="B3766" s="130"/>
      <c r="C3766" s="135"/>
      <c r="D3766" s="177"/>
      <c r="E3766" s="178"/>
      <c r="F3766" s="178"/>
      <c r="G3766" s="340"/>
      <c r="H3766" s="340"/>
      <c r="I3766" s="179"/>
      <c r="J3766" s="344"/>
      <c r="K3766" s="345"/>
      <c r="L3766" s="346"/>
      <c r="M3766" s="347"/>
      <c r="N3766" s="347"/>
      <c r="O3766" s="132"/>
    </row>
    <row r="3767" spans="2:15" ht="26.25" customHeight="1" x14ac:dyDescent="0.25">
      <c r="B3767" s="130"/>
      <c r="C3767" s="135"/>
      <c r="D3767" s="177"/>
      <c r="E3767" s="178"/>
      <c r="F3767" s="178"/>
      <c r="G3767" s="340"/>
      <c r="H3767" s="340"/>
      <c r="I3767" s="179"/>
      <c r="J3767" s="344"/>
      <c r="K3767" s="345"/>
      <c r="L3767" s="346"/>
      <c r="M3767" s="347"/>
      <c r="N3767" s="347"/>
      <c r="O3767" s="132"/>
    </row>
    <row r="3768" spans="2:15" ht="26.25" customHeight="1" x14ac:dyDescent="0.25">
      <c r="B3768" s="130"/>
      <c r="C3768" s="135"/>
      <c r="D3768" s="177"/>
      <c r="E3768" s="178"/>
      <c r="F3768" s="178"/>
      <c r="G3768" s="340"/>
      <c r="H3768" s="340"/>
      <c r="I3768" s="179"/>
      <c r="J3768" s="344"/>
      <c r="K3768" s="345"/>
      <c r="L3768" s="346"/>
      <c r="M3768" s="347"/>
      <c r="N3768" s="347"/>
      <c r="O3768" s="132"/>
    </row>
    <row r="3769" spans="2:15" ht="26.25" customHeight="1" x14ac:dyDescent="0.25">
      <c r="B3769" s="130"/>
      <c r="C3769" s="135"/>
      <c r="D3769" s="177"/>
      <c r="E3769" s="178"/>
      <c r="F3769" s="178"/>
      <c r="G3769" s="340"/>
      <c r="H3769" s="340"/>
      <c r="I3769" s="179"/>
      <c r="J3769" s="344"/>
      <c r="K3769" s="345"/>
      <c r="L3769" s="346"/>
      <c r="M3769" s="347"/>
      <c r="N3769" s="347"/>
      <c r="O3769" s="132"/>
    </row>
    <row r="3770" spans="2:15" ht="26.25" customHeight="1" x14ac:dyDescent="0.25">
      <c r="B3770" s="130"/>
      <c r="C3770" s="135"/>
      <c r="D3770" s="177"/>
      <c r="E3770" s="178"/>
      <c r="F3770" s="178"/>
      <c r="G3770" s="340"/>
      <c r="H3770" s="340"/>
      <c r="I3770" s="179"/>
      <c r="J3770" s="344"/>
      <c r="K3770" s="345"/>
      <c r="L3770" s="346"/>
      <c r="M3770" s="347"/>
      <c r="N3770" s="347"/>
      <c r="O3770" s="132"/>
    </row>
    <row r="3771" spans="2:15" ht="26.25" customHeight="1" x14ac:dyDescent="0.25">
      <c r="B3771" s="130"/>
      <c r="C3771" s="135"/>
      <c r="D3771" s="177"/>
      <c r="E3771" s="178"/>
      <c r="F3771" s="178"/>
      <c r="G3771" s="340"/>
      <c r="H3771" s="340"/>
      <c r="I3771" s="179"/>
      <c r="J3771" s="344"/>
      <c r="K3771" s="345"/>
      <c r="L3771" s="346"/>
      <c r="M3771" s="347"/>
      <c r="N3771" s="347"/>
      <c r="O3771" s="132"/>
    </row>
    <row r="3772" spans="2:15" ht="26.25" customHeight="1" x14ac:dyDescent="0.25">
      <c r="B3772" s="130"/>
      <c r="C3772" s="135"/>
      <c r="D3772" s="177"/>
      <c r="E3772" s="178"/>
      <c r="F3772" s="178"/>
      <c r="G3772" s="340"/>
      <c r="H3772" s="340"/>
      <c r="I3772" s="179"/>
      <c r="J3772" s="344"/>
      <c r="K3772" s="345"/>
      <c r="L3772" s="346"/>
      <c r="M3772" s="347"/>
      <c r="N3772" s="347"/>
      <c r="O3772" s="132"/>
    </row>
    <row r="3773" spans="2:15" ht="26.25" customHeight="1" x14ac:dyDescent="0.25">
      <c r="B3773" s="130"/>
      <c r="C3773" s="135"/>
      <c r="D3773" s="177"/>
      <c r="E3773" s="178"/>
      <c r="F3773" s="178"/>
      <c r="G3773" s="340"/>
      <c r="H3773" s="340"/>
      <c r="I3773" s="179"/>
      <c r="J3773" s="344"/>
      <c r="K3773" s="345"/>
      <c r="L3773" s="346"/>
      <c r="M3773" s="347"/>
      <c r="N3773" s="347"/>
      <c r="O3773" s="132"/>
    </row>
    <row r="3774" spans="2:15" ht="26.25" customHeight="1" x14ac:dyDescent="0.25">
      <c r="B3774" s="130"/>
      <c r="C3774" s="135"/>
      <c r="D3774" s="177"/>
      <c r="E3774" s="178"/>
      <c r="F3774" s="178"/>
      <c r="G3774" s="340"/>
      <c r="H3774" s="340"/>
      <c r="I3774" s="179"/>
      <c r="J3774" s="344"/>
      <c r="K3774" s="345"/>
      <c r="L3774" s="346"/>
      <c r="M3774" s="347"/>
      <c r="N3774" s="347"/>
      <c r="O3774" s="132"/>
    </row>
    <row r="3775" spans="2:15" ht="26.25" customHeight="1" x14ac:dyDescent="0.25">
      <c r="B3775" s="130"/>
      <c r="C3775" s="135"/>
      <c r="D3775" s="177"/>
      <c r="E3775" s="178"/>
      <c r="F3775" s="178"/>
      <c r="G3775" s="340"/>
      <c r="H3775" s="340"/>
      <c r="I3775" s="179"/>
      <c r="J3775" s="344"/>
      <c r="K3775" s="345"/>
      <c r="L3775" s="346"/>
      <c r="M3775" s="347"/>
      <c r="N3775" s="347"/>
      <c r="O3775" s="132"/>
    </row>
    <row r="3776" spans="2:15" ht="26.25" customHeight="1" x14ac:dyDescent="0.25">
      <c r="B3776" s="130"/>
      <c r="C3776" s="135"/>
      <c r="D3776" s="177"/>
      <c r="E3776" s="178"/>
      <c r="F3776" s="178"/>
      <c r="G3776" s="340"/>
      <c r="H3776" s="340"/>
      <c r="I3776" s="179"/>
      <c r="J3776" s="344"/>
      <c r="K3776" s="345"/>
      <c r="L3776" s="346"/>
      <c r="M3776" s="347"/>
      <c r="N3776" s="347"/>
      <c r="O3776" s="132"/>
    </row>
    <row r="3777" spans="2:15" ht="26.25" customHeight="1" x14ac:dyDescent="0.25">
      <c r="B3777" s="130"/>
      <c r="C3777" s="135"/>
      <c r="D3777" s="177"/>
      <c r="E3777" s="178"/>
      <c r="F3777" s="178"/>
      <c r="G3777" s="340"/>
      <c r="H3777" s="340"/>
      <c r="I3777" s="179"/>
      <c r="J3777" s="344"/>
      <c r="K3777" s="345"/>
      <c r="L3777" s="346"/>
      <c r="M3777" s="347"/>
      <c r="N3777" s="347"/>
      <c r="O3777" s="132"/>
    </row>
    <row r="3778" spans="2:15" ht="26.25" customHeight="1" x14ac:dyDescent="0.25">
      <c r="B3778" s="130"/>
      <c r="C3778" s="135"/>
      <c r="D3778" s="177"/>
      <c r="E3778" s="178"/>
      <c r="F3778" s="178"/>
      <c r="G3778" s="340"/>
      <c r="H3778" s="340"/>
      <c r="I3778" s="179"/>
      <c r="J3778" s="344"/>
      <c r="K3778" s="345"/>
      <c r="L3778" s="346"/>
      <c r="M3778" s="347"/>
      <c r="N3778" s="347"/>
      <c r="O3778" s="132"/>
    </row>
    <row r="3779" spans="2:15" ht="26.25" customHeight="1" x14ac:dyDescent="0.25">
      <c r="B3779" s="130"/>
      <c r="C3779" s="135"/>
      <c r="D3779" s="177"/>
      <c r="E3779" s="178"/>
      <c r="F3779" s="178"/>
      <c r="G3779" s="340"/>
      <c r="H3779" s="340"/>
      <c r="I3779" s="179"/>
      <c r="J3779" s="344"/>
      <c r="K3779" s="345"/>
      <c r="L3779" s="346"/>
      <c r="M3779" s="347"/>
      <c r="N3779" s="347"/>
      <c r="O3779" s="132"/>
    </row>
    <row r="3780" spans="2:15" ht="26.25" customHeight="1" x14ac:dyDescent="0.25">
      <c r="B3780" s="130"/>
      <c r="C3780" s="135"/>
      <c r="D3780" s="177"/>
      <c r="E3780" s="178"/>
      <c r="F3780" s="178"/>
      <c r="G3780" s="340"/>
      <c r="H3780" s="340"/>
      <c r="I3780" s="179"/>
      <c r="J3780" s="344"/>
      <c r="K3780" s="345"/>
      <c r="L3780" s="346"/>
      <c r="M3780" s="347"/>
      <c r="N3780" s="347"/>
      <c r="O3780" s="132"/>
    </row>
    <row r="3781" spans="2:15" ht="26.25" customHeight="1" x14ac:dyDescent="0.25">
      <c r="B3781" s="130"/>
      <c r="C3781" s="135"/>
      <c r="D3781" s="177"/>
      <c r="E3781" s="178"/>
      <c r="F3781" s="178"/>
      <c r="G3781" s="340"/>
      <c r="H3781" s="340"/>
      <c r="I3781" s="179"/>
      <c r="J3781" s="344"/>
      <c r="K3781" s="345"/>
      <c r="L3781" s="346"/>
      <c r="M3781" s="347"/>
      <c r="N3781" s="347"/>
      <c r="O3781" s="132"/>
    </row>
    <row r="3782" spans="2:15" ht="26.25" customHeight="1" x14ac:dyDescent="0.25">
      <c r="B3782" s="130"/>
      <c r="C3782" s="135"/>
      <c r="D3782" s="177"/>
      <c r="E3782" s="178"/>
      <c r="F3782" s="178"/>
      <c r="G3782" s="340"/>
      <c r="H3782" s="340"/>
      <c r="I3782" s="179"/>
      <c r="J3782" s="344"/>
      <c r="K3782" s="345"/>
      <c r="L3782" s="346"/>
      <c r="M3782" s="347"/>
      <c r="N3782" s="347"/>
      <c r="O3782" s="132"/>
    </row>
    <row r="3783" spans="2:15" ht="26.25" customHeight="1" x14ac:dyDescent="0.25">
      <c r="B3783" s="130"/>
      <c r="C3783" s="135"/>
      <c r="D3783" s="177"/>
      <c r="E3783" s="178"/>
      <c r="F3783" s="178"/>
      <c r="G3783" s="340"/>
      <c r="H3783" s="340"/>
      <c r="I3783" s="179"/>
      <c r="J3783" s="344"/>
      <c r="K3783" s="345"/>
      <c r="L3783" s="346"/>
      <c r="M3783" s="347"/>
      <c r="N3783" s="347"/>
      <c r="O3783" s="132"/>
    </row>
    <row r="3784" spans="2:15" ht="26.25" customHeight="1" x14ac:dyDescent="0.25">
      <c r="B3784" s="130"/>
      <c r="C3784" s="135"/>
      <c r="D3784" s="177"/>
      <c r="E3784" s="178"/>
      <c r="F3784" s="178"/>
      <c r="G3784" s="340"/>
      <c r="H3784" s="340"/>
      <c r="I3784" s="179"/>
      <c r="J3784" s="344"/>
      <c r="K3784" s="345"/>
      <c r="L3784" s="346"/>
      <c r="M3784" s="347"/>
      <c r="N3784" s="347"/>
      <c r="O3784" s="132"/>
    </row>
    <row r="3785" spans="2:15" ht="26.25" customHeight="1" x14ac:dyDescent="0.25">
      <c r="B3785" s="130"/>
      <c r="C3785" s="135"/>
      <c r="D3785" s="177"/>
      <c r="E3785" s="178"/>
      <c r="F3785" s="178"/>
      <c r="G3785" s="340"/>
      <c r="H3785" s="340"/>
      <c r="I3785" s="179"/>
      <c r="J3785" s="344"/>
      <c r="K3785" s="345"/>
      <c r="L3785" s="346"/>
      <c r="M3785" s="347"/>
      <c r="N3785" s="347"/>
      <c r="O3785" s="132"/>
    </row>
    <row r="3786" spans="2:15" ht="26.25" customHeight="1" x14ac:dyDescent="0.25">
      <c r="B3786" s="130"/>
      <c r="C3786" s="135"/>
      <c r="D3786" s="177"/>
      <c r="E3786" s="178"/>
      <c r="F3786" s="178"/>
      <c r="G3786" s="340"/>
      <c r="H3786" s="340"/>
      <c r="I3786" s="179"/>
      <c r="J3786" s="344"/>
      <c r="K3786" s="345"/>
      <c r="L3786" s="346"/>
      <c r="M3786" s="347"/>
      <c r="N3786" s="347"/>
      <c r="O3786" s="132"/>
    </row>
    <row r="3787" spans="2:15" ht="26.25" customHeight="1" x14ac:dyDescent="0.25">
      <c r="B3787" s="130"/>
      <c r="C3787" s="135"/>
      <c r="D3787" s="177"/>
      <c r="E3787" s="178"/>
      <c r="F3787" s="178"/>
      <c r="G3787" s="340"/>
      <c r="H3787" s="340"/>
      <c r="I3787" s="179"/>
      <c r="J3787" s="344"/>
      <c r="K3787" s="345"/>
      <c r="L3787" s="346"/>
      <c r="M3787" s="347"/>
      <c r="N3787" s="347"/>
      <c r="O3787" s="132"/>
    </row>
    <row r="3788" spans="2:15" ht="26.25" customHeight="1" x14ac:dyDescent="0.25">
      <c r="B3788" s="130"/>
      <c r="C3788" s="135"/>
      <c r="D3788" s="177"/>
      <c r="E3788" s="178"/>
      <c r="F3788" s="178"/>
      <c r="G3788" s="340"/>
      <c r="H3788" s="340"/>
      <c r="I3788" s="179"/>
      <c r="J3788" s="344"/>
      <c r="K3788" s="345"/>
      <c r="L3788" s="346"/>
      <c r="M3788" s="347"/>
      <c r="N3788" s="347"/>
      <c r="O3788" s="132"/>
    </row>
    <row r="3789" spans="2:15" ht="26.25" customHeight="1" x14ac:dyDescent="0.25">
      <c r="B3789" s="130"/>
      <c r="C3789" s="135"/>
      <c r="D3789" s="177"/>
      <c r="E3789" s="178"/>
      <c r="F3789" s="178"/>
      <c r="G3789" s="340"/>
      <c r="H3789" s="340"/>
      <c r="I3789" s="179"/>
      <c r="J3789" s="344"/>
      <c r="K3789" s="345"/>
      <c r="L3789" s="346"/>
      <c r="M3789" s="347"/>
      <c r="N3789" s="347"/>
      <c r="O3789" s="132"/>
    </row>
    <row r="3790" spans="2:15" ht="26.25" customHeight="1" x14ac:dyDescent="0.25">
      <c r="B3790" s="130"/>
      <c r="C3790" s="135"/>
      <c r="D3790" s="177"/>
      <c r="E3790" s="178"/>
      <c r="F3790" s="178"/>
      <c r="G3790" s="340"/>
      <c r="H3790" s="340"/>
      <c r="I3790" s="179"/>
      <c r="J3790" s="344"/>
      <c r="K3790" s="345"/>
      <c r="L3790" s="346"/>
      <c r="M3790" s="347"/>
      <c r="N3790" s="347"/>
      <c r="O3790" s="132"/>
    </row>
    <row r="3791" spans="2:15" ht="26.25" customHeight="1" x14ac:dyDescent="0.25">
      <c r="B3791" s="130"/>
      <c r="C3791" s="135"/>
      <c r="D3791" s="177"/>
      <c r="E3791" s="178"/>
      <c r="F3791" s="178"/>
      <c r="G3791" s="340"/>
      <c r="H3791" s="340"/>
      <c r="I3791" s="179"/>
      <c r="J3791" s="344"/>
      <c r="K3791" s="345"/>
      <c r="L3791" s="346"/>
      <c r="M3791" s="347"/>
      <c r="N3791" s="347"/>
      <c r="O3791" s="132"/>
    </row>
    <row r="3792" spans="2:15" ht="26.25" customHeight="1" x14ac:dyDescent="0.25">
      <c r="B3792" s="130"/>
      <c r="C3792" s="135"/>
      <c r="D3792" s="177"/>
      <c r="E3792" s="178"/>
      <c r="F3792" s="178"/>
      <c r="G3792" s="340"/>
      <c r="H3792" s="340"/>
      <c r="I3792" s="179"/>
      <c r="J3792" s="344"/>
      <c r="K3792" s="345"/>
      <c r="L3792" s="346"/>
      <c r="M3792" s="347"/>
      <c r="N3792" s="347"/>
      <c r="O3792" s="132"/>
    </row>
    <row r="3793" spans="2:15" ht="26.25" customHeight="1" x14ac:dyDescent="0.25">
      <c r="B3793" s="130"/>
      <c r="C3793" s="135"/>
      <c r="D3793" s="177"/>
      <c r="E3793" s="178"/>
      <c r="F3793" s="178"/>
      <c r="G3793" s="340"/>
      <c r="H3793" s="340"/>
      <c r="I3793" s="179"/>
      <c r="J3793" s="344"/>
      <c r="K3793" s="345"/>
      <c r="L3793" s="346"/>
      <c r="M3793" s="347"/>
      <c r="N3793" s="347"/>
      <c r="O3793" s="132"/>
    </row>
    <row r="3794" spans="2:15" ht="26.25" customHeight="1" x14ac:dyDescent="0.25">
      <c r="B3794" s="130"/>
      <c r="C3794" s="135"/>
      <c r="D3794" s="177"/>
      <c r="E3794" s="178"/>
      <c r="F3794" s="178"/>
      <c r="G3794" s="340"/>
      <c r="H3794" s="340"/>
      <c r="I3794" s="179"/>
      <c r="J3794" s="344"/>
      <c r="K3794" s="345"/>
      <c r="L3794" s="346"/>
      <c r="M3794" s="347"/>
      <c r="N3794" s="347"/>
      <c r="O3794" s="132"/>
    </row>
    <row r="3795" spans="2:15" ht="26.25" customHeight="1" x14ac:dyDescent="0.25">
      <c r="B3795" s="130"/>
      <c r="C3795" s="135"/>
      <c r="D3795" s="177"/>
      <c r="E3795" s="178"/>
      <c r="F3795" s="178"/>
      <c r="G3795" s="340"/>
      <c r="H3795" s="340"/>
      <c r="I3795" s="179"/>
      <c r="J3795" s="344"/>
      <c r="K3795" s="345"/>
      <c r="L3795" s="346"/>
      <c r="M3795" s="347"/>
      <c r="N3795" s="347"/>
      <c r="O3795" s="132"/>
    </row>
    <row r="3796" spans="2:15" ht="26.25" customHeight="1" x14ac:dyDescent="0.25">
      <c r="B3796" s="130"/>
      <c r="C3796" s="135"/>
      <c r="D3796" s="177"/>
      <c r="E3796" s="178"/>
      <c r="F3796" s="178"/>
      <c r="G3796" s="340"/>
      <c r="H3796" s="340"/>
      <c r="I3796" s="179"/>
      <c r="J3796" s="344"/>
      <c r="K3796" s="345"/>
      <c r="L3796" s="346"/>
      <c r="M3796" s="347"/>
      <c r="N3796" s="347"/>
      <c r="O3796" s="132"/>
    </row>
    <row r="3797" spans="2:15" ht="26.25" customHeight="1" x14ac:dyDescent="0.25">
      <c r="B3797" s="130"/>
      <c r="C3797" s="135"/>
      <c r="D3797" s="177"/>
      <c r="E3797" s="178"/>
      <c r="F3797" s="178"/>
      <c r="G3797" s="340"/>
      <c r="H3797" s="340"/>
      <c r="I3797" s="179"/>
      <c r="J3797" s="344"/>
      <c r="K3797" s="345"/>
      <c r="L3797" s="346"/>
      <c r="M3797" s="347"/>
      <c r="N3797" s="347"/>
      <c r="O3797" s="132"/>
    </row>
    <row r="3798" spans="2:15" ht="26.25" customHeight="1" x14ac:dyDescent="0.25">
      <c r="B3798" s="130"/>
      <c r="C3798" s="135"/>
      <c r="D3798" s="177"/>
      <c r="E3798" s="178"/>
      <c r="F3798" s="178"/>
      <c r="G3798" s="340"/>
      <c r="H3798" s="340"/>
      <c r="I3798" s="179"/>
      <c r="J3798" s="344"/>
      <c r="K3798" s="345"/>
      <c r="L3798" s="346"/>
      <c r="M3798" s="347"/>
      <c r="N3798" s="347"/>
      <c r="O3798" s="132"/>
    </row>
    <row r="3799" spans="2:15" ht="26.25" customHeight="1" x14ac:dyDescent="0.25">
      <c r="B3799" s="130"/>
      <c r="C3799" s="135"/>
      <c r="D3799" s="177"/>
      <c r="E3799" s="178"/>
      <c r="F3799" s="178"/>
      <c r="G3799" s="340"/>
      <c r="H3799" s="340"/>
      <c r="I3799" s="179"/>
      <c r="J3799" s="344"/>
      <c r="K3799" s="345"/>
      <c r="L3799" s="346"/>
      <c r="M3799" s="347"/>
      <c r="N3799" s="347"/>
      <c r="O3799" s="132"/>
    </row>
    <row r="3800" spans="2:15" ht="26.25" customHeight="1" x14ac:dyDescent="0.25">
      <c r="B3800" s="130"/>
      <c r="C3800" s="135"/>
      <c r="D3800" s="177"/>
      <c r="E3800" s="178"/>
      <c r="F3800" s="178"/>
      <c r="G3800" s="340"/>
      <c r="H3800" s="340"/>
      <c r="I3800" s="179"/>
      <c r="J3800" s="344"/>
      <c r="K3800" s="345"/>
      <c r="L3800" s="346"/>
      <c r="M3800" s="347"/>
      <c r="N3800" s="347"/>
      <c r="O3800" s="132"/>
    </row>
    <row r="3801" spans="2:15" ht="26.25" customHeight="1" x14ac:dyDescent="0.25">
      <c r="B3801" s="130"/>
      <c r="C3801" s="135"/>
      <c r="D3801" s="177"/>
      <c r="E3801" s="178"/>
      <c r="F3801" s="178"/>
      <c r="G3801" s="340"/>
      <c r="H3801" s="340"/>
      <c r="I3801" s="179"/>
      <c r="J3801" s="344"/>
      <c r="K3801" s="345"/>
      <c r="L3801" s="346"/>
      <c r="M3801" s="347"/>
      <c r="N3801" s="347"/>
      <c r="O3801" s="132"/>
    </row>
    <row r="3802" spans="2:15" ht="26.25" customHeight="1" x14ac:dyDescent="0.25">
      <c r="B3802" s="130"/>
      <c r="C3802" s="135"/>
      <c r="D3802" s="177"/>
      <c r="E3802" s="178"/>
      <c r="F3802" s="178"/>
      <c r="G3802" s="340"/>
      <c r="H3802" s="340"/>
      <c r="I3802" s="179"/>
      <c r="J3802" s="344"/>
      <c r="K3802" s="345"/>
      <c r="L3802" s="346"/>
      <c r="M3802" s="347"/>
      <c r="N3802" s="347"/>
      <c r="O3802" s="132"/>
    </row>
    <row r="3803" spans="2:15" ht="26.25" customHeight="1" x14ac:dyDescent="0.25">
      <c r="B3803" s="130"/>
      <c r="C3803" s="135"/>
      <c r="D3803" s="177"/>
      <c r="E3803" s="178"/>
      <c r="F3803" s="178"/>
      <c r="G3803" s="340"/>
      <c r="H3803" s="340"/>
      <c r="I3803" s="179"/>
      <c r="J3803" s="344"/>
      <c r="K3803" s="345"/>
      <c r="L3803" s="346"/>
      <c r="M3803" s="347"/>
      <c r="N3803" s="347"/>
      <c r="O3803" s="132"/>
    </row>
    <row r="3804" spans="2:15" ht="26.25" customHeight="1" x14ac:dyDescent="0.25">
      <c r="B3804" s="130"/>
      <c r="C3804" s="135"/>
      <c r="D3804" s="177"/>
      <c r="E3804" s="178"/>
      <c r="F3804" s="178"/>
      <c r="G3804" s="340"/>
      <c r="H3804" s="340"/>
      <c r="I3804" s="179"/>
      <c r="J3804" s="344"/>
      <c r="K3804" s="345"/>
      <c r="L3804" s="346"/>
      <c r="M3804" s="347"/>
      <c r="N3804" s="347"/>
      <c r="O3804" s="132"/>
    </row>
    <row r="3805" spans="2:15" ht="26.25" customHeight="1" x14ac:dyDescent="0.25">
      <c r="B3805" s="130"/>
      <c r="C3805" s="135"/>
      <c r="D3805" s="177"/>
      <c r="E3805" s="178"/>
      <c r="F3805" s="178"/>
      <c r="G3805" s="340"/>
      <c r="H3805" s="340"/>
      <c r="I3805" s="179"/>
      <c r="J3805" s="344"/>
      <c r="K3805" s="345"/>
      <c r="L3805" s="346"/>
      <c r="M3805" s="347"/>
      <c r="N3805" s="347"/>
      <c r="O3805" s="132"/>
    </row>
    <row r="3806" spans="2:15" ht="26.25" customHeight="1" x14ac:dyDescent="0.25">
      <c r="B3806" s="130"/>
      <c r="C3806" s="135"/>
      <c r="D3806" s="177"/>
      <c r="E3806" s="178"/>
      <c r="F3806" s="178"/>
      <c r="G3806" s="340"/>
      <c r="H3806" s="340"/>
      <c r="I3806" s="179"/>
      <c r="J3806" s="344"/>
      <c r="K3806" s="345"/>
      <c r="L3806" s="346"/>
      <c r="M3806" s="347"/>
      <c r="N3806" s="347"/>
      <c r="O3806" s="132"/>
    </row>
    <row r="3807" spans="2:15" ht="26.25" customHeight="1" x14ac:dyDescent="0.25">
      <c r="B3807" s="130"/>
      <c r="C3807" s="135"/>
      <c r="D3807" s="177"/>
      <c r="E3807" s="178"/>
      <c r="F3807" s="178"/>
      <c r="G3807" s="340"/>
      <c r="H3807" s="340"/>
      <c r="I3807" s="179"/>
      <c r="J3807" s="344"/>
      <c r="K3807" s="345"/>
      <c r="L3807" s="346"/>
      <c r="M3807" s="347"/>
      <c r="N3807" s="347"/>
      <c r="O3807" s="132"/>
    </row>
    <row r="3808" spans="2:15" ht="26.25" customHeight="1" x14ac:dyDescent="0.25">
      <c r="B3808" s="130"/>
      <c r="C3808" s="135"/>
      <c r="D3808" s="177"/>
      <c r="E3808" s="178"/>
      <c r="F3808" s="178"/>
      <c r="G3808" s="340"/>
      <c r="H3808" s="340"/>
      <c r="I3808" s="179"/>
      <c r="J3808" s="344"/>
      <c r="K3808" s="345"/>
      <c r="L3808" s="346"/>
      <c r="M3808" s="347"/>
      <c r="N3808" s="347"/>
      <c r="O3808" s="132"/>
    </row>
    <row r="3809" spans="2:15" ht="26.25" customHeight="1" x14ac:dyDescent="0.25">
      <c r="B3809" s="130"/>
      <c r="C3809" s="135"/>
      <c r="D3809" s="177"/>
      <c r="E3809" s="178"/>
      <c r="F3809" s="178"/>
      <c r="G3809" s="340"/>
      <c r="H3809" s="340"/>
      <c r="I3809" s="179"/>
      <c r="J3809" s="344"/>
      <c r="K3809" s="345"/>
      <c r="L3809" s="346"/>
      <c r="M3809" s="347"/>
      <c r="N3809" s="347"/>
      <c r="O3809" s="132"/>
    </row>
    <row r="3810" spans="2:15" ht="26.25" customHeight="1" x14ac:dyDescent="0.25">
      <c r="B3810" s="130"/>
      <c r="C3810" s="135"/>
      <c r="D3810" s="177"/>
      <c r="E3810" s="178"/>
      <c r="F3810" s="178"/>
      <c r="G3810" s="340"/>
      <c r="H3810" s="340"/>
      <c r="I3810" s="179"/>
      <c r="J3810" s="344"/>
      <c r="K3810" s="345"/>
      <c r="L3810" s="346"/>
      <c r="M3810" s="347"/>
      <c r="N3810" s="347"/>
      <c r="O3810" s="132"/>
    </row>
    <row r="3811" spans="2:15" ht="26.25" customHeight="1" x14ac:dyDescent="0.25">
      <c r="B3811" s="130"/>
      <c r="C3811" s="135"/>
      <c r="D3811" s="177"/>
      <c r="E3811" s="178"/>
      <c r="F3811" s="178"/>
      <c r="G3811" s="340"/>
      <c r="H3811" s="340"/>
      <c r="I3811" s="179"/>
      <c r="J3811" s="344"/>
      <c r="K3811" s="345"/>
      <c r="L3811" s="346"/>
      <c r="M3811" s="347"/>
      <c r="N3811" s="347"/>
      <c r="O3811" s="132"/>
    </row>
    <row r="3812" spans="2:15" ht="26.25" customHeight="1" x14ac:dyDescent="0.25">
      <c r="B3812" s="130"/>
      <c r="C3812" s="135"/>
      <c r="D3812" s="177"/>
      <c r="E3812" s="178"/>
      <c r="F3812" s="178"/>
      <c r="G3812" s="340"/>
      <c r="H3812" s="340"/>
      <c r="I3812" s="179"/>
      <c r="J3812" s="344"/>
      <c r="K3812" s="345"/>
      <c r="L3812" s="346"/>
      <c r="M3812" s="347"/>
      <c r="N3812" s="347"/>
      <c r="O3812" s="132"/>
    </row>
    <row r="3813" spans="2:15" ht="26.25" customHeight="1" x14ac:dyDescent="0.25">
      <c r="B3813" s="130"/>
      <c r="C3813" s="135"/>
      <c r="D3813" s="177"/>
      <c r="E3813" s="178"/>
      <c r="F3813" s="178"/>
      <c r="G3813" s="340"/>
      <c r="H3813" s="340"/>
      <c r="I3813" s="179"/>
      <c r="J3813" s="344"/>
      <c r="K3813" s="345"/>
      <c r="L3813" s="346"/>
      <c r="M3813" s="347"/>
      <c r="N3813" s="347"/>
      <c r="O3813" s="132"/>
    </row>
    <row r="3814" spans="2:15" ht="26.25" customHeight="1" x14ac:dyDescent="0.25">
      <c r="B3814" s="130"/>
      <c r="C3814" s="135"/>
      <c r="D3814" s="177"/>
      <c r="E3814" s="178"/>
      <c r="F3814" s="178"/>
      <c r="G3814" s="340"/>
      <c r="H3814" s="340"/>
      <c r="I3814" s="179"/>
      <c r="J3814" s="344"/>
      <c r="K3814" s="345"/>
      <c r="L3814" s="346"/>
      <c r="M3814" s="347"/>
      <c r="N3814" s="347"/>
      <c r="O3814" s="132"/>
    </row>
    <row r="3815" spans="2:15" ht="26.25" customHeight="1" x14ac:dyDescent="0.25">
      <c r="B3815" s="130"/>
      <c r="C3815" s="135"/>
      <c r="D3815" s="177"/>
      <c r="E3815" s="178"/>
      <c r="F3815" s="178"/>
      <c r="G3815" s="340"/>
      <c r="H3815" s="340"/>
      <c r="I3815" s="179"/>
      <c r="J3815" s="344"/>
      <c r="K3815" s="345"/>
      <c r="L3815" s="346"/>
      <c r="M3815" s="347"/>
      <c r="N3815" s="347"/>
      <c r="O3815" s="132"/>
    </row>
    <row r="3816" spans="2:15" ht="26.25" customHeight="1" x14ac:dyDescent="0.25">
      <c r="B3816" s="130"/>
      <c r="C3816" s="135"/>
      <c r="D3816" s="177"/>
      <c r="E3816" s="178"/>
      <c r="F3816" s="178"/>
      <c r="G3816" s="340"/>
      <c r="H3816" s="340"/>
      <c r="I3816" s="179"/>
      <c r="J3816" s="344"/>
      <c r="K3816" s="345"/>
      <c r="L3816" s="346"/>
      <c r="M3816" s="347"/>
      <c r="N3816" s="347"/>
      <c r="O3816" s="132"/>
    </row>
    <row r="3817" spans="2:15" ht="26.25" customHeight="1" x14ac:dyDescent="0.25">
      <c r="B3817" s="130"/>
      <c r="C3817" s="135"/>
      <c r="D3817" s="177"/>
      <c r="E3817" s="178"/>
      <c r="F3817" s="178"/>
      <c r="G3817" s="340"/>
      <c r="H3817" s="340"/>
      <c r="I3817" s="179"/>
      <c r="J3817" s="344"/>
      <c r="K3817" s="345"/>
      <c r="L3817" s="346"/>
      <c r="M3817" s="347"/>
      <c r="N3817" s="347"/>
      <c r="O3817" s="132"/>
    </row>
    <row r="3818" spans="2:15" ht="26.25" customHeight="1" x14ac:dyDescent="0.25">
      <c r="B3818" s="130"/>
      <c r="C3818" s="135"/>
      <c r="D3818" s="177"/>
      <c r="E3818" s="178"/>
      <c r="F3818" s="178"/>
      <c r="G3818" s="340"/>
      <c r="H3818" s="340"/>
      <c r="I3818" s="179"/>
      <c r="J3818" s="344"/>
      <c r="K3818" s="345"/>
      <c r="L3818" s="346"/>
      <c r="M3818" s="347"/>
      <c r="N3818" s="347"/>
      <c r="O3818" s="132"/>
    </row>
    <row r="3819" spans="2:15" ht="26.25" customHeight="1" x14ac:dyDescent="0.25">
      <c r="B3819" s="130"/>
      <c r="C3819" s="135"/>
      <c r="D3819" s="177"/>
      <c r="E3819" s="178"/>
      <c r="F3819" s="178"/>
      <c r="G3819" s="340"/>
      <c r="H3819" s="340"/>
      <c r="I3819" s="179"/>
      <c r="J3819" s="344"/>
      <c r="K3819" s="345"/>
      <c r="L3819" s="346"/>
      <c r="M3819" s="347"/>
      <c r="N3819" s="347"/>
      <c r="O3819" s="132"/>
    </row>
    <row r="3820" spans="2:15" ht="26.25" customHeight="1" x14ac:dyDescent="0.25">
      <c r="B3820" s="130"/>
      <c r="C3820" s="135"/>
      <c r="D3820" s="177"/>
      <c r="E3820" s="178"/>
      <c r="F3820" s="178"/>
      <c r="G3820" s="340"/>
      <c r="H3820" s="340"/>
      <c r="I3820" s="179"/>
      <c r="J3820" s="344"/>
      <c r="K3820" s="345"/>
      <c r="L3820" s="346"/>
      <c r="M3820" s="347"/>
      <c r="N3820" s="347"/>
      <c r="O3820" s="132"/>
    </row>
    <row r="3821" spans="2:15" ht="26.25" customHeight="1" x14ac:dyDescent="0.25">
      <c r="B3821" s="130"/>
      <c r="C3821" s="135"/>
      <c r="D3821" s="177"/>
      <c r="E3821" s="178"/>
      <c r="F3821" s="178"/>
      <c r="G3821" s="340"/>
      <c r="H3821" s="340"/>
      <c r="I3821" s="179"/>
      <c r="J3821" s="344"/>
      <c r="K3821" s="345"/>
      <c r="L3821" s="346"/>
      <c r="M3821" s="347"/>
      <c r="N3821" s="347"/>
      <c r="O3821" s="132"/>
    </row>
    <row r="3822" spans="2:15" ht="26.25" customHeight="1" x14ac:dyDescent="0.25">
      <c r="B3822" s="130"/>
      <c r="C3822" s="135"/>
      <c r="D3822" s="177"/>
      <c r="E3822" s="178"/>
      <c r="F3822" s="178"/>
      <c r="G3822" s="340"/>
      <c r="H3822" s="340"/>
      <c r="I3822" s="179"/>
      <c r="J3822" s="344"/>
      <c r="K3822" s="345"/>
      <c r="L3822" s="346"/>
      <c r="M3822" s="347"/>
      <c r="N3822" s="347"/>
      <c r="O3822" s="132"/>
    </row>
    <row r="3823" spans="2:15" ht="26.25" customHeight="1" x14ac:dyDescent="0.25">
      <c r="B3823" s="130"/>
      <c r="C3823" s="135"/>
      <c r="D3823" s="177"/>
      <c r="E3823" s="178"/>
      <c r="F3823" s="178"/>
      <c r="G3823" s="340"/>
      <c r="H3823" s="340"/>
      <c r="I3823" s="179"/>
      <c r="J3823" s="344"/>
      <c r="K3823" s="345"/>
      <c r="L3823" s="346"/>
      <c r="M3823" s="347"/>
      <c r="N3823" s="347"/>
      <c r="O3823" s="132"/>
    </row>
    <row r="3824" spans="2:15" ht="26.25" customHeight="1" x14ac:dyDescent="0.25">
      <c r="B3824" s="130"/>
      <c r="C3824" s="135"/>
      <c r="D3824" s="177"/>
      <c r="E3824" s="178"/>
      <c r="F3824" s="178"/>
      <c r="G3824" s="340"/>
      <c r="H3824" s="340"/>
      <c r="I3824" s="179"/>
      <c r="J3824" s="344"/>
      <c r="K3824" s="345"/>
      <c r="L3824" s="346"/>
      <c r="M3824" s="347"/>
      <c r="N3824" s="347"/>
      <c r="O3824" s="132"/>
    </row>
    <row r="3825" spans="2:15" ht="26.25" customHeight="1" x14ac:dyDescent="0.25">
      <c r="B3825" s="130"/>
      <c r="C3825" s="135"/>
      <c r="D3825" s="177"/>
      <c r="E3825" s="178"/>
      <c r="F3825" s="178"/>
      <c r="G3825" s="340"/>
      <c r="H3825" s="340"/>
      <c r="I3825" s="179"/>
      <c r="J3825" s="344"/>
      <c r="K3825" s="345"/>
      <c r="L3825" s="346"/>
      <c r="M3825" s="347"/>
      <c r="N3825" s="347"/>
      <c r="O3825" s="132"/>
    </row>
    <row r="3826" spans="2:15" ht="26.25" customHeight="1" x14ac:dyDescent="0.25">
      <c r="B3826" s="130"/>
      <c r="C3826" s="135"/>
      <c r="D3826" s="177"/>
      <c r="E3826" s="178"/>
      <c r="F3826" s="178"/>
      <c r="G3826" s="340"/>
      <c r="H3826" s="340"/>
      <c r="I3826" s="179"/>
      <c r="J3826" s="344"/>
      <c r="K3826" s="345"/>
      <c r="L3826" s="346"/>
      <c r="M3826" s="347"/>
      <c r="N3826" s="347"/>
      <c r="O3826" s="132"/>
    </row>
    <row r="3827" spans="2:15" ht="26.25" customHeight="1" x14ac:dyDescent="0.25">
      <c r="B3827" s="130"/>
      <c r="C3827" s="135"/>
      <c r="D3827" s="177"/>
      <c r="E3827" s="178"/>
      <c r="F3827" s="178"/>
      <c r="G3827" s="340"/>
      <c r="H3827" s="340"/>
      <c r="I3827" s="179"/>
      <c r="J3827" s="344"/>
      <c r="K3827" s="345"/>
      <c r="L3827" s="346"/>
      <c r="M3827" s="347"/>
      <c r="N3827" s="347"/>
      <c r="O3827" s="132"/>
    </row>
    <row r="3828" spans="2:15" ht="26.25" customHeight="1" x14ac:dyDescent="0.25">
      <c r="B3828" s="130"/>
      <c r="C3828" s="135"/>
      <c r="D3828" s="177"/>
      <c r="E3828" s="178"/>
      <c r="F3828" s="178"/>
      <c r="G3828" s="340"/>
      <c r="H3828" s="340"/>
      <c r="I3828" s="179"/>
      <c r="J3828" s="344"/>
      <c r="K3828" s="345"/>
      <c r="L3828" s="346"/>
      <c r="M3828" s="347"/>
      <c r="N3828" s="347"/>
      <c r="O3828" s="132"/>
    </row>
    <row r="3829" spans="2:15" ht="26.25" customHeight="1" x14ac:dyDescent="0.25">
      <c r="B3829" s="130"/>
      <c r="C3829" s="135"/>
      <c r="D3829" s="177"/>
      <c r="E3829" s="178"/>
      <c r="F3829" s="178"/>
      <c r="G3829" s="340"/>
      <c r="H3829" s="340"/>
      <c r="I3829" s="179"/>
      <c r="J3829" s="344"/>
      <c r="K3829" s="345"/>
      <c r="L3829" s="346"/>
      <c r="M3829" s="347"/>
      <c r="N3829" s="347"/>
      <c r="O3829" s="132"/>
    </row>
    <row r="3830" spans="2:15" ht="26.25" customHeight="1" x14ac:dyDescent="0.25">
      <c r="B3830" s="130"/>
      <c r="C3830" s="135"/>
      <c r="D3830" s="177"/>
      <c r="E3830" s="178"/>
      <c r="F3830" s="178"/>
      <c r="G3830" s="340"/>
      <c r="H3830" s="340"/>
      <c r="I3830" s="179"/>
      <c r="J3830" s="344"/>
      <c r="K3830" s="345"/>
      <c r="L3830" s="346"/>
      <c r="M3830" s="347"/>
      <c r="N3830" s="347"/>
      <c r="O3830" s="132"/>
    </row>
    <row r="3831" spans="2:15" ht="26.25" customHeight="1" x14ac:dyDescent="0.25">
      <c r="B3831" s="130"/>
      <c r="C3831" s="135"/>
      <c r="D3831" s="177"/>
      <c r="E3831" s="178"/>
      <c r="F3831" s="178"/>
      <c r="G3831" s="340"/>
      <c r="H3831" s="340"/>
      <c r="I3831" s="179"/>
      <c r="J3831" s="344"/>
      <c r="K3831" s="345"/>
      <c r="L3831" s="346"/>
      <c r="M3831" s="347"/>
      <c r="N3831" s="347"/>
      <c r="O3831" s="132"/>
    </row>
    <row r="3832" spans="2:15" ht="26.25" customHeight="1" x14ac:dyDescent="0.25">
      <c r="B3832" s="130"/>
      <c r="C3832" s="135"/>
      <c r="D3832" s="177"/>
      <c r="E3832" s="178"/>
      <c r="F3832" s="178"/>
      <c r="G3832" s="340"/>
      <c r="H3832" s="340"/>
      <c r="I3832" s="179"/>
      <c r="J3832" s="344"/>
      <c r="K3832" s="345"/>
      <c r="L3832" s="346"/>
      <c r="M3832" s="347"/>
      <c r="N3832" s="347"/>
      <c r="O3832" s="132"/>
    </row>
    <row r="3833" spans="2:15" ht="26.25" customHeight="1" x14ac:dyDescent="0.25">
      <c r="B3833" s="130"/>
      <c r="C3833" s="135"/>
      <c r="D3833" s="177"/>
      <c r="E3833" s="178"/>
      <c r="F3833" s="178"/>
      <c r="G3833" s="340"/>
      <c r="H3833" s="340"/>
      <c r="I3833" s="179"/>
      <c r="J3833" s="344"/>
      <c r="K3833" s="345"/>
      <c r="L3833" s="346"/>
      <c r="M3833" s="347"/>
      <c r="N3833" s="347"/>
      <c r="O3833" s="132"/>
    </row>
    <row r="3834" spans="2:15" ht="26.25" customHeight="1" x14ac:dyDescent="0.25">
      <c r="B3834" s="130"/>
      <c r="C3834" s="135"/>
      <c r="D3834" s="177"/>
      <c r="E3834" s="178"/>
      <c r="F3834" s="178"/>
      <c r="G3834" s="340"/>
      <c r="H3834" s="340"/>
      <c r="I3834" s="179"/>
      <c r="J3834" s="344"/>
      <c r="K3834" s="345"/>
      <c r="L3834" s="346"/>
      <c r="M3834" s="347"/>
      <c r="N3834" s="347"/>
      <c r="O3834" s="132"/>
    </row>
    <row r="3835" spans="2:15" ht="26.25" customHeight="1" x14ac:dyDescent="0.25">
      <c r="B3835" s="130"/>
      <c r="C3835" s="135"/>
      <c r="D3835" s="177"/>
      <c r="E3835" s="178"/>
      <c r="F3835" s="178"/>
      <c r="G3835" s="340"/>
      <c r="H3835" s="340"/>
      <c r="I3835" s="179"/>
      <c r="J3835" s="344"/>
      <c r="K3835" s="345"/>
      <c r="L3835" s="346"/>
      <c r="M3835" s="347"/>
      <c r="N3835" s="347"/>
      <c r="O3835" s="132"/>
    </row>
    <row r="3836" spans="2:15" ht="26.25" customHeight="1" x14ac:dyDescent="0.25">
      <c r="B3836" s="130"/>
      <c r="C3836" s="135"/>
      <c r="D3836" s="177"/>
      <c r="E3836" s="178"/>
      <c r="F3836" s="178"/>
      <c r="G3836" s="340"/>
      <c r="H3836" s="340"/>
      <c r="I3836" s="179"/>
      <c r="J3836" s="344"/>
      <c r="K3836" s="345"/>
      <c r="L3836" s="346"/>
      <c r="M3836" s="347"/>
      <c r="N3836" s="347"/>
      <c r="O3836" s="132"/>
    </row>
    <row r="3837" spans="2:15" ht="26.25" customHeight="1" x14ac:dyDescent="0.25">
      <c r="B3837" s="130"/>
      <c r="C3837" s="135"/>
      <c r="D3837" s="177"/>
      <c r="E3837" s="178"/>
      <c r="F3837" s="178"/>
      <c r="G3837" s="340"/>
      <c r="H3837" s="340"/>
      <c r="I3837" s="179"/>
      <c r="J3837" s="344"/>
      <c r="K3837" s="345"/>
      <c r="L3837" s="346"/>
      <c r="M3837" s="347"/>
      <c r="N3837" s="347"/>
      <c r="O3837" s="132"/>
    </row>
    <row r="3838" spans="2:15" ht="26.25" customHeight="1" x14ac:dyDescent="0.25">
      <c r="B3838" s="130"/>
      <c r="C3838" s="135"/>
      <c r="D3838" s="177"/>
      <c r="E3838" s="178"/>
      <c r="F3838" s="178"/>
      <c r="G3838" s="340"/>
      <c r="H3838" s="340"/>
      <c r="I3838" s="179"/>
      <c r="J3838" s="344"/>
      <c r="K3838" s="345"/>
      <c r="L3838" s="346"/>
      <c r="M3838" s="347"/>
      <c r="N3838" s="347"/>
      <c r="O3838" s="132"/>
    </row>
    <row r="3839" spans="2:15" ht="26.25" customHeight="1" x14ac:dyDescent="0.25">
      <c r="B3839" s="130"/>
      <c r="C3839" s="135"/>
      <c r="D3839" s="177"/>
      <c r="E3839" s="178"/>
      <c r="F3839" s="178"/>
      <c r="G3839" s="340"/>
      <c r="H3839" s="340"/>
      <c r="I3839" s="179"/>
      <c r="J3839" s="344"/>
      <c r="K3839" s="345"/>
      <c r="L3839" s="346"/>
      <c r="M3839" s="347"/>
      <c r="N3839" s="347"/>
      <c r="O3839" s="132"/>
    </row>
    <row r="3840" spans="2:15" ht="26.25" customHeight="1" x14ac:dyDescent="0.25">
      <c r="B3840" s="130"/>
      <c r="C3840" s="135"/>
      <c r="D3840" s="177"/>
      <c r="E3840" s="178"/>
      <c r="F3840" s="178"/>
      <c r="G3840" s="340"/>
      <c r="H3840" s="340"/>
      <c r="I3840" s="179"/>
      <c r="J3840" s="344"/>
      <c r="K3840" s="345"/>
      <c r="L3840" s="346"/>
      <c r="M3840" s="347"/>
      <c r="N3840" s="347"/>
      <c r="O3840" s="132"/>
    </row>
    <row r="3841" spans="2:15" ht="26.25" customHeight="1" x14ac:dyDescent="0.25">
      <c r="B3841" s="130"/>
      <c r="C3841" s="135"/>
      <c r="D3841" s="177"/>
      <c r="E3841" s="178"/>
      <c r="F3841" s="178"/>
      <c r="G3841" s="340"/>
      <c r="H3841" s="340"/>
      <c r="I3841" s="179"/>
      <c r="J3841" s="344"/>
      <c r="K3841" s="345"/>
      <c r="L3841" s="346"/>
      <c r="M3841" s="347"/>
      <c r="N3841" s="347"/>
      <c r="O3841" s="132"/>
    </row>
    <row r="3842" spans="2:15" ht="26.25" customHeight="1" x14ac:dyDescent="0.25">
      <c r="B3842" s="130"/>
      <c r="C3842" s="135"/>
      <c r="D3842" s="177"/>
      <c r="E3842" s="178"/>
      <c r="F3842" s="178"/>
      <c r="G3842" s="340"/>
      <c r="H3842" s="340"/>
      <c r="I3842" s="179"/>
      <c r="J3842" s="344"/>
      <c r="K3842" s="345"/>
      <c r="L3842" s="346"/>
      <c r="M3842" s="347"/>
      <c r="N3842" s="347"/>
      <c r="O3842" s="132"/>
    </row>
    <row r="3843" spans="2:15" ht="26.25" customHeight="1" x14ac:dyDescent="0.25">
      <c r="B3843" s="130"/>
      <c r="C3843" s="135"/>
      <c r="D3843" s="177"/>
      <c r="E3843" s="178"/>
      <c r="F3843" s="178"/>
      <c r="G3843" s="340"/>
      <c r="H3843" s="340"/>
      <c r="I3843" s="179"/>
      <c r="J3843" s="344"/>
      <c r="K3843" s="345"/>
      <c r="L3843" s="346"/>
      <c r="M3843" s="347"/>
      <c r="N3843" s="347"/>
      <c r="O3843" s="132"/>
    </row>
    <row r="3844" spans="2:15" ht="26.25" customHeight="1" x14ac:dyDescent="0.25">
      <c r="B3844" s="130"/>
      <c r="C3844" s="135"/>
      <c r="D3844" s="177"/>
      <c r="E3844" s="178"/>
      <c r="F3844" s="178"/>
      <c r="G3844" s="340"/>
      <c r="H3844" s="340"/>
      <c r="I3844" s="179"/>
      <c r="J3844" s="344"/>
      <c r="K3844" s="345"/>
      <c r="L3844" s="346"/>
      <c r="M3844" s="347"/>
      <c r="N3844" s="347"/>
      <c r="O3844" s="132"/>
    </row>
    <row r="3845" spans="2:15" ht="26.25" customHeight="1" x14ac:dyDescent="0.25">
      <c r="B3845" s="130"/>
      <c r="C3845" s="135"/>
      <c r="D3845" s="177"/>
      <c r="E3845" s="178"/>
      <c r="F3845" s="178"/>
      <c r="G3845" s="340"/>
      <c r="H3845" s="340"/>
      <c r="I3845" s="179"/>
      <c r="J3845" s="344"/>
      <c r="K3845" s="345"/>
      <c r="L3845" s="346"/>
      <c r="M3845" s="347"/>
      <c r="N3845" s="347"/>
      <c r="O3845" s="132"/>
    </row>
    <row r="3846" spans="2:15" ht="26.25" customHeight="1" x14ac:dyDescent="0.25">
      <c r="B3846" s="130"/>
      <c r="C3846" s="135"/>
      <c r="D3846" s="177"/>
      <c r="E3846" s="178"/>
      <c r="F3846" s="178"/>
      <c r="G3846" s="340"/>
      <c r="H3846" s="340"/>
      <c r="I3846" s="179"/>
      <c r="J3846" s="344"/>
      <c r="K3846" s="345"/>
      <c r="L3846" s="346"/>
      <c r="M3846" s="347"/>
      <c r="N3846" s="347"/>
      <c r="O3846" s="132"/>
    </row>
    <row r="3847" spans="2:15" ht="26.25" customHeight="1" x14ac:dyDescent="0.25">
      <c r="B3847" s="130"/>
      <c r="C3847" s="135"/>
      <c r="D3847" s="177"/>
      <c r="E3847" s="178"/>
      <c r="F3847" s="178"/>
      <c r="G3847" s="340"/>
      <c r="H3847" s="340"/>
      <c r="I3847" s="179"/>
      <c r="J3847" s="344"/>
      <c r="K3847" s="345"/>
      <c r="L3847" s="346"/>
      <c r="M3847" s="347"/>
      <c r="N3847" s="347"/>
      <c r="O3847" s="132"/>
    </row>
    <row r="3848" spans="2:15" ht="26.25" customHeight="1" x14ac:dyDescent="0.25">
      <c r="B3848" s="130"/>
      <c r="C3848" s="135"/>
      <c r="D3848" s="177"/>
      <c r="E3848" s="178"/>
      <c r="F3848" s="178"/>
      <c r="G3848" s="340"/>
      <c r="H3848" s="340"/>
      <c r="I3848" s="179"/>
      <c r="J3848" s="344"/>
      <c r="K3848" s="345"/>
      <c r="L3848" s="346"/>
      <c r="M3848" s="347"/>
      <c r="N3848" s="347"/>
      <c r="O3848" s="132"/>
    </row>
    <row r="3849" spans="2:15" ht="26.25" customHeight="1" x14ac:dyDescent="0.25">
      <c r="B3849" s="130"/>
      <c r="C3849" s="135"/>
      <c r="D3849" s="177"/>
      <c r="E3849" s="178"/>
      <c r="F3849" s="178"/>
      <c r="G3849" s="340"/>
      <c r="H3849" s="340"/>
      <c r="I3849" s="179"/>
      <c r="J3849" s="344"/>
      <c r="K3849" s="345"/>
      <c r="L3849" s="346"/>
      <c r="M3849" s="347"/>
      <c r="N3849" s="347"/>
      <c r="O3849" s="132"/>
    </row>
    <row r="3850" spans="2:15" ht="26.25" customHeight="1" x14ac:dyDescent="0.25">
      <c r="B3850" s="130"/>
      <c r="C3850" s="135"/>
      <c r="D3850" s="177"/>
      <c r="E3850" s="178"/>
      <c r="F3850" s="178"/>
      <c r="G3850" s="340"/>
      <c r="H3850" s="340"/>
      <c r="I3850" s="179"/>
      <c r="J3850" s="344"/>
      <c r="K3850" s="345"/>
      <c r="L3850" s="346"/>
      <c r="M3850" s="347"/>
      <c r="N3850" s="347"/>
      <c r="O3850" s="132"/>
    </row>
    <row r="3851" spans="2:15" ht="26.25" customHeight="1" x14ac:dyDescent="0.25">
      <c r="B3851" s="130"/>
      <c r="C3851" s="135"/>
      <c r="D3851" s="177"/>
      <c r="E3851" s="178"/>
      <c r="F3851" s="178"/>
      <c r="G3851" s="340"/>
      <c r="H3851" s="340"/>
      <c r="I3851" s="179"/>
      <c r="J3851" s="344"/>
      <c r="K3851" s="345"/>
      <c r="L3851" s="346"/>
      <c r="M3851" s="347"/>
      <c r="N3851" s="347"/>
      <c r="O3851" s="132"/>
    </row>
    <row r="3852" spans="2:15" ht="26.25" customHeight="1" x14ac:dyDescent="0.25">
      <c r="B3852" s="130"/>
      <c r="C3852" s="135"/>
      <c r="D3852" s="177"/>
      <c r="E3852" s="178"/>
      <c r="F3852" s="178"/>
      <c r="G3852" s="340"/>
      <c r="H3852" s="340"/>
      <c r="I3852" s="179"/>
      <c r="J3852" s="344"/>
      <c r="K3852" s="345"/>
      <c r="L3852" s="346"/>
      <c r="M3852" s="347"/>
      <c r="N3852" s="347"/>
      <c r="O3852" s="132"/>
    </row>
    <row r="3853" spans="2:15" ht="26.25" customHeight="1" x14ac:dyDescent="0.25">
      <c r="B3853" s="130"/>
      <c r="C3853" s="135"/>
      <c r="D3853" s="177"/>
      <c r="E3853" s="178"/>
      <c r="F3853" s="178"/>
      <c r="G3853" s="340"/>
      <c r="H3853" s="340"/>
      <c r="I3853" s="179"/>
      <c r="J3853" s="344"/>
      <c r="K3853" s="345"/>
      <c r="L3853" s="346"/>
      <c r="M3853" s="347"/>
      <c r="N3853" s="347"/>
      <c r="O3853" s="132"/>
    </row>
    <row r="3854" spans="2:15" ht="26.25" customHeight="1" x14ac:dyDescent="0.25">
      <c r="B3854" s="130"/>
      <c r="C3854" s="135"/>
      <c r="D3854" s="177"/>
      <c r="E3854" s="178"/>
      <c r="F3854" s="178"/>
      <c r="G3854" s="340"/>
      <c r="H3854" s="340"/>
      <c r="I3854" s="179"/>
      <c r="J3854" s="344"/>
      <c r="K3854" s="345"/>
      <c r="L3854" s="346"/>
      <c r="M3854" s="347"/>
      <c r="N3854" s="347"/>
      <c r="O3854" s="132"/>
    </row>
    <row r="3855" spans="2:15" ht="26.25" customHeight="1" x14ac:dyDescent="0.25">
      <c r="B3855" s="130"/>
      <c r="C3855" s="135"/>
      <c r="D3855" s="177"/>
      <c r="E3855" s="178"/>
      <c r="F3855" s="178"/>
      <c r="G3855" s="340"/>
      <c r="H3855" s="340"/>
      <c r="I3855" s="179"/>
      <c r="J3855" s="344"/>
      <c r="K3855" s="345"/>
      <c r="L3855" s="346"/>
      <c r="M3855" s="347"/>
      <c r="N3855" s="347"/>
      <c r="O3855" s="132"/>
    </row>
    <row r="3856" spans="2:15" ht="26.25" customHeight="1" x14ac:dyDescent="0.25">
      <c r="B3856" s="130"/>
      <c r="C3856" s="135"/>
      <c r="D3856" s="177"/>
      <c r="E3856" s="178"/>
      <c r="F3856" s="178"/>
      <c r="G3856" s="340"/>
      <c r="H3856" s="340"/>
      <c r="I3856" s="179"/>
      <c r="J3856" s="344"/>
      <c r="K3856" s="345"/>
      <c r="L3856" s="346"/>
      <c r="M3856" s="347"/>
      <c r="N3856" s="347"/>
      <c r="O3856" s="132"/>
    </row>
    <row r="3857" spans="2:15" ht="26.25" customHeight="1" x14ac:dyDescent="0.25">
      <c r="B3857" s="130"/>
      <c r="C3857" s="135"/>
      <c r="D3857" s="177"/>
      <c r="E3857" s="178"/>
      <c r="F3857" s="178"/>
      <c r="G3857" s="340"/>
      <c r="H3857" s="340"/>
      <c r="I3857" s="179"/>
      <c r="J3857" s="344"/>
      <c r="K3857" s="345"/>
      <c r="L3857" s="346"/>
      <c r="M3857" s="347"/>
      <c r="N3857" s="347"/>
      <c r="O3857" s="132"/>
    </row>
    <row r="3858" spans="2:15" ht="26.25" customHeight="1" x14ac:dyDescent="0.25">
      <c r="B3858" s="130"/>
      <c r="C3858" s="135"/>
      <c r="D3858" s="177"/>
      <c r="E3858" s="178"/>
      <c r="F3858" s="178"/>
      <c r="G3858" s="340"/>
      <c r="H3858" s="340"/>
      <c r="I3858" s="179"/>
      <c r="J3858" s="344"/>
      <c r="K3858" s="345"/>
      <c r="L3858" s="346"/>
      <c r="M3858" s="347"/>
      <c r="N3858" s="347"/>
      <c r="O3858" s="132"/>
    </row>
    <row r="3859" spans="2:15" ht="26.25" customHeight="1" x14ac:dyDescent="0.25">
      <c r="B3859" s="130"/>
      <c r="C3859" s="135"/>
      <c r="D3859" s="177"/>
      <c r="E3859" s="178"/>
      <c r="F3859" s="178"/>
      <c r="G3859" s="340"/>
      <c r="H3859" s="340"/>
      <c r="I3859" s="179"/>
      <c r="J3859" s="344"/>
      <c r="K3859" s="345"/>
      <c r="L3859" s="346"/>
      <c r="M3859" s="347"/>
      <c r="N3859" s="347"/>
      <c r="O3859" s="132"/>
    </row>
    <row r="3860" spans="2:15" ht="26.25" customHeight="1" x14ac:dyDescent="0.25">
      <c r="B3860" s="130"/>
      <c r="C3860" s="135"/>
      <c r="D3860" s="177"/>
      <c r="E3860" s="178"/>
      <c r="F3860" s="178"/>
      <c r="G3860" s="340"/>
      <c r="H3860" s="340"/>
      <c r="I3860" s="179"/>
      <c r="J3860" s="344"/>
      <c r="K3860" s="345"/>
      <c r="L3860" s="346"/>
      <c r="M3860" s="347"/>
      <c r="N3860" s="347"/>
      <c r="O3860" s="132"/>
    </row>
    <row r="3861" spans="2:15" ht="26.25" customHeight="1" x14ac:dyDescent="0.25">
      <c r="B3861" s="130"/>
      <c r="C3861" s="135"/>
      <c r="D3861" s="177"/>
      <c r="E3861" s="178"/>
      <c r="F3861" s="178"/>
      <c r="G3861" s="340"/>
      <c r="H3861" s="340"/>
      <c r="I3861" s="179"/>
      <c r="J3861" s="344"/>
      <c r="K3861" s="345"/>
      <c r="L3861" s="346"/>
      <c r="M3861" s="347"/>
      <c r="N3861" s="347"/>
      <c r="O3861" s="132"/>
    </row>
    <row r="3862" spans="2:15" ht="26.25" customHeight="1" x14ac:dyDescent="0.25">
      <c r="B3862" s="130"/>
      <c r="C3862" s="135"/>
      <c r="D3862" s="177"/>
      <c r="E3862" s="178"/>
      <c r="F3862" s="178"/>
      <c r="G3862" s="340"/>
      <c r="H3862" s="340"/>
      <c r="I3862" s="179"/>
      <c r="J3862" s="344"/>
      <c r="K3862" s="345"/>
      <c r="L3862" s="346"/>
      <c r="M3862" s="347"/>
      <c r="N3862" s="347"/>
      <c r="O3862" s="132"/>
    </row>
    <row r="3863" spans="2:15" ht="26.25" customHeight="1" x14ac:dyDescent="0.25">
      <c r="B3863" s="130"/>
      <c r="C3863" s="135"/>
      <c r="D3863" s="177"/>
      <c r="E3863" s="178"/>
      <c r="F3863" s="178"/>
      <c r="G3863" s="340"/>
      <c r="H3863" s="340"/>
      <c r="I3863" s="179"/>
      <c r="J3863" s="344"/>
      <c r="K3863" s="345"/>
      <c r="L3863" s="346"/>
      <c r="M3863" s="347"/>
      <c r="N3863" s="347"/>
      <c r="O3863" s="132"/>
    </row>
    <row r="3864" spans="2:15" ht="26.25" customHeight="1" x14ac:dyDescent="0.25">
      <c r="B3864" s="130"/>
      <c r="C3864" s="135"/>
      <c r="D3864" s="177"/>
      <c r="E3864" s="178"/>
      <c r="F3864" s="178"/>
      <c r="G3864" s="340"/>
      <c r="H3864" s="340"/>
      <c r="I3864" s="179"/>
      <c r="J3864" s="344"/>
      <c r="K3864" s="345"/>
      <c r="L3864" s="346"/>
      <c r="M3864" s="347"/>
      <c r="N3864" s="347"/>
      <c r="O3864" s="132"/>
    </row>
    <row r="3865" spans="2:15" ht="26.25" customHeight="1" x14ac:dyDescent="0.25">
      <c r="B3865" s="130"/>
      <c r="C3865" s="135"/>
      <c r="D3865" s="177"/>
      <c r="E3865" s="178"/>
      <c r="F3865" s="178"/>
      <c r="G3865" s="340"/>
      <c r="H3865" s="340"/>
      <c r="I3865" s="179"/>
      <c r="J3865" s="344"/>
      <c r="K3865" s="345"/>
      <c r="L3865" s="346"/>
      <c r="M3865" s="347"/>
      <c r="N3865" s="347"/>
      <c r="O3865" s="132"/>
    </row>
    <row r="3866" spans="2:15" ht="26.25" customHeight="1" x14ac:dyDescent="0.25">
      <c r="B3866" s="130"/>
      <c r="C3866" s="135"/>
      <c r="D3866" s="177"/>
      <c r="E3866" s="178"/>
      <c r="F3866" s="178"/>
      <c r="G3866" s="340"/>
      <c r="H3866" s="340"/>
      <c r="I3866" s="179"/>
      <c r="J3866" s="344"/>
      <c r="K3866" s="345"/>
      <c r="L3866" s="346"/>
      <c r="M3866" s="347"/>
      <c r="N3866" s="347"/>
      <c r="O3866" s="132"/>
    </row>
    <row r="3867" spans="2:15" ht="26.25" customHeight="1" x14ac:dyDescent="0.25">
      <c r="B3867" s="130"/>
      <c r="C3867" s="135"/>
      <c r="D3867" s="177"/>
      <c r="E3867" s="178"/>
      <c r="F3867" s="178"/>
      <c r="G3867" s="340"/>
      <c r="H3867" s="340"/>
      <c r="I3867" s="179"/>
      <c r="J3867" s="344"/>
      <c r="K3867" s="345"/>
      <c r="L3867" s="346"/>
      <c r="M3867" s="347"/>
      <c r="N3867" s="347"/>
      <c r="O3867" s="132"/>
    </row>
    <row r="3868" spans="2:15" ht="26.25" customHeight="1" x14ac:dyDescent="0.25">
      <c r="B3868" s="130"/>
      <c r="C3868" s="135"/>
      <c r="D3868" s="177"/>
      <c r="E3868" s="178"/>
      <c r="F3868" s="178"/>
      <c r="G3868" s="340"/>
      <c r="H3868" s="340"/>
      <c r="I3868" s="179"/>
      <c r="J3868" s="344"/>
      <c r="K3868" s="345"/>
      <c r="L3868" s="346"/>
      <c r="M3868" s="347"/>
      <c r="N3868" s="347"/>
      <c r="O3868" s="132"/>
    </row>
    <row r="3869" spans="2:15" ht="26.25" customHeight="1" x14ac:dyDescent="0.25">
      <c r="B3869" s="130"/>
      <c r="C3869" s="135"/>
      <c r="D3869" s="177"/>
      <c r="E3869" s="178"/>
      <c r="F3869" s="178"/>
      <c r="G3869" s="340"/>
      <c r="H3869" s="340"/>
      <c r="I3869" s="179"/>
      <c r="J3869" s="344"/>
      <c r="K3869" s="345"/>
      <c r="L3869" s="346"/>
      <c r="M3869" s="347"/>
      <c r="N3869" s="347"/>
      <c r="O3869" s="132"/>
    </row>
    <row r="3870" spans="2:15" ht="26.25" customHeight="1" x14ac:dyDescent="0.25">
      <c r="B3870" s="130"/>
      <c r="C3870" s="135"/>
      <c r="D3870" s="177"/>
      <c r="E3870" s="178"/>
      <c r="F3870" s="178"/>
      <c r="G3870" s="340"/>
      <c r="H3870" s="340"/>
      <c r="I3870" s="179"/>
      <c r="J3870" s="344"/>
      <c r="K3870" s="345"/>
      <c r="L3870" s="346"/>
      <c r="M3870" s="347"/>
      <c r="N3870" s="347"/>
      <c r="O3870" s="132"/>
    </row>
    <row r="3871" spans="2:15" ht="26.25" customHeight="1" x14ac:dyDescent="0.25">
      <c r="B3871" s="130"/>
      <c r="C3871" s="135"/>
      <c r="D3871" s="177"/>
      <c r="E3871" s="178"/>
      <c r="F3871" s="178"/>
      <c r="G3871" s="340"/>
      <c r="H3871" s="340"/>
      <c r="I3871" s="179"/>
      <c r="J3871" s="344"/>
      <c r="K3871" s="345"/>
      <c r="L3871" s="346"/>
      <c r="M3871" s="347"/>
      <c r="N3871" s="347"/>
      <c r="O3871" s="132"/>
    </row>
    <row r="3872" spans="2:15" ht="26.25" customHeight="1" x14ac:dyDescent="0.25">
      <c r="B3872" s="130"/>
      <c r="C3872" s="135"/>
      <c r="D3872" s="177"/>
      <c r="E3872" s="178"/>
      <c r="F3872" s="178"/>
      <c r="G3872" s="340"/>
      <c r="H3872" s="340"/>
      <c r="I3872" s="179"/>
      <c r="J3872" s="344"/>
      <c r="K3872" s="345"/>
      <c r="L3872" s="346"/>
      <c r="M3872" s="347"/>
      <c r="N3872" s="347"/>
      <c r="O3872" s="132"/>
    </row>
    <row r="3873" spans="2:15" ht="26.25" customHeight="1" x14ac:dyDescent="0.25">
      <c r="B3873" s="130"/>
      <c r="C3873" s="135"/>
      <c r="D3873" s="177"/>
      <c r="E3873" s="178"/>
      <c r="F3873" s="178"/>
      <c r="G3873" s="340"/>
      <c r="H3873" s="340"/>
      <c r="I3873" s="179"/>
      <c r="J3873" s="344"/>
      <c r="K3873" s="345"/>
      <c r="L3873" s="346"/>
      <c r="M3873" s="347"/>
      <c r="N3873" s="347"/>
      <c r="O3873" s="132"/>
    </row>
    <row r="3874" spans="2:15" ht="26.25" customHeight="1" x14ac:dyDescent="0.25">
      <c r="B3874" s="130"/>
      <c r="C3874" s="135"/>
      <c r="D3874" s="177"/>
      <c r="E3874" s="178"/>
      <c r="F3874" s="178"/>
      <c r="G3874" s="340"/>
      <c r="H3874" s="340"/>
      <c r="I3874" s="179"/>
      <c r="J3874" s="344"/>
      <c r="K3874" s="345"/>
      <c r="L3874" s="346"/>
      <c r="M3874" s="347"/>
      <c r="N3874" s="347"/>
      <c r="O3874" s="132"/>
    </row>
    <row r="3875" spans="2:15" ht="26.25" customHeight="1" x14ac:dyDescent="0.25">
      <c r="B3875" s="130"/>
      <c r="C3875" s="135"/>
      <c r="D3875" s="177"/>
      <c r="E3875" s="178"/>
      <c r="F3875" s="178"/>
      <c r="G3875" s="340"/>
      <c r="H3875" s="340"/>
      <c r="I3875" s="179"/>
      <c r="J3875" s="344"/>
      <c r="K3875" s="345"/>
      <c r="L3875" s="346"/>
      <c r="M3875" s="347"/>
      <c r="N3875" s="347"/>
      <c r="O3875" s="132"/>
    </row>
    <row r="3876" spans="2:15" ht="26.25" customHeight="1" x14ac:dyDescent="0.25">
      <c r="B3876" s="130"/>
      <c r="C3876" s="135"/>
      <c r="D3876" s="177"/>
      <c r="E3876" s="178"/>
      <c r="F3876" s="178"/>
      <c r="G3876" s="340"/>
      <c r="H3876" s="340"/>
      <c r="I3876" s="179"/>
      <c r="J3876" s="344"/>
      <c r="K3876" s="345"/>
      <c r="L3876" s="346"/>
      <c r="M3876" s="347"/>
      <c r="N3876" s="347"/>
      <c r="O3876" s="132"/>
    </row>
    <row r="3877" spans="2:15" ht="26.25" customHeight="1" x14ac:dyDescent="0.25">
      <c r="B3877" s="130"/>
      <c r="C3877" s="135"/>
      <c r="D3877" s="177"/>
      <c r="E3877" s="178"/>
      <c r="F3877" s="178"/>
      <c r="G3877" s="340"/>
      <c r="H3877" s="340"/>
      <c r="I3877" s="179"/>
      <c r="J3877" s="344"/>
      <c r="K3877" s="345"/>
      <c r="L3877" s="346"/>
      <c r="M3877" s="347"/>
      <c r="N3877" s="347"/>
      <c r="O3877" s="132"/>
    </row>
    <row r="3878" spans="2:15" ht="26.25" customHeight="1" x14ac:dyDescent="0.25">
      <c r="B3878" s="130"/>
      <c r="C3878" s="135"/>
      <c r="D3878" s="177"/>
      <c r="E3878" s="178"/>
      <c r="F3878" s="178"/>
      <c r="G3878" s="340"/>
      <c r="H3878" s="340"/>
      <c r="I3878" s="179"/>
      <c r="J3878" s="344"/>
      <c r="K3878" s="345"/>
      <c r="L3878" s="346"/>
      <c r="M3878" s="347"/>
      <c r="N3878" s="347"/>
      <c r="O3878" s="132"/>
    </row>
    <row r="3879" spans="2:15" ht="26.25" customHeight="1" x14ac:dyDescent="0.25">
      <c r="B3879" s="130"/>
      <c r="C3879" s="135"/>
      <c r="D3879" s="177"/>
      <c r="E3879" s="178"/>
      <c r="F3879" s="178"/>
      <c r="G3879" s="340"/>
      <c r="H3879" s="340"/>
      <c r="I3879" s="179"/>
      <c r="J3879" s="344"/>
      <c r="K3879" s="345"/>
      <c r="L3879" s="346"/>
      <c r="M3879" s="347"/>
      <c r="N3879" s="347"/>
      <c r="O3879" s="132"/>
    </row>
    <row r="3880" spans="2:15" ht="26.25" customHeight="1" x14ac:dyDescent="0.25">
      <c r="B3880" s="130"/>
      <c r="C3880" s="135"/>
      <c r="D3880" s="177"/>
      <c r="E3880" s="178"/>
      <c r="F3880" s="178"/>
      <c r="G3880" s="340"/>
      <c r="H3880" s="340"/>
      <c r="I3880" s="179"/>
      <c r="J3880" s="344"/>
      <c r="K3880" s="345"/>
      <c r="L3880" s="346"/>
      <c r="M3880" s="347"/>
      <c r="N3880" s="347"/>
      <c r="O3880" s="132"/>
    </row>
    <row r="3881" spans="2:15" ht="26.25" customHeight="1" x14ac:dyDescent="0.25">
      <c r="B3881" s="130"/>
      <c r="C3881" s="135"/>
      <c r="D3881" s="177"/>
      <c r="E3881" s="178"/>
      <c r="F3881" s="178"/>
      <c r="G3881" s="340"/>
      <c r="H3881" s="340"/>
      <c r="I3881" s="179"/>
      <c r="J3881" s="344"/>
      <c r="K3881" s="345"/>
      <c r="L3881" s="346"/>
      <c r="M3881" s="347"/>
      <c r="N3881" s="347"/>
      <c r="O3881" s="132"/>
    </row>
    <row r="3882" spans="2:15" ht="26.25" customHeight="1" x14ac:dyDescent="0.25">
      <c r="B3882" s="130"/>
      <c r="C3882" s="135"/>
      <c r="D3882" s="177"/>
      <c r="E3882" s="178"/>
      <c r="F3882" s="178"/>
      <c r="G3882" s="340"/>
      <c r="H3882" s="340"/>
      <c r="I3882" s="179"/>
      <c r="J3882" s="344"/>
      <c r="K3882" s="345"/>
      <c r="L3882" s="346"/>
      <c r="M3882" s="347"/>
      <c r="N3882" s="347"/>
      <c r="O3882" s="132"/>
    </row>
    <row r="3883" spans="2:15" ht="26.25" customHeight="1" x14ac:dyDescent="0.25">
      <c r="B3883" s="130"/>
      <c r="C3883" s="135"/>
      <c r="D3883" s="177"/>
      <c r="E3883" s="178"/>
      <c r="F3883" s="178"/>
      <c r="G3883" s="340"/>
      <c r="H3883" s="340"/>
      <c r="I3883" s="179"/>
      <c r="J3883" s="344"/>
      <c r="K3883" s="345"/>
      <c r="L3883" s="346"/>
      <c r="M3883" s="347"/>
      <c r="N3883" s="347"/>
      <c r="O3883" s="132"/>
    </row>
    <row r="3884" spans="2:15" ht="26.25" customHeight="1" x14ac:dyDescent="0.25">
      <c r="B3884" s="130"/>
      <c r="C3884" s="135"/>
      <c r="D3884" s="177"/>
      <c r="E3884" s="178"/>
      <c r="F3884" s="178"/>
      <c r="G3884" s="340"/>
      <c r="H3884" s="340"/>
      <c r="I3884" s="179"/>
      <c r="J3884" s="344"/>
      <c r="K3884" s="345"/>
      <c r="L3884" s="346"/>
      <c r="M3884" s="347"/>
      <c r="N3884" s="347"/>
      <c r="O3884" s="132"/>
    </row>
    <row r="3885" spans="2:15" ht="26.25" customHeight="1" x14ac:dyDescent="0.25">
      <c r="B3885" s="130"/>
      <c r="C3885" s="135"/>
      <c r="D3885" s="177"/>
      <c r="E3885" s="178"/>
      <c r="F3885" s="178"/>
      <c r="G3885" s="340"/>
      <c r="H3885" s="340"/>
      <c r="I3885" s="179"/>
      <c r="J3885" s="344"/>
      <c r="K3885" s="345"/>
      <c r="L3885" s="346"/>
      <c r="M3885" s="347"/>
      <c r="N3885" s="347"/>
      <c r="O3885" s="132"/>
    </row>
    <row r="3886" spans="2:15" ht="26.25" customHeight="1" x14ac:dyDescent="0.25">
      <c r="B3886" s="130"/>
      <c r="C3886" s="135"/>
      <c r="D3886" s="177"/>
      <c r="E3886" s="178"/>
      <c r="F3886" s="178"/>
      <c r="G3886" s="340"/>
      <c r="H3886" s="340"/>
      <c r="I3886" s="179"/>
      <c r="J3886" s="344"/>
      <c r="K3886" s="345"/>
      <c r="L3886" s="346"/>
      <c r="M3886" s="347"/>
      <c r="N3886" s="347"/>
      <c r="O3886" s="132"/>
    </row>
    <row r="3887" spans="2:15" ht="26.25" customHeight="1" x14ac:dyDescent="0.25">
      <c r="B3887" s="130"/>
      <c r="C3887" s="135"/>
      <c r="D3887" s="177"/>
      <c r="E3887" s="178"/>
      <c r="F3887" s="178"/>
      <c r="G3887" s="340"/>
      <c r="H3887" s="340"/>
      <c r="I3887" s="179"/>
      <c r="J3887" s="344"/>
      <c r="K3887" s="345"/>
      <c r="L3887" s="346"/>
      <c r="M3887" s="347"/>
      <c r="N3887" s="347"/>
      <c r="O3887" s="132"/>
    </row>
    <row r="3888" spans="2:15" ht="26.25" customHeight="1" x14ac:dyDescent="0.25">
      <c r="B3888" s="130"/>
      <c r="C3888" s="135"/>
      <c r="D3888" s="177"/>
      <c r="E3888" s="178"/>
      <c r="F3888" s="178"/>
      <c r="G3888" s="340"/>
      <c r="H3888" s="340"/>
      <c r="I3888" s="179"/>
      <c r="J3888" s="344"/>
      <c r="K3888" s="345"/>
      <c r="L3888" s="346"/>
      <c r="M3888" s="347"/>
      <c r="N3888" s="347"/>
      <c r="O3888" s="132"/>
    </row>
    <row r="3889" spans="2:15" ht="26.25" customHeight="1" x14ac:dyDescent="0.25">
      <c r="B3889" s="130"/>
      <c r="C3889" s="135"/>
      <c r="D3889" s="177"/>
      <c r="E3889" s="178"/>
      <c r="F3889" s="178"/>
      <c r="G3889" s="340"/>
      <c r="H3889" s="340"/>
      <c r="I3889" s="179"/>
      <c r="J3889" s="344"/>
      <c r="K3889" s="345"/>
      <c r="L3889" s="346"/>
      <c r="M3889" s="347"/>
      <c r="N3889" s="347"/>
      <c r="O3889" s="132"/>
    </row>
    <row r="3890" spans="2:15" ht="26.25" customHeight="1" x14ac:dyDescent="0.25">
      <c r="B3890" s="130"/>
      <c r="C3890" s="135"/>
      <c r="D3890" s="177"/>
      <c r="E3890" s="178"/>
      <c r="F3890" s="178"/>
      <c r="G3890" s="340"/>
      <c r="H3890" s="340"/>
      <c r="I3890" s="179"/>
      <c r="J3890" s="344"/>
      <c r="K3890" s="345"/>
      <c r="L3890" s="346"/>
      <c r="M3890" s="347"/>
      <c r="N3890" s="347"/>
      <c r="O3890" s="132"/>
    </row>
    <row r="3891" spans="2:15" ht="26.25" customHeight="1" x14ac:dyDescent="0.25">
      <c r="B3891" s="130"/>
      <c r="C3891" s="135"/>
      <c r="D3891" s="177"/>
      <c r="E3891" s="178"/>
      <c r="F3891" s="178"/>
      <c r="G3891" s="340"/>
      <c r="H3891" s="340"/>
      <c r="I3891" s="179"/>
      <c r="J3891" s="344"/>
      <c r="K3891" s="345"/>
      <c r="L3891" s="346"/>
      <c r="M3891" s="347"/>
      <c r="N3891" s="347"/>
      <c r="O3891" s="132"/>
    </row>
    <row r="3892" spans="2:15" ht="26.25" customHeight="1" x14ac:dyDescent="0.25">
      <c r="B3892" s="130"/>
      <c r="C3892" s="135"/>
      <c r="D3892" s="177"/>
      <c r="E3892" s="178"/>
      <c r="F3892" s="178"/>
      <c r="G3892" s="340"/>
      <c r="H3892" s="340"/>
      <c r="I3892" s="179"/>
      <c r="J3892" s="344"/>
      <c r="K3892" s="345"/>
      <c r="L3892" s="346"/>
      <c r="M3892" s="347"/>
      <c r="N3892" s="347"/>
      <c r="O3892" s="132"/>
    </row>
    <row r="3893" spans="2:15" ht="26.25" customHeight="1" x14ac:dyDescent="0.25">
      <c r="B3893" s="130"/>
      <c r="C3893" s="135"/>
      <c r="D3893" s="177"/>
      <c r="E3893" s="178"/>
      <c r="F3893" s="178"/>
      <c r="G3893" s="340"/>
      <c r="H3893" s="340"/>
      <c r="I3893" s="179"/>
      <c r="J3893" s="344"/>
      <c r="K3893" s="345"/>
      <c r="L3893" s="346"/>
      <c r="M3893" s="347"/>
      <c r="N3893" s="347"/>
      <c r="O3893" s="132"/>
    </row>
    <row r="3894" spans="2:15" ht="26.25" customHeight="1" x14ac:dyDescent="0.25">
      <c r="B3894" s="130"/>
      <c r="C3894" s="135"/>
      <c r="D3894" s="177"/>
      <c r="E3894" s="178"/>
      <c r="F3894" s="178"/>
      <c r="G3894" s="340"/>
      <c r="H3894" s="340"/>
      <c r="I3894" s="179"/>
      <c r="J3894" s="344"/>
      <c r="K3894" s="345"/>
      <c r="L3894" s="346"/>
      <c r="M3894" s="347"/>
      <c r="N3894" s="347"/>
      <c r="O3894" s="132"/>
    </row>
    <row r="3895" spans="2:15" ht="26.25" customHeight="1" x14ac:dyDescent="0.25">
      <c r="B3895" s="130"/>
      <c r="C3895" s="135"/>
      <c r="D3895" s="177"/>
      <c r="E3895" s="178"/>
      <c r="F3895" s="178"/>
      <c r="G3895" s="340"/>
      <c r="H3895" s="340"/>
      <c r="I3895" s="179"/>
      <c r="J3895" s="344"/>
      <c r="K3895" s="345"/>
      <c r="L3895" s="346"/>
      <c r="M3895" s="347"/>
      <c r="N3895" s="347"/>
      <c r="O3895" s="132"/>
    </row>
    <row r="3896" spans="2:15" ht="26.25" customHeight="1" x14ac:dyDescent="0.25">
      <c r="B3896" s="130"/>
      <c r="C3896" s="135"/>
      <c r="D3896" s="177"/>
      <c r="E3896" s="178"/>
      <c r="F3896" s="178"/>
      <c r="G3896" s="340"/>
      <c r="H3896" s="340"/>
      <c r="I3896" s="179"/>
      <c r="J3896" s="344"/>
      <c r="K3896" s="345"/>
      <c r="L3896" s="346"/>
      <c r="M3896" s="347"/>
      <c r="N3896" s="347"/>
      <c r="O3896" s="132"/>
    </row>
    <row r="3897" spans="2:15" ht="26.25" customHeight="1" x14ac:dyDescent="0.25">
      <c r="B3897" s="130"/>
      <c r="C3897" s="135"/>
      <c r="D3897" s="177"/>
      <c r="E3897" s="178"/>
      <c r="F3897" s="178"/>
      <c r="G3897" s="340"/>
      <c r="H3897" s="340"/>
      <c r="I3897" s="179"/>
      <c r="J3897" s="344"/>
      <c r="K3897" s="345"/>
      <c r="L3897" s="346"/>
      <c r="M3897" s="347"/>
      <c r="N3897" s="347"/>
      <c r="O3897" s="132"/>
    </row>
    <row r="3898" spans="2:15" ht="26.25" customHeight="1" x14ac:dyDescent="0.25">
      <c r="B3898" s="130"/>
      <c r="C3898" s="135"/>
      <c r="D3898" s="177"/>
      <c r="E3898" s="178"/>
      <c r="F3898" s="178"/>
      <c r="G3898" s="340"/>
      <c r="H3898" s="340"/>
      <c r="I3898" s="179"/>
      <c r="J3898" s="344"/>
      <c r="K3898" s="345"/>
      <c r="L3898" s="346"/>
      <c r="M3898" s="347"/>
      <c r="N3898" s="347"/>
      <c r="O3898" s="132"/>
    </row>
    <row r="3899" spans="2:15" ht="26.25" customHeight="1" x14ac:dyDescent="0.25">
      <c r="B3899" s="130"/>
      <c r="C3899" s="135"/>
      <c r="D3899" s="177"/>
      <c r="E3899" s="178"/>
      <c r="F3899" s="178"/>
      <c r="G3899" s="340"/>
      <c r="H3899" s="340"/>
      <c r="I3899" s="179"/>
      <c r="J3899" s="344"/>
      <c r="K3899" s="345"/>
      <c r="L3899" s="346"/>
      <c r="M3899" s="347"/>
      <c r="N3899" s="347"/>
      <c r="O3899" s="132"/>
    </row>
    <row r="3900" spans="2:15" ht="26.25" customHeight="1" x14ac:dyDescent="0.25">
      <c r="B3900" s="130"/>
      <c r="C3900" s="135"/>
      <c r="D3900" s="177"/>
      <c r="E3900" s="178"/>
      <c r="F3900" s="178"/>
      <c r="G3900" s="340"/>
      <c r="H3900" s="340"/>
      <c r="I3900" s="179"/>
      <c r="J3900" s="344"/>
      <c r="K3900" s="345"/>
      <c r="L3900" s="346"/>
      <c r="M3900" s="347"/>
      <c r="N3900" s="347"/>
      <c r="O3900" s="132"/>
    </row>
    <row r="3901" spans="2:15" ht="26.25" customHeight="1" x14ac:dyDescent="0.25">
      <c r="B3901" s="130"/>
      <c r="C3901" s="135"/>
      <c r="D3901" s="177"/>
      <c r="E3901" s="178"/>
      <c r="F3901" s="178"/>
      <c r="G3901" s="340"/>
      <c r="H3901" s="340"/>
      <c r="I3901" s="179"/>
      <c r="J3901" s="344"/>
      <c r="K3901" s="345"/>
      <c r="L3901" s="346"/>
      <c r="M3901" s="347"/>
      <c r="N3901" s="347"/>
      <c r="O3901" s="132"/>
    </row>
    <row r="3902" spans="2:15" ht="26.25" customHeight="1" x14ac:dyDescent="0.25">
      <c r="B3902" s="130"/>
      <c r="C3902" s="135"/>
      <c r="D3902" s="177"/>
      <c r="E3902" s="178"/>
      <c r="F3902" s="178"/>
      <c r="G3902" s="340"/>
      <c r="H3902" s="340"/>
      <c r="I3902" s="179"/>
      <c r="J3902" s="344"/>
      <c r="K3902" s="345"/>
      <c r="L3902" s="346"/>
      <c r="M3902" s="347"/>
      <c r="N3902" s="347"/>
      <c r="O3902" s="132"/>
    </row>
    <row r="3903" spans="2:15" ht="26.25" customHeight="1" x14ac:dyDescent="0.25">
      <c r="B3903" s="130"/>
      <c r="C3903" s="135"/>
      <c r="D3903" s="177"/>
      <c r="E3903" s="178"/>
      <c r="F3903" s="178"/>
      <c r="G3903" s="340"/>
      <c r="H3903" s="340"/>
      <c r="I3903" s="179"/>
      <c r="J3903" s="344"/>
      <c r="K3903" s="345"/>
      <c r="L3903" s="346"/>
      <c r="M3903" s="347"/>
      <c r="N3903" s="347"/>
      <c r="O3903" s="132"/>
    </row>
    <row r="3904" spans="2:15" ht="26.25" customHeight="1" x14ac:dyDescent="0.25">
      <c r="B3904" s="130"/>
      <c r="C3904" s="135"/>
      <c r="D3904" s="177"/>
      <c r="E3904" s="178"/>
      <c r="F3904" s="178"/>
      <c r="G3904" s="340"/>
      <c r="H3904" s="340"/>
      <c r="I3904" s="179"/>
      <c r="J3904" s="344"/>
      <c r="K3904" s="345"/>
      <c r="L3904" s="346"/>
      <c r="M3904" s="347"/>
      <c r="N3904" s="347"/>
      <c r="O3904" s="132"/>
    </row>
    <row r="3905" spans="2:15" ht="26.25" customHeight="1" x14ac:dyDescent="0.25">
      <c r="B3905" s="130"/>
      <c r="C3905" s="135"/>
      <c r="D3905" s="177"/>
      <c r="E3905" s="178"/>
      <c r="F3905" s="178"/>
      <c r="G3905" s="340"/>
      <c r="H3905" s="340"/>
      <c r="I3905" s="179"/>
      <c r="J3905" s="344"/>
      <c r="K3905" s="345"/>
      <c r="L3905" s="346"/>
      <c r="M3905" s="347"/>
      <c r="N3905" s="347"/>
      <c r="O3905" s="132"/>
    </row>
    <row r="3906" spans="2:15" ht="26.25" customHeight="1" x14ac:dyDescent="0.25">
      <c r="B3906" s="130"/>
      <c r="C3906" s="135"/>
      <c r="D3906" s="177"/>
      <c r="E3906" s="178"/>
      <c r="F3906" s="178"/>
      <c r="G3906" s="340"/>
      <c r="H3906" s="340"/>
      <c r="I3906" s="179"/>
      <c r="J3906" s="344"/>
      <c r="K3906" s="345"/>
      <c r="L3906" s="346"/>
      <c r="M3906" s="347"/>
      <c r="N3906" s="347"/>
      <c r="O3906" s="132"/>
    </row>
    <row r="3907" spans="2:15" ht="26.25" customHeight="1" x14ac:dyDescent="0.25">
      <c r="B3907" s="130"/>
      <c r="C3907" s="135"/>
      <c r="D3907" s="177"/>
      <c r="E3907" s="178"/>
      <c r="F3907" s="178"/>
      <c r="G3907" s="340"/>
      <c r="H3907" s="340"/>
      <c r="I3907" s="179"/>
      <c r="J3907" s="344"/>
      <c r="K3907" s="345"/>
      <c r="L3907" s="346"/>
      <c r="M3907" s="347"/>
      <c r="N3907" s="347"/>
      <c r="O3907" s="132"/>
    </row>
    <row r="3908" spans="2:15" ht="26.25" customHeight="1" x14ac:dyDescent="0.25">
      <c r="B3908" s="130"/>
      <c r="C3908" s="135"/>
      <c r="D3908" s="177"/>
      <c r="E3908" s="178"/>
      <c r="F3908" s="178"/>
      <c r="G3908" s="340"/>
      <c r="H3908" s="340"/>
      <c r="I3908" s="179"/>
      <c r="J3908" s="344"/>
      <c r="K3908" s="345"/>
      <c r="L3908" s="346"/>
      <c r="M3908" s="347"/>
      <c r="N3908" s="347"/>
      <c r="O3908" s="132"/>
    </row>
    <row r="3909" spans="2:15" ht="26.25" customHeight="1" x14ac:dyDescent="0.25">
      <c r="B3909" s="130"/>
      <c r="C3909" s="135"/>
      <c r="D3909" s="177"/>
      <c r="E3909" s="178"/>
      <c r="F3909" s="178"/>
      <c r="G3909" s="340"/>
      <c r="H3909" s="340"/>
      <c r="I3909" s="179"/>
      <c r="J3909" s="344"/>
      <c r="K3909" s="345"/>
      <c r="L3909" s="346"/>
      <c r="M3909" s="347"/>
      <c r="N3909" s="347"/>
      <c r="O3909" s="132"/>
    </row>
    <row r="3910" spans="2:15" ht="26.25" customHeight="1" x14ac:dyDescent="0.25">
      <c r="B3910" s="130"/>
      <c r="C3910" s="135"/>
      <c r="D3910" s="177"/>
      <c r="E3910" s="178"/>
      <c r="F3910" s="178"/>
      <c r="G3910" s="340"/>
      <c r="H3910" s="340"/>
      <c r="I3910" s="179"/>
      <c r="J3910" s="344"/>
      <c r="K3910" s="345"/>
      <c r="L3910" s="346"/>
      <c r="M3910" s="347"/>
      <c r="N3910" s="347"/>
      <c r="O3910" s="132"/>
    </row>
    <row r="3911" spans="2:15" ht="26.25" customHeight="1" x14ac:dyDescent="0.25">
      <c r="B3911" s="130"/>
      <c r="C3911" s="135"/>
      <c r="D3911" s="177"/>
      <c r="E3911" s="178"/>
      <c r="F3911" s="178"/>
      <c r="G3911" s="340"/>
      <c r="H3911" s="340"/>
      <c r="I3911" s="179"/>
      <c r="J3911" s="344"/>
      <c r="K3911" s="345"/>
      <c r="L3911" s="346"/>
      <c r="M3911" s="347"/>
      <c r="N3911" s="347"/>
      <c r="O3911" s="132"/>
    </row>
    <row r="3912" spans="2:15" ht="26.25" customHeight="1" x14ac:dyDescent="0.25">
      <c r="B3912" s="130"/>
      <c r="C3912" s="135"/>
      <c r="D3912" s="177"/>
      <c r="E3912" s="178"/>
      <c r="F3912" s="178"/>
      <c r="G3912" s="340"/>
      <c r="H3912" s="340"/>
      <c r="I3912" s="179"/>
      <c r="J3912" s="344"/>
      <c r="K3912" s="345"/>
      <c r="L3912" s="346"/>
      <c r="M3912" s="347"/>
      <c r="N3912" s="347"/>
      <c r="O3912" s="132"/>
    </row>
    <row r="3913" spans="2:15" ht="26.25" customHeight="1" x14ac:dyDescent="0.25">
      <c r="B3913" s="130"/>
      <c r="C3913" s="135"/>
      <c r="D3913" s="177"/>
      <c r="E3913" s="178"/>
      <c r="F3913" s="178"/>
      <c r="G3913" s="340"/>
      <c r="H3913" s="340"/>
      <c r="I3913" s="179"/>
      <c r="J3913" s="344"/>
      <c r="K3913" s="345"/>
      <c r="L3913" s="346"/>
      <c r="M3913" s="347"/>
      <c r="N3913" s="347"/>
      <c r="O3913" s="132"/>
    </row>
    <row r="3914" spans="2:15" ht="26.25" customHeight="1" x14ac:dyDescent="0.25">
      <c r="B3914" s="130"/>
      <c r="C3914" s="135"/>
      <c r="D3914" s="177"/>
      <c r="E3914" s="178"/>
      <c r="F3914" s="178"/>
      <c r="G3914" s="340"/>
      <c r="H3914" s="340"/>
      <c r="I3914" s="179"/>
      <c r="J3914" s="344"/>
      <c r="K3914" s="345"/>
      <c r="L3914" s="346"/>
      <c r="M3914" s="347"/>
      <c r="N3914" s="347"/>
      <c r="O3914" s="132"/>
    </row>
    <row r="3915" spans="2:15" ht="26.25" customHeight="1" x14ac:dyDescent="0.25">
      <c r="B3915" s="130"/>
      <c r="C3915" s="135"/>
      <c r="D3915" s="177"/>
      <c r="E3915" s="178"/>
      <c r="F3915" s="178"/>
      <c r="G3915" s="340"/>
      <c r="H3915" s="340"/>
      <c r="I3915" s="179"/>
      <c r="J3915" s="344"/>
      <c r="K3915" s="345"/>
      <c r="L3915" s="346"/>
      <c r="M3915" s="347"/>
      <c r="N3915" s="347"/>
      <c r="O3915" s="132"/>
    </row>
    <row r="3916" spans="2:15" ht="26.25" customHeight="1" x14ac:dyDescent="0.25">
      <c r="B3916" s="130"/>
      <c r="C3916" s="135"/>
      <c r="D3916" s="177"/>
      <c r="E3916" s="178"/>
      <c r="F3916" s="178"/>
      <c r="G3916" s="340"/>
      <c r="H3916" s="340"/>
      <c r="I3916" s="179"/>
      <c r="J3916" s="344"/>
      <c r="K3916" s="345"/>
      <c r="L3916" s="346"/>
      <c r="M3916" s="347"/>
      <c r="N3916" s="347"/>
      <c r="O3916" s="132"/>
    </row>
    <row r="3917" spans="2:15" ht="26.25" customHeight="1" x14ac:dyDescent="0.25">
      <c r="B3917" s="130"/>
      <c r="C3917" s="135"/>
      <c r="D3917" s="177"/>
      <c r="E3917" s="178"/>
      <c r="F3917" s="178"/>
      <c r="G3917" s="340"/>
      <c r="H3917" s="340"/>
      <c r="I3917" s="179"/>
      <c r="J3917" s="344"/>
      <c r="K3917" s="345"/>
      <c r="L3917" s="346"/>
      <c r="M3917" s="347"/>
      <c r="N3917" s="347"/>
      <c r="O3917" s="132"/>
    </row>
    <row r="3918" spans="2:15" ht="26.25" customHeight="1" x14ac:dyDescent="0.25">
      <c r="B3918" s="130"/>
      <c r="C3918" s="135"/>
      <c r="D3918" s="177"/>
      <c r="E3918" s="178"/>
      <c r="F3918" s="178"/>
      <c r="G3918" s="340"/>
      <c r="H3918" s="340"/>
      <c r="I3918" s="179"/>
      <c r="J3918" s="344"/>
      <c r="K3918" s="345"/>
      <c r="L3918" s="346"/>
      <c r="M3918" s="347"/>
      <c r="N3918" s="347"/>
      <c r="O3918" s="132"/>
    </row>
    <row r="3919" spans="2:15" ht="26.25" customHeight="1" x14ac:dyDescent="0.25">
      <c r="B3919" s="130"/>
      <c r="C3919" s="135"/>
      <c r="D3919" s="177"/>
      <c r="E3919" s="178"/>
      <c r="F3919" s="178"/>
      <c r="G3919" s="340"/>
      <c r="H3919" s="340"/>
      <c r="I3919" s="179"/>
      <c r="J3919" s="344"/>
      <c r="K3919" s="345"/>
      <c r="L3919" s="346"/>
      <c r="M3919" s="347"/>
      <c r="N3919" s="347"/>
      <c r="O3919" s="132"/>
    </row>
    <row r="3920" spans="2:15" ht="26.25" customHeight="1" x14ac:dyDescent="0.25">
      <c r="B3920" s="130"/>
      <c r="C3920" s="135"/>
      <c r="D3920" s="177"/>
      <c r="E3920" s="178"/>
      <c r="F3920" s="178"/>
      <c r="G3920" s="340"/>
      <c r="H3920" s="340"/>
      <c r="I3920" s="179"/>
      <c r="J3920" s="344"/>
      <c r="K3920" s="345"/>
      <c r="L3920" s="346"/>
      <c r="M3920" s="347"/>
      <c r="N3920" s="347"/>
      <c r="O3920" s="132"/>
    </row>
    <row r="3921" spans="2:15" ht="26.25" customHeight="1" x14ac:dyDescent="0.25">
      <c r="B3921" s="130"/>
      <c r="C3921" s="135"/>
      <c r="D3921" s="177"/>
      <c r="E3921" s="178"/>
      <c r="F3921" s="178"/>
      <c r="G3921" s="340"/>
      <c r="H3921" s="340"/>
      <c r="I3921" s="179"/>
      <c r="J3921" s="344"/>
      <c r="K3921" s="345"/>
      <c r="L3921" s="346"/>
      <c r="M3921" s="347"/>
      <c r="N3921" s="347"/>
      <c r="O3921" s="132"/>
    </row>
    <row r="3922" spans="2:15" ht="26.25" customHeight="1" x14ac:dyDescent="0.25">
      <c r="B3922" s="130"/>
      <c r="C3922" s="135"/>
      <c r="D3922" s="177"/>
      <c r="E3922" s="178"/>
      <c r="F3922" s="178"/>
      <c r="G3922" s="340"/>
      <c r="H3922" s="340"/>
      <c r="I3922" s="179"/>
      <c r="J3922" s="344"/>
      <c r="K3922" s="345"/>
      <c r="L3922" s="346"/>
      <c r="M3922" s="347"/>
      <c r="N3922" s="347"/>
      <c r="O3922" s="132"/>
    </row>
    <row r="3923" spans="2:15" ht="26.25" customHeight="1" x14ac:dyDescent="0.25">
      <c r="B3923" s="130"/>
      <c r="C3923" s="135"/>
      <c r="D3923" s="177"/>
      <c r="E3923" s="178"/>
      <c r="F3923" s="178"/>
      <c r="G3923" s="340"/>
      <c r="H3923" s="340"/>
      <c r="I3923" s="179"/>
      <c r="J3923" s="344"/>
      <c r="K3923" s="345"/>
      <c r="L3923" s="346"/>
      <c r="M3923" s="347"/>
      <c r="N3923" s="347"/>
      <c r="O3923" s="132"/>
    </row>
    <row r="3924" spans="2:15" ht="26.25" customHeight="1" x14ac:dyDescent="0.25">
      <c r="B3924" s="130"/>
      <c r="C3924" s="135"/>
      <c r="D3924" s="177"/>
      <c r="E3924" s="178"/>
      <c r="F3924" s="178"/>
      <c r="G3924" s="340"/>
      <c r="H3924" s="340"/>
      <c r="I3924" s="179"/>
      <c r="J3924" s="344"/>
      <c r="K3924" s="345"/>
      <c r="L3924" s="346"/>
      <c r="M3924" s="347"/>
      <c r="N3924" s="347"/>
      <c r="O3924" s="132"/>
    </row>
    <row r="3925" spans="2:15" ht="26.25" customHeight="1" x14ac:dyDescent="0.25">
      <c r="B3925" s="130"/>
      <c r="C3925" s="135"/>
      <c r="D3925" s="177"/>
      <c r="E3925" s="178"/>
      <c r="F3925" s="178"/>
      <c r="G3925" s="340"/>
      <c r="H3925" s="340"/>
      <c r="I3925" s="179"/>
      <c r="J3925" s="344"/>
      <c r="K3925" s="345"/>
      <c r="L3925" s="346"/>
      <c r="M3925" s="347"/>
      <c r="N3925" s="347"/>
      <c r="O3925" s="132"/>
    </row>
    <row r="3926" spans="2:15" ht="26.25" customHeight="1" x14ac:dyDescent="0.25">
      <c r="B3926" s="130"/>
      <c r="C3926" s="135"/>
      <c r="D3926" s="177"/>
      <c r="E3926" s="178"/>
      <c r="F3926" s="178"/>
      <c r="G3926" s="340"/>
      <c r="H3926" s="340"/>
      <c r="I3926" s="179"/>
      <c r="J3926" s="344"/>
      <c r="K3926" s="345"/>
      <c r="L3926" s="346"/>
      <c r="M3926" s="347"/>
      <c r="N3926" s="347"/>
      <c r="O3926" s="132"/>
    </row>
    <row r="3927" spans="2:15" ht="26.25" customHeight="1" x14ac:dyDescent="0.25">
      <c r="B3927" s="130"/>
      <c r="C3927" s="135"/>
      <c r="D3927" s="177"/>
      <c r="E3927" s="178"/>
      <c r="F3927" s="178"/>
      <c r="G3927" s="340"/>
      <c r="H3927" s="340"/>
      <c r="I3927" s="179"/>
      <c r="J3927" s="344"/>
      <c r="K3927" s="345"/>
      <c r="L3927" s="346"/>
      <c r="M3927" s="347"/>
      <c r="N3927" s="347"/>
      <c r="O3927" s="132"/>
    </row>
    <row r="3928" spans="2:15" ht="26.25" customHeight="1" x14ac:dyDescent="0.25">
      <c r="B3928" s="130"/>
      <c r="C3928" s="135"/>
      <c r="D3928" s="177"/>
      <c r="E3928" s="178"/>
      <c r="F3928" s="178"/>
      <c r="G3928" s="340"/>
      <c r="H3928" s="340"/>
      <c r="I3928" s="179"/>
      <c r="J3928" s="344"/>
      <c r="K3928" s="345"/>
      <c r="L3928" s="346"/>
      <c r="M3928" s="347"/>
      <c r="N3928" s="347"/>
      <c r="O3928" s="132"/>
    </row>
    <row r="3929" spans="2:15" ht="26.25" customHeight="1" x14ac:dyDescent="0.25">
      <c r="B3929" s="130"/>
      <c r="C3929" s="135"/>
      <c r="D3929" s="177"/>
      <c r="E3929" s="178"/>
      <c r="F3929" s="178"/>
      <c r="G3929" s="340"/>
      <c r="H3929" s="340"/>
      <c r="I3929" s="179"/>
      <c r="J3929" s="344"/>
      <c r="K3929" s="345"/>
      <c r="L3929" s="346"/>
      <c r="M3929" s="347"/>
      <c r="N3929" s="347"/>
      <c r="O3929" s="132"/>
    </row>
    <row r="3930" spans="2:15" ht="26.25" customHeight="1" x14ac:dyDescent="0.25">
      <c r="B3930" s="130"/>
      <c r="C3930" s="135"/>
      <c r="D3930" s="177"/>
      <c r="E3930" s="178"/>
      <c r="F3930" s="178"/>
      <c r="G3930" s="340"/>
      <c r="H3930" s="340"/>
      <c r="I3930" s="179"/>
      <c r="J3930" s="344"/>
      <c r="K3930" s="345"/>
      <c r="L3930" s="346"/>
      <c r="M3930" s="347"/>
      <c r="N3930" s="347"/>
      <c r="O3930" s="132"/>
    </row>
    <row r="3931" spans="2:15" ht="26.25" customHeight="1" x14ac:dyDescent="0.25">
      <c r="B3931" s="130"/>
      <c r="C3931" s="135"/>
      <c r="D3931" s="177"/>
      <c r="E3931" s="178"/>
      <c r="F3931" s="178"/>
      <c r="G3931" s="340"/>
      <c r="H3931" s="340"/>
      <c r="I3931" s="179"/>
      <c r="J3931" s="344"/>
      <c r="K3931" s="345"/>
      <c r="L3931" s="346"/>
      <c r="M3931" s="347"/>
      <c r="N3931" s="347"/>
      <c r="O3931" s="132"/>
    </row>
    <row r="3932" spans="2:15" ht="26.25" customHeight="1" x14ac:dyDescent="0.25">
      <c r="B3932" s="130"/>
      <c r="C3932" s="135"/>
      <c r="D3932" s="177"/>
      <c r="E3932" s="178"/>
      <c r="F3932" s="178"/>
      <c r="G3932" s="340"/>
      <c r="H3932" s="340"/>
      <c r="I3932" s="179"/>
      <c r="J3932" s="344"/>
      <c r="K3932" s="345"/>
      <c r="L3932" s="346"/>
      <c r="M3932" s="347"/>
      <c r="N3932" s="347"/>
      <c r="O3932" s="132"/>
    </row>
    <row r="3933" spans="2:15" ht="26.25" customHeight="1" x14ac:dyDescent="0.25">
      <c r="B3933" s="130"/>
      <c r="C3933" s="135"/>
      <c r="D3933" s="177"/>
      <c r="E3933" s="178"/>
      <c r="F3933" s="178"/>
      <c r="G3933" s="340"/>
      <c r="H3933" s="340"/>
      <c r="I3933" s="179"/>
      <c r="J3933" s="344"/>
      <c r="K3933" s="345"/>
      <c r="L3933" s="346"/>
      <c r="M3933" s="347"/>
      <c r="N3933" s="347"/>
      <c r="O3933" s="132"/>
    </row>
    <row r="3934" spans="2:15" ht="26.25" customHeight="1" x14ac:dyDescent="0.25">
      <c r="B3934" s="130"/>
      <c r="C3934" s="135"/>
      <c r="D3934" s="177"/>
      <c r="E3934" s="178"/>
      <c r="F3934" s="178"/>
      <c r="G3934" s="340"/>
      <c r="H3934" s="340"/>
      <c r="I3934" s="179"/>
      <c r="J3934" s="344"/>
      <c r="K3934" s="345"/>
      <c r="L3934" s="346"/>
      <c r="M3934" s="347"/>
      <c r="N3934" s="347"/>
      <c r="O3934" s="132"/>
    </row>
    <row r="3935" spans="2:15" ht="26.25" customHeight="1" x14ac:dyDescent="0.25">
      <c r="B3935" s="130"/>
      <c r="C3935" s="135"/>
      <c r="D3935" s="177"/>
      <c r="E3935" s="178"/>
      <c r="F3935" s="178"/>
      <c r="G3935" s="340"/>
      <c r="H3935" s="340"/>
      <c r="I3935" s="179"/>
      <c r="J3935" s="344"/>
      <c r="K3935" s="345"/>
      <c r="L3935" s="346"/>
      <c r="M3935" s="347"/>
      <c r="N3935" s="347"/>
      <c r="O3935" s="132"/>
    </row>
    <row r="3936" spans="2:15" ht="26.25" customHeight="1" x14ac:dyDescent="0.25">
      <c r="B3936" s="130"/>
      <c r="C3936" s="135"/>
      <c r="D3936" s="177"/>
      <c r="E3936" s="178"/>
      <c r="F3936" s="178"/>
      <c r="G3936" s="340"/>
      <c r="H3936" s="340"/>
      <c r="I3936" s="179"/>
      <c r="J3936" s="344"/>
      <c r="K3936" s="345"/>
      <c r="L3936" s="346"/>
      <c r="M3936" s="347"/>
      <c r="N3936" s="347"/>
      <c r="O3936" s="132"/>
    </row>
    <row r="3937" spans="2:15" ht="26.25" customHeight="1" x14ac:dyDescent="0.25">
      <c r="B3937" s="130"/>
      <c r="C3937" s="135"/>
      <c r="D3937" s="177"/>
      <c r="E3937" s="178"/>
      <c r="F3937" s="178"/>
      <c r="G3937" s="340"/>
      <c r="H3937" s="340"/>
      <c r="I3937" s="179"/>
      <c r="J3937" s="344"/>
      <c r="K3937" s="345"/>
      <c r="L3937" s="346"/>
      <c r="M3937" s="347"/>
      <c r="N3937" s="347"/>
      <c r="O3937" s="132"/>
    </row>
    <row r="3938" spans="2:15" ht="26.25" customHeight="1" x14ac:dyDescent="0.25">
      <c r="B3938" s="130"/>
      <c r="C3938" s="135"/>
      <c r="D3938" s="177"/>
      <c r="E3938" s="178"/>
      <c r="F3938" s="178"/>
      <c r="G3938" s="340"/>
      <c r="H3938" s="340"/>
      <c r="I3938" s="179"/>
      <c r="J3938" s="344"/>
      <c r="K3938" s="345"/>
      <c r="L3938" s="346"/>
      <c r="M3938" s="347"/>
      <c r="N3938" s="347"/>
      <c r="O3938" s="132"/>
    </row>
    <row r="3939" spans="2:15" ht="26.25" customHeight="1" x14ac:dyDescent="0.25">
      <c r="B3939" s="130"/>
      <c r="C3939" s="135"/>
      <c r="D3939" s="177"/>
      <c r="E3939" s="178"/>
      <c r="F3939" s="178"/>
      <c r="G3939" s="340"/>
      <c r="H3939" s="340"/>
      <c r="I3939" s="179"/>
      <c r="J3939" s="344"/>
      <c r="K3939" s="345"/>
      <c r="L3939" s="346"/>
      <c r="M3939" s="347"/>
      <c r="N3939" s="347"/>
      <c r="O3939" s="132"/>
    </row>
    <row r="3940" spans="2:15" ht="26.25" customHeight="1" x14ac:dyDescent="0.25">
      <c r="B3940" s="130"/>
      <c r="C3940" s="135"/>
      <c r="D3940" s="177"/>
      <c r="E3940" s="178"/>
      <c r="F3940" s="178"/>
      <c r="G3940" s="340"/>
      <c r="H3940" s="340"/>
      <c r="I3940" s="179"/>
      <c r="J3940" s="344"/>
      <c r="K3940" s="345"/>
      <c r="L3940" s="346"/>
      <c r="M3940" s="347"/>
      <c r="N3940" s="347"/>
      <c r="O3940" s="132"/>
    </row>
    <row r="3941" spans="2:15" ht="26.25" customHeight="1" x14ac:dyDescent="0.25">
      <c r="B3941" s="130"/>
      <c r="C3941" s="135"/>
      <c r="D3941" s="177"/>
      <c r="E3941" s="178"/>
      <c r="F3941" s="178"/>
      <c r="G3941" s="340"/>
      <c r="H3941" s="340"/>
      <c r="I3941" s="179"/>
      <c r="J3941" s="344"/>
      <c r="K3941" s="345"/>
      <c r="L3941" s="346"/>
      <c r="M3941" s="347"/>
      <c r="N3941" s="347"/>
      <c r="O3941" s="132"/>
    </row>
    <row r="3942" spans="2:15" ht="26.25" customHeight="1" x14ac:dyDescent="0.25">
      <c r="B3942" s="130"/>
      <c r="C3942" s="135"/>
      <c r="D3942" s="177"/>
      <c r="E3942" s="178"/>
      <c r="F3942" s="178"/>
      <c r="G3942" s="340"/>
      <c r="H3942" s="340"/>
      <c r="I3942" s="179"/>
      <c r="J3942" s="344"/>
      <c r="K3942" s="345"/>
      <c r="L3942" s="346"/>
      <c r="M3942" s="347"/>
      <c r="N3942" s="347"/>
      <c r="O3942" s="132"/>
    </row>
    <row r="3943" spans="2:15" ht="26.25" customHeight="1" x14ac:dyDescent="0.25">
      <c r="B3943" s="130"/>
      <c r="C3943" s="135"/>
      <c r="D3943" s="177"/>
      <c r="E3943" s="178"/>
      <c r="F3943" s="178"/>
      <c r="G3943" s="340"/>
      <c r="H3943" s="340"/>
      <c r="I3943" s="179"/>
      <c r="J3943" s="344"/>
      <c r="K3943" s="345"/>
      <c r="L3943" s="346"/>
      <c r="M3943" s="347"/>
      <c r="N3943" s="347"/>
      <c r="O3943" s="132"/>
    </row>
    <row r="3944" spans="2:15" ht="26.25" customHeight="1" x14ac:dyDescent="0.25">
      <c r="B3944" s="130"/>
      <c r="C3944" s="135"/>
      <c r="D3944" s="177"/>
      <c r="E3944" s="178"/>
      <c r="F3944" s="178"/>
      <c r="G3944" s="340"/>
      <c r="H3944" s="340"/>
      <c r="I3944" s="179"/>
      <c r="J3944" s="344"/>
      <c r="K3944" s="345"/>
      <c r="L3944" s="346"/>
      <c r="M3944" s="347"/>
      <c r="N3944" s="347"/>
      <c r="O3944" s="132"/>
    </row>
    <row r="3945" spans="2:15" ht="26.25" customHeight="1" x14ac:dyDescent="0.25">
      <c r="B3945" s="130"/>
      <c r="C3945" s="135"/>
      <c r="D3945" s="177"/>
      <c r="E3945" s="178"/>
      <c r="F3945" s="178"/>
      <c r="G3945" s="340"/>
      <c r="H3945" s="340"/>
      <c r="I3945" s="179"/>
      <c r="J3945" s="344"/>
      <c r="K3945" s="345"/>
      <c r="L3945" s="346"/>
      <c r="M3945" s="347"/>
      <c r="N3945" s="347"/>
      <c r="O3945" s="132"/>
    </row>
    <row r="3946" spans="2:15" ht="26.25" customHeight="1" x14ac:dyDescent="0.25">
      <c r="B3946" s="130"/>
      <c r="C3946" s="135"/>
      <c r="D3946" s="177"/>
      <c r="E3946" s="178"/>
      <c r="F3946" s="178"/>
      <c r="G3946" s="340"/>
      <c r="H3946" s="340"/>
      <c r="I3946" s="179"/>
      <c r="J3946" s="344"/>
      <c r="K3946" s="345"/>
      <c r="L3946" s="346"/>
      <c r="M3946" s="347"/>
      <c r="N3946" s="347"/>
      <c r="O3946" s="132"/>
    </row>
    <row r="3947" spans="2:15" ht="26.25" customHeight="1" x14ac:dyDescent="0.25">
      <c r="B3947" s="130"/>
      <c r="C3947" s="135"/>
      <c r="D3947" s="177"/>
      <c r="E3947" s="178"/>
      <c r="F3947" s="178"/>
      <c r="G3947" s="340"/>
      <c r="H3947" s="340"/>
      <c r="I3947" s="179"/>
      <c r="J3947" s="344"/>
      <c r="K3947" s="345"/>
      <c r="L3947" s="346"/>
      <c r="M3947" s="347"/>
      <c r="N3947" s="347"/>
      <c r="O3947" s="132"/>
    </row>
    <row r="3948" spans="2:15" ht="26.25" customHeight="1" x14ac:dyDescent="0.25">
      <c r="B3948" s="130"/>
      <c r="C3948" s="135"/>
      <c r="D3948" s="177"/>
      <c r="E3948" s="178"/>
      <c r="F3948" s="178"/>
      <c r="G3948" s="340"/>
      <c r="H3948" s="340"/>
      <c r="I3948" s="179"/>
      <c r="J3948" s="344"/>
      <c r="K3948" s="345"/>
      <c r="L3948" s="346"/>
      <c r="M3948" s="347"/>
      <c r="N3948" s="347"/>
      <c r="O3948" s="132"/>
    </row>
    <row r="3949" spans="2:15" ht="26.25" customHeight="1" x14ac:dyDescent="0.25">
      <c r="B3949" s="130"/>
      <c r="C3949" s="135"/>
      <c r="D3949" s="177"/>
      <c r="E3949" s="178"/>
      <c r="F3949" s="178"/>
      <c r="G3949" s="340"/>
      <c r="H3949" s="340"/>
      <c r="I3949" s="179"/>
      <c r="J3949" s="344"/>
      <c r="K3949" s="345"/>
      <c r="L3949" s="346"/>
      <c r="M3949" s="347"/>
      <c r="N3949" s="347"/>
      <c r="O3949" s="132"/>
    </row>
    <row r="3950" spans="2:15" ht="26.25" customHeight="1" x14ac:dyDescent="0.25">
      <c r="B3950" s="130"/>
      <c r="C3950" s="135"/>
      <c r="D3950" s="177"/>
      <c r="E3950" s="178"/>
      <c r="F3950" s="178"/>
      <c r="G3950" s="340"/>
      <c r="H3950" s="340"/>
      <c r="I3950" s="179"/>
      <c r="J3950" s="344"/>
      <c r="K3950" s="345"/>
      <c r="L3950" s="346"/>
      <c r="M3950" s="347"/>
      <c r="N3950" s="347"/>
      <c r="O3950" s="132"/>
    </row>
    <row r="3951" spans="2:15" ht="26.25" customHeight="1" x14ac:dyDescent="0.25">
      <c r="B3951" s="130"/>
      <c r="C3951" s="135"/>
      <c r="D3951" s="177"/>
      <c r="E3951" s="178"/>
      <c r="F3951" s="178"/>
      <c r="G3951" s="340"/>
      <c r="H3951" s="340"/>
      <c r="I3951" s="179"/>
      <c r="J3951" s="344"/>
      <c r="K3951" s="345"/>
      <c r="L3951" s="346"/>
      <c r="M3951" s="347"/>
      <c r="N3951" s="347"/>
      <c r="O3951" s="132"/>
    </row>
    <row r="3952" spans="2:15" ht="26.25" customHeight="1" x14ac:dyDescent="0.25">
      <c r="B3952" s="130"/>
      <c r="C3952" s="135"/>
      <c r="D3952" s="177"/>
      <c r="E3952" s="178"/>
      <c r="F3952" s="178"/>
      <c r="G3952" s="340"/>
      <c r="H3952" s="340"/>
      <c r="I3952" s="179"/>
      <c r="J3952" s="344"/>
      <c r="K3952" s="345"/>
      <c r="L3952" s="346"/>
      <c r="M3952" s="347"/>
      <c r="N3952" s="347"/>
      <c r="O3952" s="132"/>
    </row>
    <row r="3953" spans="2:15" ht="26.25" customHeight="1" x14ac:dyDescent="0.25">
      <c r="B3953" s="130"/>
      <c r="C3953" s="135"/>
      <c r="D3953" s="177"/>
      <c r="E3953" s="178"/>
      <c r="F3953" s="178"/>
      <c r="G3953" s="340"/>
      <c r="H3953" s="340"/>
      <c r="I3953" s="179"/>
      <c r="J3953" s="344"/>
      <c r="K3953" s="345"/>
      <c r="L3953" s="346"/>
      <c r="M3953" s="347"/>
      <c r="N3953" s="347"/>
      <c r="O3953" s="132"/>
    </row>
    <row r="3954" spans="2:15" ht="26.25" customHeight="1" x14ac:dyDescent="0.25">
      <c r="B3954" s="130"/>
      <c r="C3954" s="135"/>
      <c r="D3954" s="177"/>
      <c r="E3954" s="178"/>
      <c r="F3954" s="178"/>
      <c r="G3954" s="340"/>
      <c r="H3954" s="340"/>
      <c r="I3954" s="179"/>
      <c r="J3954" s="344"/>
      <c r="K3954" s="345"/>
      <c r="L3954" s="346"/>
      <c r="M3954" s="347"/>
      <c r="N3954" s="347"/>
      <c r="O3954" s="132"/>
    </row>
    <row r="3955" spans="2:15" ht="26.25" customHeight="1" x14ac:dyDescent="0.25">
      <c r="B3955" s="130"/>
      <c r="C3955" s="135"/>
      <c r="D3955" s="177"/>
      <c r="E3955" s="178"/>
      <c r="F3955" s="178"/>
      <c r="G3955" s="340"/>
      <c r="H3955" s="340"/>
      <c r="I3955" s="179"/>
      <c r="J3955" s="344"/>
      <c r="K3955" s="345"/>
      <c r="L3955" s="346"/>
      <c r="M3955" s="347"/>
      <c r="N3955" s="347"/>
      <c r="O3955" s="132"/>
    </row>
    <row r="3956" spans="2:15" ht="26.25" customHeight="1" x14ac:dyDescent="0.25">
      <c r="B3956" s="130"/>
      <c r="C3956" s="135"/>
      <c r="D3956" s="177"/>
      <c r="E3956" s="178"/>
      <c r="F3956" s="178"/>
      <c r="G3956" s="340"/>
      <c r="H3956" s="340"/>
      <c r="I3956" s="179"/>
      <c r="J3956" s="344"/>
      <c r="K3956" s="345"/>
      <c r="L3956" s="346"/>
      <c r="M3956" s="347"/>
      <c r="N3956" s="347"/>
      <c r="O3956" s="132"/>
    </row>
    <row r="3957" spans="2:15" ht="26.25" customHeight="1" x14ac:dyDescent="0.25">
      <c r="B3957" s="130"/>
      <c r="C3957" s="135"/>
      <c r="D3957" s="177"/>
      <c r="E3957" s="178"/>
      <c r="F3957" s="178"/>
      <c r="G3957" s="340"/>
      <c r="H3957" s="340"/>
      <c r="I3957" s="179"/>
      <c r="J3957" s="344"/>
      <c r="K3957" s="345"/>
      <c r="L3957" s="346"/>
      <c r="M3957" s="347"/>
      <c r="N3957" s="347"/>
      <c r="O3957" s="132"/>
    </row>
    <row r="3958" spans="2:15" ht="26.25" customHeight="1" x14ac:dyDescent="0.25">
      <c r="B3958" s="130"/>
      <c r="C3958" s="135"/>
      <c r="D3958" s="177"/>
      <c r="E3958" s="178"/>
      <c r="F3958" s="178"/>
      <c r="G3958" s="340"/>
      <c r="H3958" s="340"/>
      <c r="I3958" s="179"/>
      <c r="J3958" s="344"/>
      <c r="K3958" s="345"/>
      <c r="L3958" s="346"/>
      <c r="M3958" s="347"/>
      <c r="N3958" s="347"/>
      <c r="O3958" s="132"/>
    </row>
    <row r="3959" spans="2:15" ht="26.25" customHeight="1" x14ac:dyDescent="0.25">
      <c r="B3959" s="130"/>
      <c r="C3959" s="135"/>
      <c r="D3959" s="177"/>
      <c r="E3959" s="178"/>
      <c r="F3959" s="178"/>
      <c r="G3959" s="340"/>
      <c r="H3959" s="340"/>
      <c r="I3959" s="179"/>
      <c r="J3959" s="344"/>
      <c r="K3959" s="345"/>
      <c r="L3959" s="346"/>
      <c r="M3959" s="347"/>
      <c r="N3959" s="347"/>
      <c r="O3959" s="132"/>
    </row>
    <row r="3960" spans="2:15" ht="26.25" customHeight="1" x14ac:dyDescent="0.25">
      <c r="B3960" s="130"/>
      <c r="C3960" s="135"/>
      <c r="D3960" s="177"/>
      <c r="E3960" s="178"/>
      <c r="F3960" s="178"/>
      <c r="G3960" s="340"/>
      <c r="H3960" s="340"/>
      <c r="I3960" s="179"/>
      <c r="J3960" s="344"/>
      <c r="K3960" s="345"/>
      <c r="L3960" s="346"/>
      <c r="M3960" s="347"/>
      <c r="N3960" s="347"/>
      <c r="O3960" s="132"/>
    </row>
    <row r="3961" spans="2:15" ht="26.25" customHeight="1" x14ac:dyDescent="0.25">
      <c r="B3961" s="130"/>
      <c r="C3961" s="135"/>
      <c r="D3961" s="177"/>
      <c r="E3961" s="178"/>
      <c r="F3961" s="178"/>
      <c r="G3961" s="340"/>
      <c r="H3961" s="340"/>
      <c r="I3961" s="179"/>
      <c r="J3961" s="344"/>
      <c r="K3961" s="345"/>
      <c r="L3961" s="346"/>
      <c r="M3961" s="347"/>
      <c r="N3961" s="347"/>
      <c r="O3961" s="132"/>
    </row>
    <row r="3962" spans="2:15" ht="26.25" customHeight="1" x14ac:dyDescent="0.25">
      <c r="B3962" s="130"/>
      <c r="C3962" s="135"/>
      <c r="D3962" s="177"/>
      <c r="E3962" s="178"/>
      <c r="F3962" s="178"/>
      <c r="G3962" s="340"/>
      <c r="H3962" s="340"/>
      <c r="I3962" s="179"/>
      <c r="J3962" s="344"/>
      <c r="K3962" s="345"/>
      <c r="L3962" s="346"/>
      <c r="M3962" s="347"/>
      <c r="N3962" s="347"/>
      <c r="O3962" s="132"/>
    </row>
    <row r="3963" spans="2:15" ht="26.25" customHeight="1" x14ac:dyDescent="0.25">
      <c r="B3963" s="130"/>
      <c r="C3963" s="135"/>
      <c r="D3963" s="177"/>
      <c r="E3963" s="178"/>
      <c r="F3963" s="178"/>
      <c r="G3963" s="340"/>
      <c r="H3963" s="340"/>
      <c r="I3963" s="179"/>
      <c r="J3963" s="344"/>
      <c r="K3963" s="345"/>
      <c r="L3963" s="346"/>
      <c r="M3963" s="347"/>
      <c r="N3963" s="347"/>
      <c r="O3963" s="132"/>
    </row>
    <row r="3964" spans="2:15" ht="26.25" customHeight="1" x14ac:dyDescent="0.25">
      <c r="B3964" s="130"/>
      <c r="C3964" s="135"/>
      <c r="D3964" s="177"/>
      <c r="E3964" s="178"/>
      <c r="F3964" s="178"/>
      <c r="G3964" s="340"/>
      <c r="H3964" s="340"/>
      <c r="I3964" s="179"/>
      <c r="J3964" s="344"/>
      <c r="K3964" s="345"/>
      <c r="L3964" s="346"/>
      <c r="M3964" s="347"/>
      <c r="N3964" s="347"/>
      <c r="O3964" s="132"/>
    </row>
    <row r="3965" spans="2:15" ht="26.25" customHeight="1" x14ac:dyDescent="0.25">
      <c r="B3965" s="130"/>
      <c r="C3965" s="135"/>
      <c r="D3965" s="177"/>
      <c r="E3965" s="178"/>
      <c r="F3965" s="178"/>
      <c r="G3965" s="340"/>
      <c r="H3965" s="340"/>
      <c r="I3965" s="179"/>
      <c r="J3965" s="344"/>
      <c r="K3965" s="345"/>
      <c r="L3965" s="346"/>
      <c r="M3965" s="347"/>
      <c r="N3965" s="347"/>
      <c r="O3965" s="132"/>
    </row>
    <row r="3966" spans="2:15" ht="26.25" customHeight="1" x14ac:dyDescent="0.25">
      <c r="B3966" s="130"/>
      <c r="C3966" s="135"/>
      <c r="D3966" s="177"/>
      <c r="E3966" s="178"/>
      <c r="F3966" s="178"/>
      <c r="G3966" s="340"/>
      <c r="H3966" s="340"/>
      <c r="I3966" s="179"/>
      <c r="J3966" s="344"/>
      <c r="K3966" s="345"/>
      <c r="L3966" s="346"/>
      <c r="M3966" s="347"/>
      <c r="N3966" s="347"/>
      <c r="O3966" s="132"/>
    </row>
    <row r="3967" spans="2:15" ht="26.25" customHeight="1" x14ac:dyDescent="0.25">
      <c r="B3967" s="130"/>
      <c r="C3967" s="135"/>
      <c r="D3967" s="177"/>
      <c r="E3967" s="178"/>
      <c r="F3967" s="178"/>
      <c r="G3967" s="340"/>
      <c r="H3967" s="340"/>
      <c r="I3967" s="179"/>
      <c r="J3967" s="344"/>
      <c r="K3967" s="345"/>
      <c r="L3967" s="346"/>
      <c r="M3967" s="347"/>
      <c r="N3967" s="347"/>
      <c r="O3967" s="132"/>
    </row>
    <row r="3968" spans="2:15" ht="26.25" customHeight="1" x14ac:dyDescent="0.25">
      <c r="B3968" s="130"/>
      <c r="C3968" s="135"/>
      <c r="D3968" s="177"/>
      <c r="E3968" s="178"/>
      <c r="F3968" s="178"/>
      <c r="G3968" s="340"/>
      <c r="H3968" s="340"/>
      <c r="I3968" s="179"/>
      <c r="J3968" s="344"/>
      <c r="K3968" s="345"/>
      <c r="L3968" s="346"/>
      <c r="M3968" s="347"/>
      <c r="N3968" s="347"/>
      <c r="O3968" s="132"/>
    </row>
    <row r="3969" spans="2:15" ht="26.25" customHeight="1" x14ac:dyDescent="0.25">
      <c r="B3969" s="130"/>
      <c r="C3969" s="135"/>
      <c r="D3969" s="177"/>
      <c r="E3969" s="178"/>
      <c r="F3969" s="178"/>
      <c r="G3969" s="340"/>
      <c r="H3969" s="340"/>
      <c r="I3969" s="179"/>
      <c r="J3969" s="344"/>
      <c r="K3969" s="345"/>
      <c r="L3969" s="346"/>
      <c r="M3969" s="347"/>
      <c r="N3969" s="347"/>
      <c r="O3969" s="132"/>
    </row>
    <row r="3970" spans="2:15" ht="26.25" customHeight="1" x14ac:dyDescent="0.25">
      <c r="B3970" s="130"/>
      <c r="C3970" s="135"/>
      <c r="D3970" s="177"/>
      <c r="E3970" s="178"/>
      <c r="F3970" s="178"/>
      <c r="G3970" s="340"/>
      <c r="H3970" s="340"/>
      <c r="I3970" s="179"/>
      <c r="J3970" s="344"/>
      <c r="K3970" s="345"/>
      <c r="L3970" s="346"/>
      <c r="M3970" s="347"/>
      <c r="N3970" s="347"/>
      <c r="O3970" s="132"/>
    </row>
    <row r="3971" spans="2:15" ht="26.25" customHeight="1" x14ac:dyDescent="0.25">
      <c r="B3971" s="130"/>
      <c r="C3971" s="135"/>
      <c r="D3971" s="177"/>
      <c r="E3971" s="178"/>
      <c r="F3971" s="178"/>
      <c r="G3971" s="340"/>
      <c r="H3971" s="340"/>
      <c r="I3971" s="179"/>
      <c r="J3971" s="344"/>
      <c r="K3971" s="345"/>
      <c r="L3971" s="346"/>
      <c r="M3971" s="347"/>
      <c r="N3971" s="347"/>
      <c r="O3971" s="132"/>
    </row>
    <row r="3972" spans="2:15" ht="26.25" customHeight="1" x14ac:dyDescent="0.25">
      <c r="B3972" s="130"/>
      <c r="C3972" s="135"/>
      <c r="D3972" s="177"/>
      <c r="E3972" s="178"/>
      <c r="F3972" s="178"/>
      <c r="G3972" s="340"/>
      <c r="H3972" s="340"/>
      <c r="I3972" s="179"/>
      <c r="J3972" s="344"/>
      <c r="K3972" s="345"/>
      <c r="L3972" s="346"/>
      <c r="M3972" s="347"/>
      <c r="N3972" s="347"/>
      <c r="O3972" s="132"/>
    </row>
    <row r="3973" spans="2:15" ht="26.25" customHeight="1" x14ac:dyDescent="0.25">
      <c r="B3973" s="130"/>
      <c r="C3973" s="135"/>
      <c r="D3973" s="177"/>
      <c r="E3973" s="178"/>
      <c r="F3973" s="178"/>
      <c r="G3973" s="340"/>
      <c r="H3973" s="340"/>
      <c r="I3973" s="179"/>
      <c r="J3973" s="344"/>
      <c r="K3973" s="345"/>
      <c r="L3973" s="346"/>
      <c r="M3973" s="347"/>
      <c r="N3973" s="347"/>
      <c r="O3973" s="132"/>
    </row>
    <row r="3974" spans="2:15" ht="26.25" customHeight="1" x14ac:dyDescent="0.25">
      <c r="B3974" s="130"/>
      <c r="C3974" s="135"/>
      <c r="D3974" s="177"/>
      <c r="E3974" s="178"/>
      <c r="F3974" s="178"/>
      <c r="G3974" s="340"/>
      <c r="H3974" s="340"/>
      <c r="I3974" s="179"/>
      <c r="J3974" s="344"/>
      <c r="K3974" s="345"/>
      <c r="L3974" s="346"/>
      <c r="M3974" s="347"/>
      <c r="N3974" s="347"/>
      <c r="O3974" s="132"/>
    </row>
    <row r="3975" spans="2:15" ht="26.25" customHeight="1" x14ac:dyDescent="0.25">
      <c r="B3975" s="130"/>
      <c r="C3975" s="135"/>
      <c r="D3975" s="177"/>
      <c r="E3975" s="178"/>
      <c r="F3975" s="178"/>
      <c r="G3975" s="340"/>
      <c r="H3975" s="340"/>
      <c r="I3975" s="179"/>
      <c r="J3975" s="344"/>
      <c r="K3975" s="345"/>
      <c r="L3975" s="346"/>
      <c r="M3975" s="347"/>
      <c r="N3975" s="347"/>
      <c r="O3975" s="132"/>
    </row>
    <row r="3976" spans="2:15" ht="26.25" customHeight="1" x14ac:dyDescent="0.25">
      <c r="B3976" s="130"/>
      <c r="C3976" s="135"/>
      <c r="D3976" s="177"/>
      <c r="E3976" s="178"/>
      <c r="F3976" s="178"/>
      <c r="G3976" s="340"/>
      <c r="H3976" s="340"/>
      <c r="I3976" s="179"/>
      <c r="J3976" s="344"/>
      <c r="K3976" s="345"/>
      <c r="L3976" s="346"/>
      <c r="M3976" s="347"/>
      <c r="N3976" s="347"/>
      <c r="O3976" s="132"/>
    </row>
    <row r="3977" spans="2:15" ht="26.25" customHeight="1" x14ac:dyDescent="0.25">
      <c r="B3977" s="130"/>
      <c r="C3977" s="135"/>
      <c r="D3977" s="177"/>
      <c r="E3977" s="178"/>
      <c r="F3977" s="178"/>
      <c r="G3977" s="340"/>
      <c r="H3977" s="340"/>
      <c r="I3977" s="179"/>
      <c r="J3977" s="344"/>
      <c r="K3977" s="345"/>
      <c r="L3977" s="346"/>
      <c r="M3977" s="347"/>
      <c r="N3977" s="347"/>
      <c r="O3977" s="132"/>
    </row>
    <row r="3978" spans="2:15" ht="26.25" customHeight="1" x14ac:dyDescent="0.25">
      <c r="B3978" s="130"/>
      <c r="C3978" s="135"/>
      <c r="D3978" s="177"/>
      <c r="E3978" s="178"/>
      <c r="F3978" s="178"/>
      <c r="G3978" s="340"/>
      <c r="H3978" s="340"/>
      <c r="I3978" s="179"/>
      <c r="J3978" s="344"/>
      <c r="K3978" s="345"/>
      <c r="L3978" s="346"/>
      <c r="M3978" s="347"/>
      <c r="N3978" s="347"/>
      <c r="O3978" s="132"/>
    </row>
    <row r="3979" spans="2:15" ht="26.25" customHeight="1" x14ac:dyDescent="0.25">
      <c r="B3979" s="130"/>
      <c r="C3979" s="135"/>
      <c r="D3979" s="177"/>
      <c r="E3979" s="178"/>
      <c r="F3979" s="178"/>
      <c r="G3979" s="340"/>
      <c r="H3979" s="340"/>
      <c r="I3979" s="179"/>
      <c r="J3979" s="344"/>
      <c r="K3979" s="345"/>
      <c r="L3979" s="346"/>
      <c r="M3979" s="347"/>
      <c r="N3979" s="347"/>
      <c r="O3979" s="132"/>
    </row>
    <row r="3980" spans="2:15" ht="26.25" customHeight="1" x14ac:dyDescent="0.25">
      <c r="B3980" s="130"/>
      <c r="C3980" s="135"/>
      <c r="D3980" s="177"/>
      <c r="E3980" s="178"/>
      <c r="F3980" s="178"/>
      <c r="G3980" s="340"/>
      <c r="H3980" s="340"/>
      <c r="I3980" s="179"/>
      <c r="J3980" s="344"/>
      <c r="K3980" s="345"/>
      <c r="L3980" s="346"/>
      <c r="M3980" s="347"/>
      <c r="N3980" s="347"/>
      <c r="O3980" s="132"/>
    </row>
    <row r="3981" spans="2:15" ht="26.25" customHeight="1" x14ac:dyDescent="0.25">
      <c r="B3981" s="130"/>
      <c r="C3981" s="135"/>
      <c r="D3981" s="177"/>
      <c r="E3981" s="178"/>
      <c r="F3981" s="178"/>
      <c r="G3981" s="340"/>
      <c r="H3981" s="340"/>
      <c r="I3981" s="179"/>
      <c r="J3981" s="344"/>
      <c r="K3981" s="345"/>
      <c r="L3981" s="346"/>
      <c r="M3981" s="347"/>
      <c r="N3981" s="347"/>
      <c r="O3981" s="132"/>
    </row>
    <row r="3982" spans="2:15" ht="26.25" customHeight="1" x14ac:dyDescent="0.25">
      <c r="B3982" s="130"/>
      <c r="C3982" s="135"/>
      <c r="D3982" s="177"/>
      <c r="E3982" s="178"/>
      <c r="F3982" s="178"/>
      <c r="G3982" s="340"/>
      <c r="H3982" s="340"/>
      <c r="I3982" s="179"/>
      <c r="J3982" s="344"/>
      <c r="K3982" s="345"/>
      <c r="L3982" s="346"/>
      <c r="M3982" s="347"/>
      <c r="N3982" s="347"/>
      <c r="O3982" s="132"/>
    </row>
    <row r="3983" spans="2:15" ht="26.25" customHeight="1" x14ac:dyDescent="0.25">
      <c r="B3983" s="130"/>
      <c r="C3983" s="135"/>
      <c r="D3983" s="177"/>
      <c r="E3983" s="178"/>
      <c r="F3983" s="178"/>
      <c r="G3983" s="340"/>
      <c r="H3983" s="340"/>
      <c r="I3983" s="179"/>
      <c r="J3983" s="344"/>
      <c r="K3983" s="345"/>
      <c r="L3983" s="346"/>
      <c r="M3983" s="347"/>
      <c r="N3983" s="347"/>
      <c r="O3983" s="132"/>
    </row>
    <row r="3984" spans="2:15" ht="26.25" customHeight="1" x14ac:dyDescent="0.25">
      <c r="B3984" s="130"/>
      <c r="C3984" s="135"/>
      <c r="D3984" s="177"/>
      <c r="E3984" s="178"/>
      <c r="F3984" s="178"/>
      <c r="G3984" s="340"/>
      <c r="H3984" s="340"/>
      <c r="I3984" s="179"/>
      <c r="J3984" s="344"/>
      <c r="K3984" s="345"/>
      <c r="L3984" s="346"/>
      <c r="M3984" s="347"/>
      <c r="N3984" s="347"/>
      <c r="O3984" s="132"/>
    </row>
    <row r="3985" spans="2:15" ht="26.25" customHeight="1" x14ac:dyDescent="0.25">
      <c r="B3985" s="130"/>
      <c r="C3985" s="135"/>
      <c r="D3985" s="177"/>
      <c r="E3985" s="178"/>
      <c r="F3985" s="178"/>
      <c r="G3985" s="340"/>
      <c r="H3985" s="340"/>
      <c r="I3985" s="179"/>
      <c r="J3985" s="344"/>
      <c r="K3985" s="345"/>
      <c r="L3985" s="346"/>
      <c r="M3985" s="347"/>
      <c r="N3985" s="347"/>
      <c r="O3985" s="132"/>
    </row>
    <row r="3986" spans="2:15" ht="26.25" customHeight="1" x14ac:dyDescent="0.25">
      <c r="B3986" s="130"/>
      <c r="C3986" s="135"/>
      <c r="D3986" s="177"/>
      <c r="E3986" s="178"/>
      <c r="F3986" s="178"/>
      <c r="G3986" s="340"/>
      <c r="H3986" s="340"/>
      <c r="I3986" s="179"/>
      <c r="J3986" s="344"/>
      <c r="K3986" s="345"/>
      <c r="L3986" s="346"/>
      <c r="M3986" s="347"/>
      <c r="N3986" s="347"/>
      <c r="O3986" s="132"/>
    </row>
    <row r="3987" spans="2:15" ht="26.25" customHeight="1" x14ac:dyDescent="0.25">
      <c r="B3987" s="130"/>
      <c r="C3987" s="135"/>
      <c r="D3987" s="177"/>
      <c r="E3987" s="178"/>
      <c r="F3987" s="178"/>
      <c r="G3987" s="340"/>
      <c r="H3987" s="340"/>
      <c r="I3987" s="179"/>
      <c r="J3987" s="344"/>
      <c r="K3987" s="345"/>
      <c r="L3987" s="346"/>
      <c r="M3987" s="347"/>
      <c r="N3987" s="347"/>
      <c r="O3987" s="132"/>
    </row>
    <row r="3988" spans="2:15" ht="26.25" customHeight="1" x14ac:dyDescent="0.25">
      <c r="B3988" s="130"/>
      <c r="C3988" s="135"/>
      <c r="D3988" s="177"/>
      <c r="E3988" s="178"/>
      <c r="F3988" s="178"/>
      <c r="G3988" s="340"/>
      <c r="H3988" s="340"/>
      <c r="I3988" s="179"/>
      <c r="J3988" s="344"/>
      <c r="K3988" s="345"/>
      <c r="L3988" s="346"/>
      <c r="M3988" s="347"/>
      <c r="N3988" s="347"/>
      <c r="O3988" s="132"/>
    </row>
    <row r="3989" spans="2:15" ht="26.25" customHeight="1" x14ac:dyDescent="0.25">
      <c r="B3989" s="130"/>
      <c r="C3989" s="135"/>
      <c r="D3989" s="177"/>
      <c r="E3989" s="178"/>
      <c r="F3989" s="178"/>
      <c r="G3989" s="340"/>
      <c r="H3989" s="340"/>
      <c r="I3989" s="179"/>
      <c r="J3989" s="344"/>
      <c r="K3989" s="345"/>
      <c r="L3989" s="346"/>
      <c r="M3989" s="347"/>
      <c r="N3989" s="347"/>
      <c r="O3989" s="132"/>
    </row>
    <row r="3990" spans="2:15" ht="26.25" customHeight="1" x14ac:dyDescent="0.25">
      <c r="B3990" s="130"/>
      <c r="C3990" s="135"/>
      <c r="D3990" s="177"/>
      <c r="E3990" s="178"/>
      <c r="F3990" s="178"/>
      <c r="G3990" s="340"/>
      <c r="H3990" s="340"/>
      <c r="I3990" s="179"/>
      <c r="J3990" s="344"/>
      <c r="K3990" s="345"/>
      <c r="L3990" s="346"/>
      <c r="M3990" s="347"/>
      <c r="N3990" s="347"/>
      <c r="O3990" s="132"/>
    </row>
    <row r="3991" spans="2:15" ht="26.25" customHeight="1" x14ac:dyDescent="0.25">
      <c r="B3991" s="130"/>
      <c r="C3991" s="135"/>
      <c r="D3991" s="177"/>
      <c r="E3991" s="178"/>
      <c r="F3991" s="178"/>
      <c r="G3991" s="340"/>
      <c r="H3991" s="340"/>
      <c r="I3991" s="179"/>
      <c r="J3991" s="344"/>
      <c r="K3991" s="345"/>
      <c r="L3991" s="346"/>
      <c r="M3991" s="347"/>
      <c r="N3991" s="347"/>
      <c r="O3991" s="132"/>
    </row>
    <row r="3992" spans="2:15" ht="26.25" customHeight="1" x14ac:dyDescent="0.25">
      <c r="B3992" s="130"/>
      <c r="C3992" s="135"/>
      <c r="D3992" s="177"/>
      <c r="E3992" s="178"/>
      <c r="F3992" s="178"/>
      <c r="G3992" s="340"/>
      <c r="H3992" s="340"/>
      <c r="I3992" s="179"/>
      <c r="J3992" s="344"/>
      <c r="K3992" s="345"/>
      <c r="L3992" s="346"/>
      <c r="M3992" s="347"/>
      <c r="N3992" s="347"/>
      <c r="O3992" s="132"/>
    </row>
    <row r="3993" spans="2:15" ht="26.25" customHeight="1" x14ac:dyDescent="0.25">
      <c r="B3993" s="130"/>
      <c r="C3993" s="135"/>
      <c r="D3993" s="177"/>
      <c r="E3993" s="178"/>
      <c r="F3993" s="178"/>
      <c r="G3993" s="340"/>
      <c r="H3993" s="340"/>
      <c r="I3993" s="179"/>
      <c r="J3993" s="344"/>
      <c r="K3993" s="345"/>
      <c r="L3993" s="346"/>
      <c r="M3993" s="347"/>
      <c r="N3993" s="347"/>
      <c r="O3993" s="132"/>
    </row>
    <row r="3994" spans="2:15" ht="26.25" customHeight="1" x14ac:dyDescent="0.25">
      <c r="B3994" s="130"/>
      <c r="C3994" s="135"/>
      <c r="D3994" s="177"/>
      <c r="E3994" s="178"/>
      <c r="F3994" s="178"/>
      <c r="G3994" s="340"/>
      <c r="H3994" s="340"/>
      <c r="I3994" s="179"/>
      <c r="J3994" s="344"/>
      <c r="K3994" s="345"/>
      <c r="L3994" s="346"/>
      <c r="M3994" s="347"/>
      <c r="N3994" s="347"/>
      <c r="O3994" s="132"/>
    </row>
    <row r="3995" spans="2:15" ht="26.25" customHeight="1" x14ac:dyDescent="0.25">
      <c r="B3995" s="130"/>
      <c r="C3995" s="135"/>
      <c r="D3995" s="177"/>
      <c r="E3995" s="178"/>
      <c r="F3995" s="178"/>
      <c r="G3995" s="340"/>
      <c r="H3995" s="340"/>
      <c r="I3995" s="179"/>
      <c r="J3995" s="344"/>
      <c r="K3995" s="345"/>
      <c r="L3995" s="346"/>
      <c r="M3995" s="347"/>
      <c r="N3995" s="347"/>
      <c r="O3995" s="132"/>
    </row>
    <row r="3996" spans="2:15" ht="26.25" customHeight="1" x14ac:dyDescent="0.25">
      <c r="B3996" s="130"/>
      <c r="C3996" s="135"/>
      <c r="D3996" s="177"/>
      <c r="E3996" s="178"/>
      <c r="F3996" s="178"/>
      <c r="G3996" s="340"/>
      <c r="H3996" s="340"/>
      <c r="I3996" s="179"/>
      <c r="J3996" s="344"/>
      <c r="K3996" s="345"/>
      <c r="L3996" s="346"/>
      <c r="M3996" s="347"/>
      <c r="N3996" s="347"/>
      <c r="O3996" s="132"/>
    </row>
    <row r="3997" spans="2:15" ht="26.25" customHeight="1" x14ac:dyDescent="0.25">
      <c r="B3997" s="130"/>
      <c r="C3997" s="135"/>
      <c r="D3997" s="177"/>
      <c r="E3997" s="178"/>
      <c r="F3997" s="178"/>
      <c r="G3997" s="340"/>
      <c r="H3997" s="340"/>
      <c r="I3997" s="179"/>
      <c r="J3997" s="344"/>
      <c r="K3997" s="345"/>
      <c r="L3997" s="346"/>
      <c r="M3997" s="347"/>
      <c r="N3997" s="347"/>
      <c r="O3997" s="132"/>
    </row>
    <row r="3998" spans="2:15" ht="26.25" customHeight="1" x14ac:dyDescent="0.25">
      <c r="B3998" s="130"/>
      <c r="C3998" s="135"/>
      <c r="D3998" s="177"/>
      <c r="E3998" s="178"/>
      <c r="F3998" s="178"/>
      <c r="G3998" s="340"/>
      <c r="H3998" s="340"/>
      <c r="I3998" s="179"/>
      <c r="J3998" s="344"/>
      <c r="K3998" s="345"/>
      <c r="L3998" s="346"/>
      <c r="M3998" s="347"/>
      <c r="N3998" s="347"/>
      <c r="O3998" s="132"/>
    </row>
    <row r="3999" spans="2:15" ht="26.25" customHeight="1" x14ac:dyDescent="0.25">
      <c r="B3999" s="130"/>
      <c r="C3999" s="135"/>
      <c r="D3999" s="177"/>
      <c r="E3999" s="178"/>
      <c r="F3999" s="178"/>
      <c r="G3999" s="340"/>
      <c r="H3999" s="340"/>
      <c r="I3999" s="179"/>
      <c r="J3999" s="344"/>
      <c r="K3999" s="345"/>
      <c r="L3999" s="346"/>
      <c r="M3999" s="347"/>
      <c r="N3999" s="347"/>
      <c r="O3999" s="132"/>
    </row>
    <row r="4000" spans="2:15" ht="26.25" customHeight="1" x14ac:dyDescent="0.25">
      <c r="B4000" s="130"/>
      <c r="C4000" s="135"/>
      <c r="D4000" s="177"/>
      <c r="E4000" s="178"/>
      <c r="F4000" s="178"/>
      <c r="G4000" s="340"/>
      <c r="H4000" s="340"/>
      <c r="I4000" s="179"/>
      <c r="J4000" s="344"/>
      <c r="K4000" s="345"/>
      <c r="L4000" s="346"/>
      <c r="M4000" s="347"/>
      <c r="N4000" s="347"/>
      <c r="O4000" s="132"/>
    </row>
    <row r="4001" spans="2:15" ht="26.25" customHeight="1" x14ac:dyDescent="0.25">
      <c r="B4001" s="130"/>
      <c r="C4001" s="135"/>
      <c r="D4001" s="177"/>
      <c r="E4001" s="178"/>
      <c r="F4001" s="178"/>
      <c r="G4001" s="340"/>
      <c r="H4001" s="340"/>
      <c r="I4001" s="179"/>
      <c r="J4001" s="344"/>
      <c r="K4001" s="345"/>
      <c r="L4001" s="346"/>
      <c r="M4001" s="347"/>
      <c r="N4001" s="347"/>
      <c r="O4001" s="132"/>
    </row>
    <row r="4002" spans="2:15" ht="26.25" customHeight="1" x14ac:dyDescent="0.25">
      <c r="B4002" s="130"/>
      <c r="C4002" s="135"/>
      <c r="D4002" s="177"/>
      <c r="E4002" s="178"/>
      <c r="F4002" s="178"/>
      <c r="G4002" s="340"/>
      <c r="H4002" s="340"/>
      <c r="I4002" s="179"/>
      <c r="J4002" s="344"/>
      <c r="K4002" s="345"/>
      <c r="L4002" s="346"/>
      <c r="M4002" s="347"/>
      <c r="N4002" s="347"/>
      <c r="O4002" s="132"/>
    </row>
    <row r="4003" spans="2:15" ht="26.25" customHeight="1" x14ac:dyDescent="0.25">
      <c r="B4003" s="130"/>
      <c r="C4003" s="135"/>
      <c r="D4003" s="177"/>
      <c r="E4003" s="178"/>
      <c r="F4003" s="178"/>
      <c r="G4003" s="340"/>
      <c r="H4003" s="340"/>
      <c r="I4003" s="179"/>
      <c r="J4003" s="344"/>
      <c r="K4003" s="345"/>
      <c r="L4003" s="346"/>
      <c r="M4003" s="347"/>
      <c r="N4003" s="347"/>
      <c r="O4003" s="132"/>
    </row>
    <row r="4004" spans="2:15" ht="26.25" customHeight="1" x14ac:dyDescent="0.25">
      <c r="B4004" s="130"/>
      <c r="C4004" s="135"/>
      <c r="D4004" s="177"/>
      <c r="E4004" s="178"/>
      <c r="F4004" s="178"/>
      <c r="G4004" s="340"/>
      <c r="H4004" s="340"/>
      <c r="I4004" s="179"/>
      <c r="J4004" s="344"/>
      <c r="K4004" s="345"/>
      <c r="L4004" s="346"/>
      <c r="M4004" s="347"/>
      <c r="N4004" s="347"/>
      <c r="O4004" s="132"/>
    </row>
    <row r="4005" spans="2:15" ht="26.25" customHeight="1" x14ac:dyDescent="0.25">
      <c r="B4005" s="130"/>
      <c r="C4005" s="135"/>
      <c r="D4005" s="177"/>
      <c r="E4005" s="178"/>
      <c r="F4005" s="178"/>
      <c r="G4005" s="340"/>
      <c r="H4005" s="340"/>
      <c r="I4005" s="179"/>
      <c r="J4005" s="344"/>
      <c r="K4005" s="345"/>
      <c r="L4005" s="346"/>
      <c r="M4005" s="347"/>
      <c r="N4005" s="347"/>
      <c r="O4005" s="132"/>
    </row>
    <row r="4006" spans="2:15" ht="26.25" customHeight="1" x14ac:dyDescent="0.25">
      <c r="B4006" s="130"/>
      <c r="C4006" s="135"/>
      <c r="D4006" s="177"/>
      <c r="E4006" s="178"/>
      <c r="F4006" s="178"/>
      <c r="G4006" s="340"/>
      <c r="H4006" s="340"/>
      <c r="I4006" s="179"/>
      <c r="J4006" s="344"/>
      <c r="K4006" s="345"/>
      <c r="L4006" s="346"/>
      <c r="M4006" s="347"/>
      <c r="N4006" s="347"/>
      <c r="O4006" s="132"/>
    </row>
    <row r="4007" spans="2:15" ht="26.25" customHeight="1" x14ac:dyDescent="0.25">
      <c r="B4007" s="130"/>
      <c r="C4007" s="135"/>
      <c r="D4007" s="177"/>
      <c r="E4007" s="178"/>
      <c r="F4007" s="178"/>
      <c r="G4007" s="340"/>
      <c r="H4007" s="340"/>
      <c r="I4007" s="179"/>
      <c r="J4007" s="344"/>
      <c r="K4007" s="345"/>
      <c r="L4007" s="346"/>
      <c r="M4007" s="347"/>
      <c r="N4007" s="347"/>
      <c r="O4007" s="132"/>
    </row>
    <row r="4008" spans="2:15" ht="26.25" customHeight="1" x14ac:dyDescent="0.25">
      <c r="B4008" s="130"/>
      <c r="C4008" s="135"/>
      <c r="D4008" s="177"/>
      <c r="E4008" s="178"/>
      <c r="F4008" s="178"/>
      <c r="G4008" s="340"/>
      <c r="H4008" s="340"/>
      <c r="I4008" s="179"/>
      <c r="J4008" s="344"/>
      <c r="K4008" s="345"/>
      <c r="L4008" s="346"/>
      <c r="M4008" s="347"/>
      <c r="N4008" s="347"/>
      <c r="O4008" s="132"/>
    </row>
    <row r="4009" spans="2:15" ht="26.25" customHeight="1" x14ac:dyDescent="0.25">
      <c r="B4009" s="130"/>
      <c r="C4009" s="135"/>
      <c r="D4009" s="177"/>
      <c r="E4009" s="178"/>
      <c r="F4009" s="178"/>
      <c r="G4009" s="340"/>
      <c r="H4009" s="340"/>
      <c r="I4009" s="179"/>
      <c r="J4009" s="344"/>
      <c r="K4009" s="345"/>
      <c r="L4009" s="346"/>
      <c r="M4009" s="347"/>
      <c r="N4009" s="347"/>
      <c r="O4009" s="132"/>
    </row>
    <row r="4010" spans="2:15" ht="26.25" customHeight="1" x14ac:dyDescent="0.25">
      <c r="B4010" s="130"/>
      <c r="C4010" s="135"/>
      <c r="D4010" s="177"/>
      <c r="E4010" s="178"/>
      <c r="F4010" s="178"/>
      <c r="G4010" s="340"/>
      <c r="H4010" s="340"/>
      <c r="I4010" s="179"/>
      <c r="J4010" s="344"/>
      <c r="K4010" s="345"/>
      <c r="L4010" s="346"/>
      <c r="M4010" s="347"/>
      <c r="N4010" s="347"/>
      <c r="O4010" s="132"/>
    </row>
    <row r="4011" spans="2:15" ht="26.25" customHeight="1" x14ac:dyDescent="0.25">
      <c r="B4011" s="130"/>
      <c r="C4011" s="135"/>
      <c r="D4011" s="177"/>
      <c r="E4011" s="178"/>
      <c r="F4011" s="178"/>
      <c r="G4011" s="340"/>
      <c r="H4011" s="340"/>
      <c r="I4011" s="179"/>
      <c r="J4011" s="344"/>
      <c r="K4011" s="345"/>
      <c r="L4011" s="346"/>
      <c r="M4011" s="347"/>
      <c r="N4011" s="347"/>
      <c r="O4011" s="132"/>
    </row>
    <row r="4012" spans="2:15" ht="26.25" customHeight="1" x14ac:dyDescent="0.25">
      <c r="B4012" s="130"/>
      <c r="C4012" s="135"/>
      <c r="D4012" s="177"/>
      <c r="E4012" s="178"/>
      <c r="F4012" s="178"/>
      <c r="G4012" s="340"/>
      <c r="H4012" s="340"/>
      <c r="I4012" s="179"/>
      <c r="J4012" s="344"/>
      <c r="K4012" s="345"/>
      <c r="L4012" s="346"/>
      <c r="M4012" s="347"/>
      <c r="N4012" s="347"/>
      <c r="O4012" s="132"/>
    </row>
    <row r="4013" spans="2:15" ht="26.25" customHeight="1" x14ac:dyDescent="0.25">
      <c r="B4013" s="130"/>
      <c r="C4013" s="135"/>
      <c r="D4013" s="177"/>
      <c r="E4013" s="178"/>
      <c r="F4013" s="178"/>
      <c r="G4013" s="340"/>
      <c r="H4013" s="340"/>
      <c r="I4013" s="179"/>
      <c r="J4013" s="344"/>
      <c r="K4013" s="345"/>
      <c r="L4013" s="346"/>
      <c r="M4013" s="347"/>
      <c r="N4013" s="347"/>
      <c r="O4013" s="132"/>
    </row>
    <row r="4014" spans="2:15" ht="26.25" customHeight="1" x14ac:dyDescent="0.25">
      <c r="B4014" s="130"/>
      <c r="C4014" s="135"/>
      <c r="D4014" s="177"/>
      <c r="E4014" s="178"/>
      <c r="F4014" s="178"/>
      <c r="G4014" s="340"/>
      <c r="H4014" s="340"/>
      <c r="I4014" s="179"/>
      <c r="J4014" s="344"/>
      <c r="K4014" s="345"/>
      <c r="L4014" s="346"/>
      <c r="M4014" s="347"/>
      <c r="N4014" s="347"/>
      <c r="O4014" s="132"/>
    </row>
    <row r="4015" spans="2:15" ht="26.25" customHeight="1" x14ac:dyDescent="0.25">
      <c r="B4015" s="130"/>
      <c r="C4015" s="135"/>
      <c r="D4015" s="177"/>
      <c r="E4015" s="178"/>
      <c r="F4015" s="178"/>
      <c r="G4015" s="340"/>
      <c r="H4015" s="340"/>
      <c r="I4015" s="179"/>
      <c r="J4015" s="344"/>
      <c r="K4015" s="345"/>
      <c r="L4015" s="346"/>
      <c r="M4015" s="347"/>
      <c r="N4015" s="347"/>
      <c r="O4015" s="132"/>
    </row>
    <row r="4016" spans="2:15" ht="26.25" customHeight="1" x14ac:dyDescent="0.25">
      <c r="B4016" s="130"/>
      <c r="C4016" s="135"/>
      <c r="D4016" s="177"/>
      <c r="E4016" s="178"/>
      <c r="F4016" s="178"/>
      <c r="G4016" s="340"/>
      <c r="H4016" s="340"/>
      <c r="I4016" s="179"/>
      <c r="J4016" s="344"/>
      <c r="K4016" s="345"/>
      <c r="L4016" s="346"/>
      <c r="M4016" s="347"/>
      <c r="N4016" s="347"/>
      <c r="O4016" s="132"/>
    </row>
    <row r="4017" spans="2:15" ht="26.25" customHeight="1" x14ac:dyDescent="0.25">
      <c r="B4017" s="130"/>
      <c r="C4017" s="135"/>
      <c r="D4017" s="177"/>
      <c r="E4017" s="178"/>
      <c r="F4017" s="178"/>
      <c r="G4017" s="340"/>
      <c r="H4017" s="340"/>
      <c r="I4017" s="179"/>
      <c r="J4017" s="344"/>
      <c r="K4017" s="345"/>
      <c r="L4017" s="346"/>
      <c r="M4017" s="347"/>
      <c r="N4017" s="347"/>
      <c r="O4017" s="132"/>
    </row>
    <row r="4018" spans="2:15" ht="26.25" customHeight="1" x14ac:dyDescent="0.25">
      <c r="B4018" s="130"/>
      <c r="C4018" s="135"/>
      <c r="D4018" s="177"/>
      <c r="E4018" s="178"/>
      <c r="F4018" s="178"/>
      <c r="G4018" s="340"/>
      <c r="H4018" s="340"/>
      <c r="I4018" s="179"/>
      <c r="J4018" s="344"/>
      <c r="K4018" s="345"/>
      <c r="L4018" s="346"/>
      <c r="M4018" s="347"/>
      <c r="N4018" s="347"/>
      <c r="O4018" s="132"/>
    </row>
    <row r="4019" spans="2:15" ht="26.25" customHeight="1" x14ac:dyDescent="0.25">
      <c r="B4019" s="130"/>
      <c r="C4019" s="135"/>
      <c r="D4019" s="177"/>
      <c r="E4019" s="178"/>
      <c r="F4019" s="178"/>
      <c r="G4019" s="340"/>
      <c r="H4019" s="340"/>
      <c r="I4019" s="179"/>
      <c r="J4019" s="344"/>
      <c r="K4019" s="345"/>
      <c r="L4019" s="346"/>
      <c r="M4019" s="347"/>
      <c r="N4019" s="347"/>
      <c r="O4019" s="132"/>
    </row>
    <row r="4020" spans="2:15" ht="26.25" customHeight="1" x14ac:dyDescent="0.25">
      <c r="B4020" s="130"/>
      <c r="C4020" s="135"/>
      <c r="D4020" s="177"/>
      <c r="E4020" s="178"/>
      <c r="F4020" s="178"/>
      <c r="G4020" s="340"/>
      <c r="H4020" s="340"/>
      <c r="I4020" s="179"/>
      <c r="J4020" s="344"/>
      <c r="K4020" s="345"/>
      <c r="L4020" s="346"/>
      <c r="M4020" s="347"/>
      <c r="N4020" s="347"/>
      <c r="O4020" s="132"/>
    </row>
    <row r="4021" spans="2:15" ht="26.25" customHeight="1" x14ac:dyDescent="0.25">
      <c r="B4021" s="130"/>
      <c r="C4021" s="135"/>
      <c r="D4021" s="177"/>
      <c r="E4021" s="178"/>
      <c r="F4021" s="178"/>
      <c r="G4021" s="340"/>
      <c r="H4021" s="340"/>
      <c r="I4021" s="179"/>
      <c r="J4021" s="344"/>
      <c r="K4021" s="345"/>
      <c r="L4021" s="346"/>
      <c r="M4021" s="347"/>
      <c r="N4021" s="347"/>
      <c r="O4021" s="132"/>
    </row>
    <row r="4022" spans="2:15" ht="26.25" customHeight="1" x14ac:dyDescent="0.25">
      <c r="B4022" s="130"/>
      <c r="C4022" s="135"/>
      <c r="D4022" s="177"/>
      <c r="E4022" s="178"/>
      <c r="F4022" s="178"/>
      <c r="G4022" s="340"/>
      <c r="H4022" s="340"/>
      <c r="I4022" s="179"/>
      <c r="J4022" s="344"/>
      <c r="K4022" s="345"/>
      <c r="L4022" s="346"/>
      <c r="M4022" s="347"/>
      <c r="N4022" s="347"/>
      <c r="O4022" s="132"/>
    </row>
    <row r="4023" spans="2:15" ht="26.25" customHeight="1" x14ac:dyDescent="0.25">
      <c r="B4023" s="130"/>
      <c r="C4023" s="135"/>
      <c r="D4023" s="177"/>
      <c r="E4023" s="178"/>
      <c r="F4023" s="178"/>
      <c r="G4023" s="340"/>
      <c r="H4023" s="340"/>
      <c r="I4023" s="179"/>
      <c r="J4023" s="344"/>
      <c r="K4023" s="345"/>
      <c r="L4023" s="346"/>
      <c r="M4023" s="347"/>
      <c r="N4023" s="347"/>
      <c r="O4023" s="132"/>
    </row>
    <row r="4024" spans="2:15" ht="26.25" customHeight="1" x14ac:dyDescent="0.25">
      <c r="B4024" s="130"/>
      <c r="C4024" s="135"/>
      <c r="D4024" s="177"/>
      <c r="E4024" s="178"/>
      <c r="F4024" s="178"/>
      <c r="G4024" s="340"/>
      <c r="H4024" s="340"/>
      <c r="I4024" s="179"/>
      <c r="J4024" s="344"/>
      <c r="K4024" s="345"/>
      <c r="L4024" s="346"/>
      <c r="M4024" s="347"/>
      <c r="N4024" s="347"/>
      <c r="O4024" s="132"/>
    </row>
    <row r="4025" spans="2:15" ht="26.25" customHeight="1" x14ac:dyDescent="0.25">
      <c r="B4025" s="130"/>
      <c r="C4025" s="135"/>
      <c r="D4025" s="177"/>
      <c r="E4025" s="178"/>
      <c r="F4025" s="178"/>
      <c r="G4025" s="340"/>
      <c r="H4025" s="340"/>
      <c r="I4025" s="179"/>
      <c r="J4025" s="344"/>
      <c r="K4025" s="345"/>
      <c r="L4025" s="346"/>
      <c r="M4025" s="347"/>
      <c r="N4025" s="347"/>
      <c r="O4025" s="132"/>
    </row>
    <row r="4026" spans="2:15" ht="26.25" customHeight="1" x14ac:dyDescent="0.25">
      <c r="B4026" s="130"/>
      <c r="C4026" s="135"/>
      <c r="D4026" s="177"/>
      <c r="E4026" s="178"/>
      <c r="F4026" s="178"/>
      <c r="G4026" s="340"/>
      <c r="H4026" s="340"/>
      <c r="I4026" s="179"/>
      <c r="J4026" s="344"/>
      <c r="K4026" s="345"/>
      <c r="L4026" s="346"/>
      <c r="M4026" s="347"/>
      <c r="N4026" s="347"/>
      <c r="O4026" s="132"/>
    </row>
    <row r="4027" spans="2:15" ht="26.25" customHeight="1" x14ac:dyDescent="0.25">
      <c r="B4027" s="130"/>
      <c r="C4027" s="135"/>
      <c r="D4027" s="177"/>
      <c r="E4027" s="178"/>
      <c r="F4027" s="178"/>
      <c r="G4027" s="340"/>
      <c r="H4027" s="340"/>
      <c r="I4027" s="179"/>
      <c r="J4027" s="344"/>
      <c r="K4027" s="345"/>
      <c r="L4027" s="346"/>
      <c r="M4027" s="347"/>
      <c r="N4027" s="347"/>
      <c r="O4027" s="132"/>
    </row>
    <row r="4028" spans="2:15" ht="26.25" customHeight="1" x14ac:dyDescent="0.25">
      <c r="B4028" s="130"/>
      <c r="C4028" s="135"/>
      <c r="D4028" s="177"/>
      <c r="E4028" s="178"/>
      <c r="F4028" s="178"/>
      <c r="G4028" s="340"/>
      <c r="H4028" s="340"/>
      <c r="I4028" s="179"/>
      <c r="J4028" s="344"/>
      <c r="K4028" s="345"/>
      <c r="L4028" s="346"/>
      <c r="M4028" s="347"/>
      <c r="N4028" s="347"/>
      <c r="O4028" s="132"/>
    </row>
    <row r="4029" spans="2:15" ht="26.25" customHeight="1" x14ac:dyDescent="0.25">
      <c r="B4029" s="130"/>
      <c r="C4029" s="135"/>
      <c r="D4029" s="177"/>
      <c r="E4029" s="178"/>
      <c r="F4029" s="178"/>
      <c r="G4029" s="340"/>
      <c r="H4029" s="340"/>
      <c r="I4029" s="179"/>
      <c r="J4029" s="344"/>
      <c r="K4029" s="345"/>
      <c r="L4029" s="346"/>
      <c r="M4029" s="347"/>
      <c r="N4029" s="347"/>
      <c r="O4029" s="132"/>
    </row>
    <row r="4030" spans="2:15" ht="26.25" customHeight="1" x14ac:dyDescent="0.25">
      <c r="B4030" s="130"/>
      <c r="C4030" s="135"/>
      <c r="D4030" s="177"/>
      <c r="E4030" s="178"/>
      <c r="F4030" s="178"/>
      <c r="G4030" s="340"/>
      <c r="H4030" s="340"/>
      <c r="I4030" s="179"/>
      <c r="J4030" s="344"/>
      <c r="K4030" s="345"/>
      <c r="L4030" s="346"/>
      <c r="M4030" s="347"/>
      <c r="N4030" s="347"/>
      <c r="O4030" s="132"/>
    </row>
    <row r="4031" spans="2:15" ht="26.25" customHeight="1" x14ac:dyDescent="0.25">
      <c r="B4031" s="130"/>
      <c r="C4031" s="135"/>
      <c r="D4031" s="177"/>
      <c r="E4031" s="178"/>
      <c r="F4031" s="178"/>
      <c r="G4031" s="340"/>
      <c r="H4031" s="340"/>
      <c r="I4031" s="179"/>
      <c r="J4031" s="344"/>
      <c r="K4031" s="345"/>
      <c r="L4031" s="346"/>
      <c r="M4031" s="347"/>
      <c r="N4031" s="347"/>
      <c r="O4031" s="132"/>
    </row>
    <row r="4032" spans="2:15" ht="26.25" customHeight="1" x14ac:dyDescent="0.25">
      <c r="B4032" s="130"/>
      <c r="C4032" s="135"/>
      <c r="D4032" s="177"/>
      <c r="E4032" s="178"/>
      <c r="F4032" s="178"/>
      <c r="G4032" s="340"/>
      <c r="H4032" s="340"/>
      <c r="I4032" s="179"/>
      <c r="J4032" s="344"/>
      <c r="K4032" s="345"/>
      <c r="L4032" s="346"/>
      <c r="M4032" s="347"/>
      <c r="N4032" s="347"/>
      <c r="O4032" s="132"/>
    </row>
    <row r="4033" spans="2:15" ht="26.25" customHeight="1" x14ac:dyDescent="0.25">
      <c r="B4033" s="130"/>
      <c r="C4033" s="135"/>
      <c r="D4033" s="177"/>
      <c r="E4033" s="178"/>
      <c r="F4033" s="178"/>
      <c r="G4033" s="340"/>
      <c r="H4033" s="340"/>
      <c r="I4033" s="179"/>
      <c r="J4033" s="344"/>
      <c r="K4033" s="345"/>
      <c r="L4033" s="346"/>
      <c r="M4033" s="347"/>
      <c r="N4033" s="347"/>
      <c r="O4033" s="132"/>
    </row>
    <row r="4034" spans="2:15" ht="26.25" customHeight="1" x14ac:dyDescent="0.25">
      <c r="B4034" s="130"/>
      <c r="C4034" s="135"/>
      <c r="D4034" s="177"/>
      <c r="E4034" s="178"/>
      <c r="F4034" s="178"/>
      <c r="G4034" s="340"/>
      <c r="H4034" s="340"/>
      <c r="I4034" s="179"/>
      <c r="J4034" s="344"/>
      <c r="K4034" s="345"/>
      <c r="L4034" s="346"/>
      <c r="M4034" s="347"/>
      <c r="N4034" s="347"/>
      <c r="O4034" s="132"/>
    </row>
    <row r="4035" spans="2:15" ht="26.25" customHeight="1" x14ac:dyDescent="0.25">
      <c r="B4035" s="130"/>
      <c r="C4035" s="135"/>
      <c r="D4035" s="177"/>
      <c r="E4035" s="178"/>
      <c r="F4035" s="178"/>
      <c r="G4035" s="340"/>
      <c r="H4035" s="340"/>
      <c r="I4035" s="179"/>
      <c r="J4035" s="344"/>
      <c r="K4035" s="345"/>
      <c r="L4035" s="346"/>
      <c r="M4035" s="347"/>
      <c r="N4035" s="347"/>
      <c r="O4035" s="132"/>
    </row>
    <row r="4036" spans="2:15" ht="26.25" customHeight="1" x14ac:dyDescent="0.25">
      <c r="B4036" s="130"/>
      <c r="C4036" s="135"/>
      <c r="D4036" s="177"/>
      <c r="E4036" s="178"/>
      <c r="F4036" s="178"/>
      <c r="G4036" s="340"/>
      <c r="H4036" s="340"/>
      <c r="I4036" s="179"/>
      <c r="J4036" s="344"/>
      <c r="K4036" s="345"/>
      <c r="L4036" s="346"/>
      <c r="M4036" s="347"/>
      <c r="N4036" s="347"/>
      <c r="O4036" s="132"/>
    </row>
    <row r="4037" spans="2:15" ht="26.25" customHeight="1" x14ac:dyDescent="0.25">
      <c r="B4037" s="130"/>
      <c r="C4037" s="135"/>
      <c r="D4037" s="177"/>
      <c r="E4037" s="178"/>
      <c r="F4037" s="178"/>
      <c r="G4037" s="340"/>
      <c r="H4037" s="340"/>
      <c r="I4037" s="179"/>
      <c r="J4037" s="344"/>
      <c r="K4037" s="345"/>
      <c r="L4037" s="346"/>
      <c r="M4037" s="347"/>
      <c r="N4037" s="347"/>
      <c r="O4037" s="132"/>
    </row>
    <row r="4038" spans="2:15" ht="26.25" customHeight="1" x14ac:dyDescent="0.25">
      <c r="B4038" s="130"/>
      <c r="C4038" s="135"/>
      <c r="D4038" s="177"/>
      <c r="E4038" s="178"/>
      <c r="F4038" s="178"/>
      <c r="G4038" s="340"/>
      <c r="H4038" s="340"/>
      <c r="I4038" s="179"/>
      <c r="J4038" s="344"/>
      <c r="K4038" s="345"/>
      <c r="L4038" s="346"/>
      <c r="M4038" s="347"/>
      <c r="N4038" s="347"/>
      <c r="O4038" s="132"/>
    </row>
    <row r="4039" spans="2:15" ht="26.25" customHeight="1" x14ac:dyDescent="0.25">
      <c r="B4039" s="130"/>
      <c r="C4039" s="135"/>
      <c r="D4039" s="177"/>
      <c r="E4039" s="178"/>
      <c r="F4039" s="178"/>
      <c r="G4039" s="340"/>
      <c r="H4039" s="340"/>
      <c r="I4039" s="179"/>
      <c r="J4039" s="344"/>
      <c r="K4039" s="345"/>
      <c r="L4039" s="346"/>
      <c r="M4039" s="347"/>
      <c r="N4039" s="347"/>
      <c r="O4039" s="132"/>
    </row>
    <row r="4040" spans="2:15" ht="26.25" customHeight="1" x14ac:dyDescent="0.25">
      <c r="B4040" s="130"/>
      <c r="C4040" s="135"/>
      <c r="D4040" s="177"/>
      <c r="E4040" s="178"/>
      <c r="F4040" s="178"/>
      <c r="G4040" s="340"/>
      <c r="H4040" s="340"/>
      <c r="I4040" s="179"/>
      <c r="J4040" s="344"/>
      <c r="K4040" s="345"/>
      <c r="L4040" s="346"/>
      <c r="M4040" s="347"/>
      <c r="N4040" s="347"/>
      <c r="O4040" s="132"/>
    </row>
    <row r="4041" spans="2:15" ht="26.25" customHeight="1" x14ac:dyDescent="0.25">
      <c r="B4041" s="130"/>
      <c r="C4041" s="135"/>
      <c r="D4041" s="177"/>
      <c r="E4041" s="178"/>
      <c r="F4041" s="178"/>
      <c r="G4041" s="340"/>
      <c r="H4041" s="340"/>
      <c r="I4041" s="179"/>
      <c r="J4041" s="344"/>
      <c r="K4041" s="345"/>
      <c r="L4041" s="346"/>
      <c r="M4041" s="347"/>
      <c r="N4041" s="347"/>
      <c r="O4041" s="132"/>
    </row>
    <row r="4042" spans="2:15" ht="26.25" customHeight="1" x14ac:dyDescent="0.25">
      <c r="B4042" s="130"/>
      <c r="C4042" s="135"/>
      <c r="D4042" s="177"/>
      <c r="E4042" s="178"/>
      <c r="F4042" s="178"/>
      <c r="G4042" s="340"/>
      <c r="H4042" s="340"/>
      <c r="I4042" s="179"/>
      <c r="J4042" s="344"/>
      <c r="K4042" s="345"/>
      <c r="L4042" s="346"/>
      <c r="M4042" s="347"/>
      <c r="N4042" s="347"/>
      <c r="O4042" s="132"/>
    </row>
    <row r="4043" spans="2:15" ht="26.25" customHeight="1" x14ac:dyDescent="0.25">
      <c r="B4043" s="130"/>
      <c r="C4043" s="135"/>
      <c r="D4043" s="177"/>
      <c r="E4043" s="178"/>
      <c r="F4043" s="178"/>
      <c r="G4043" s="340"/>
      <c r="H4043" s="340"/>
      <c r="I4043" s="179"/>
      <c r="J4043" s="344"/>
      <c r="K4043" s="345"/>
      <c r="L4043" s="346"/>
      <c r="M4043" s="347"/>
      <c r="N4043" s="347"/>
      <c r="O4043" s="132"/>
    </row>
    <row r="4044" spans="2:15" ht="26.25" customHeight="1" x14ac:dyDescent="0.25">
      <c r="B4044" s="130"/>
      <c r="C4044" s="135"/>
      <c r="D4044" s="177"/>
      <c r="E4044" s="178"/>
      <c r="F4044" s="178"/>
      <c r="G4044" s="340"/>
      <c r="H4044" s="340"/>
      <c r="I4044" s="179"/>
      <c r="J4044" s="344"/>
      <c r="K4044" s="345"/>
      <c r="L4044" s="346"/>
      <c r="M4044" s="347"/>
      <c r="N4044" s="347"/>
      <c r="O4044" s="132"/>
    </row>
    <row r="4045" spans="2:15" ht="26.25" customHeight="1" x14ac:dyDescent="0.25">
      <c r="B4045" s="130"/>
      <c r="C4045" s="135"/>
      <c r="D4045" s="177"/>
      <c r="E4045" s="178"/>
      <c r="F4045" s="178"/>
      <c r="G4045" s="340"/>
      <c r="H4045" s="340"/>
      <c r="I4045" s="179"/>
      <c r="J4045" s="344"/>
      <c r="K4045" s="345"/>
      <c r="L4045" s="346"/>
      <c r="M4045" s="347"/>
      <c r="N4045" s="347"/>
      <c r="O4045" s="132"/>
    </row>
    <row r="4046" spans="2:15" ht="26.25" customHeight="1" x14ac:dyDescent="0.25">
      <c r="B4046" s="130"/>
      <c r="C4046" s="135"/>
      <c r="D4046" s="177"/>
      <c r="E4046" s="178"/>
      <c r="F4046" s="178"/>
      <c r="G4046" s="340"/>
      <c r="H4046" s="340"/>
      <c r="I4046" s="179"/>
      <c r="J4046" s="344"/>
      <c r="K4046" s="345"/>
      <c r="L4046" s="346"/>
      <c r="M4046" s="347"/>
      <c r="N4046" s="347"/>
      <c r="O4046" s="132"/>
    </row>
    <row r="4047" spans="2:15" ht="26.25" customHeight="1" x14ac:dyDescent="0.25">
      <c r="B4047" s="130"/>
      <c r="C4047" s="135"/>
      <c r="D4047" s="177"/>
      <c r="E4047" s="178"/>
      <c r="F4047" s="178"/>
      <c r="G4047" s="340"/>
      <c r="H4047" s="340"/>
      <c r="I4047" s="179"/>
      <c r="J4047" s="344"/>
      <c r="K4047" s="345"/>
      <c r="L4047" s="346"/>
      <c r="M4047" s="347"/>
      <c r="N4047" s="347"/>
      <c r="O4047" s="132"/>
    </row>
    <row r="4048" spans="2:15" ht="26.25" customHeight="1" x14ac:dyDescent="0.25">
      <c r="B4048" s="130"/>
      <c r="C4048" s="135"/>
      <c r="D4048" s="177"/>
      <c r="E4048" s="178"/>
      <c r="F4048" s="178"/>
      <c r="G4048" s="340"/>
      <c r="H4048" s="340"/>
      <c r="I4048" s="179"/>
      <c r="J4048" s="344"/>
      <c r="K4048" s="345"/>
      <c r="L4048" s="346"/>
      <c r="M4048" s="347"/>
      <c r="N4048" s="347"/>
      <c r="O4048" s="132"/>
    </row>
    <row r="4049" spans="2:15" ht="26.25" customHeight="1" x14ac:dyDescent="0.25">
      <c r="B4049" s="130"/>
      <c r="C4049" s="135"/>
      <c r="D4049" s="177"/>
      <c r="E4049" s="178"/>
      <c r="F4049" s="178"/>
      <c r="G4049" s="340"/>
      <c r="H4049" s="340"/>
      <c r="I4049" s="179"/>
      <c r="J4049" s="344"/>
      <c r="K4049" s="345"/>
      <c r="L4049" s="346"/>
      <c r="M4049" s="347"/>
      <c r="N4049" s="347"/>
      <c r="O4049" s="132"/>
    </row>
    <row r="4050" spans="2:15" ht="26.25" customHeight="1" x14ac:dyDescent="0.25">
      <c r="B4050" s="130"/>
      <c r="C4050" s="135"/>
      <c r="D4050" s="177"/>
      <c r="E4050" s="178"/>
      <c r="F4050" s="178"/>
      <c r="G4050" s="340"/>
      <c r="H4050" s="340"/>
      <c r="I4050" s="179"/>
      <c r="J4050" s="344"/>
      <c r="K4050" s="345"/>
      <c r="L4050" s="346"/>
      <c r="M4050" s="347"/>
      <c r="N4050" s="347"/>
      <c r="O4050" s="132"/>
    </row>
    <row r="4051" spans="2:15" ht="26.25" customHeight="1" x14ac:dyDescent="0.25">
      <c r="B4051" s="130"/>
      <c r="C4051" s="135"/>
      <c r="D4051" s="177"/>
      <c r="E4051" s="178"/>
      <c r="F4051" s="178"/>
      <c r="G4051" s="340"/>
      <c r="H4051" s="340"/>
      <c r="I4051" s="179"/>
      <c r="J4051" s="344"/>
      <c r="K4051" s="345"/>
      <c r="L4051" s="346"/>
      <c r="M4051" s="347"/>
      <c r="N4051" s="347"/>
      <c r="O4051" s="132"/>
    </row>
    <row r="4052" spans="2:15" ht="26.25" customHeight="1" x14ac:dyDescent="0.25">
      <c r="B4052" s="130"/>
      <c r="C4052" s="135"/>
      <c r="D4052" s="177"/>
      <c r="E4052" s="178"/>
      <c r="F4052" s="178"/>
      <c r="G4052" s="340"/>
      <c r="H4052" s="340"/>
      <c r="I4052" s="179"/>
      <c r="J4052" s="344"/>
      <c r="K4052" s="345"/>
      <c r="L4052" s="346"/>
      <c r="M4052" s="347"/>
      <c r="N4052" s="347"/>
      <c r="O4052" s="132"/>
    </row>
    <row r="4053" spans="2:15" ht="26.25" customHeight="1" x14ac:dyDescent="0.25">
      <c r="B4053" s="130"/>
      <c r="C4053" s="135"/>
      <c r="D4053" s="177"/>
      <c r="E4053" s="178"/>
      <c r="F4053" s="178"/>
      <c r="G4053" s="340"/>
      <c r="H4053" s="340"/>
      <c r="I4053" s="179"/>
      <c r="J4053" s="344"/>
      <c r="K4053" s="345"/>
      <c r="L4053" s="346"/>
      <c r="M4053" s="347"/>
      <c r="N4053" s="347"/>
      <c r="O4053" s="132"/>
    </row>
    <row r="4054" spans="2:15" ht="26.25" customHeight="1" x14ac:dyDescent="0.25">
      <c r="B4054" s="130"/>
      <c r="C4054" s="135"/>
      <c r="D4054" s="177"/>
      <c r="E4054" s="178"/>
      <c r="F4054" s="178"/>
      <c r="G4054" s="340"/>
      <c r="H4054" s="340"/>
      <c r="I4054" s="179"/>
      <c r="J4054" s="344"/>
      <c r="K4054" s="345"/>
      <c r="L4054" s="346"/>
      <c r="M4054" s="347"/>
      <c r="N4054" s="347"/>
      <c r="O4054" s="132"/>
    </row>
    <row r="4055" spans="2:15" ht="26.25" customHeight="1" x14ac:dyDescent="0.25">
      <c r="B4055" s="130"/>
      <c r="C4055" s="135"/>
      <c r="D4055" s="177"/>
      <c r="E4055" s="178"/>
      <c r="F4055" s="178"/>
      <c r="G4055" s="340"/>
      <c r="H4055" s="340"/>
      <c r="I4055" s="179"/>
      <c r="J4055" s="344"/>
      <c r="K4055" s="345"/>
      <c r="L4055" s="346"/>
      <c r="M4055" s="347"/>
      <c r="N4055" s="347"/>
      <c r="O4055" s="132"/>
    </row>
    <row r="4056" spans="2:15" ht="26.25" customHeight="1" x14ac:dyDescent="0.25">
      <c r="B4056" s="130"/>
      <c r="C4056" s="135"/>
      <c r="D4056" s="177"/>
      <c r="E4056" s="178"/>
      <c r="F4056" s="178"/>
      <c r="G4056" s="340"/>
      <c r="H4056" s="340"/>
      <c r="I4056" s="179"/>
      <c r="J4056" s="344"/>
      <c r="K4056" s="345"/>
      <c r="L4056" s="346"/>
      <c r="M4056" s="347"/>
      <c r="N4056" s="347"/>
      <c r="O4056" s="132"/>
    </row>
    <row r="4057" spans="2:15" ht="26.25" customHeight="1" x14ac:dyDescent="0.25">
      <c r="B4057" s="130"/>
      <c r="C4057" s="135"/>
      <c r="D4057" s="177"/>
      <c r="E4057" s="178"/>
      <c r="F4057" s="178"/>
      <c r="G4057" s="340"/>
      <c r="H4057" s="340"/>
      <c r="I4057" s="179"/>
      <c r="J4057" s="344"/>
      <c r="K4057" s="345"/>
      <c r="L4057" s="346"/>
      <c r="M4057" s="347"/>
      <c r="N4057" s="347"/>
      <c r="O4057" s="132"/>
    </row>
    <row r="4058" spans="2:15" ht="26.25" customHeight="1" x14ac:dyDescent="0.25">
      <c r="B4058" s="130"/>
      <c r="C4058" s="135"/>
      <c r="D4058" s="177"/>
      <c r="E4058" s="178"/>
      <c r="F4058" s="178"/>
      <c r="G4058" s="340"/>
      <c r="H4058" s="340"/>
      <c r="I4058" s="179"/>
      <c r="J4058" s="344"/>
      <c r="K4058" s="345"/>
      <c r="L4058" s="346"/>
      <c r="M4058" s="347"/>
      <c r="N4058" s="347"/>
      <c r="O4058" s="132"/>
    </row>
    <row r="4059" spans="2:15" ht="26.25" customHeight="1" x14ac:dyDescent="0.25">
      <c r="B4059" s="130"/>
      <c r="C4059" s="135"/>
      <c r="D4059" s="177"/>
      <c r="E4059" s="178"/>
      <c r="F4059" s="178"/>
      <c r="G4059" s="340"/>
      <c r="H4059" s="340"/>
      <c r="I4059" s="179"/>
      <c r="J4059" s="344"/>
      <c r="K4059" s="345"/>
      <c r="L4059" s="346"/>
      <c r="M4059" s="347"/>
      <c r="N4059" s="347"/>
      <c r="O4059" s="132"/>
    </row>
    <row r="4060" spans="2:15" ht="26.25" customHeight="1" x14ac:dyDescent="0.25">
      <c r="B4060" s="130"/>
      <c r="C4060" s="135"/>
      <c r="D4060" s="177"/>
      <c r="E4060" s="178"/>
      <c r="F4060" s="178"/>
      <c r="G4060" s="340"/>
      <c r="H4060" s="340"/>
      <c r="I4060" s="179"/>
      <c r="J4060" s="344"/>
      <c r="K4060" s="345"/>
      <c r="L4060" s="346"/>
      <c r="M4060" s="347"/>
      <c r="N4060" s="347"/>
      <c r="O4060" s="132"/>
    </row>
    <row r="4061" spans="2:15" ht="26.25" customHeight="1" x14ac:dyDescent="0.25">
      <c r="B4061" s="130"/>
      <c r="C4061" s="135"/>
      <c r="D4061" s="177"/>
      <c r="E4061" s="178"/>
      <c r="F4061" s="178"/>
      <c r="G4061" s="340"/>
      <c r="H4061" s="340"/>
      <c r="I4061" s="179"/>
      <c r="J4061" s="344"/>
      <c r="K4061" s="345"/>
      <c r="L4061" s="346"/>
      <c r="M4061" s="347"/>
      <c r="N4061" s="347"/>
      <c r="O4061" s="132"/>
    </row>
    <row r="4062" spans="2:15" ht="26.25" customHeight="1" x14ac:dyDescent="0.25">
      <c r="B4062" s="130"/>
      <c r="C4062" s="135"/>
      <c r="D4062" s="177"/>
      <c r="E4062" s="178"/>
      <c r="F4062" s="178"/>
      <c r="G4062" s="340"/>
      <c r="H4062" s="340"/>
      <c r="I4062" s="179"/>
      <c r="J4062" s="344"/>
      <c r="K4062" s="345"/>
      <c r="L4062" s="346"/>
      <c r="M4062" s="347"/>
      <c r="N4062" s="347"/>
      <c r="O4062" s="132"/>
    </row>
    <row r="4063" spans="2:15" ht="26.25" customHeight="1" x14ac:dyDescent="0.25">
      <c r="B4063" s="130"/>
      <c r="C4063" s="135"/>
      <c r="D4063" s="177"/>
      <c r="E4063" s="178"/>
      <c r="F4063" s="178"/>
      <c r="G4063" s="340"/>
      <c r="H4063" s="340"/>
      <c r="I4063" s="179"/>
      <c r="J4063" s="344"/>
      <c r="K4063" s="345"/>
      <c r="L4063" s="346"/>
      <c r="M4063" s="347"/>
      <c r="N4063" s="347"/>
      <c r="O4063" s="132"/>
    </row>
    <row r="4064" spans="2:15" ht="26.25" customHeight="1" x14ac:dyDescent="0.25">
      <c r="B4064" s="130"/>
      <c r="C4064" s="135"/>
      <c r="D4064" s="177"/>
      <c r="E4064" s="178"/>
      <c r="F4064" s="178"/>
      <c r="G4064" s="340"/>
      <c r="H4064" s="340"/>
      <c r="I4064" s="179"/>
      <c r="J4064" s="344"/>
      <c r="K4064" s="345"/>
      <c r="L4064" s="346"/>
      <c r="M4064" s="347"/>
      <c r="N4064" s="347"/>
      <c r="O4064" s="132"/>
    </row>
    <row r="4065" spans="2:15" ht="26.25" customHeight="1" x14ac:dyDescent="0.25">
      <c r="B4065" s="130"/>
      <c r="C4065" s="135"/>
      <c r="D4065" s="177"/>
      <c r="E4065" s="178"/>
      <c r="F4065" s="178"/>
      <c r="G4065" s="340"/>
      <c r="H4065" s="340"/>
      <c r="I4065" s="179"/>
      <c r="J4065" s="344"/>
      <c r="K4065" s="345"/>
      <c r="L4065" s="346"/>
      <c r="M4065" s="347"/>
      <c r="N4065" s="347"/>
      <c r="O4065" s="132"/>
    </row>
    <row r="4066" spans="2:15" ht="26.25" customHeight="1" x14ac:dyDescent="0.25">
      <c r="B4066" s="130"/>
      <c r="C4066" s="135"/>
      <c r="D4066" s="177"/>
      <c r="E4066" s="178"/>
      <c r="F4066" s="178"/>
      <c r="G4066" s="340"/>
      <c r="H4066" s="340"/>
      <c r="I4066" s="179"/>
      <c r="J4066" s="344"/>
      <c r="K4066" s="345"/>
      <c r="L4066" s="346"/>
      <c r="M4066" s="347"/>
      <c r="N4066" s="347"/>
      <c r="O4066" s="132"/>
    </row>
    <row r="4067" spans="2:15" ht="26.25" customHeight="1" x14ac:dyDescent="0.25">
      <c r="B4067" s="130"/>
      <c r="C4067" s="135"/>
      <c r="D4067" s="177"/>
      <c r="E4067" s="178"/>
      <c r="F4067" s="178"/>
      <c r="G4067" s="340"/>
      <c r="H4067" s="340"/>
      <c r="I4067" s="179"/>
      <c r="J4067" s="344"/>
      <c r="K4067" s="345"/>
      <c r="L4067" s="346"/>
      <c r="M4067" s="347"/>
      <c r="N4067" s="347"/>
      <c r="O4067" s="132"/>
    </row>
    <row r="4068" spans="2:15" ht="26.25" customHeight="1" x14ac:dyDescent="0.25">
      <c r="B4068" s="130"/>
      <c r="C4068" s="135"/>
      <c r="D4068" s="177"/>
      <c r="E4068" s="178"/>
      <c r="F4068" s="178"/>
      <c r="G4068" s="340"/>
      <c r="H4068" s="340"/>
      <c r="I4068" s="179"/>
      <c r="J4068" s="344"/>
      <c r="K4068" s="345"/>
      <c r="L4068" s="346"/>
      <c r="M4068" s="347"/>
      <c r="N4068" s="347"/>
      <c r="O4068" s="132"/>
    </row>
    <row r="4069" spans="2:15" ht="26.25" customHeight="1" x14ac:dyDescent="0.25">
      <c r="B4069" s="130"/>
      <c r="C4069" s="135"/>
      <c r="D4069" s="177"/>
      <c r="E4069" s="178"/>
      <c r="F4069" s="178"/>
      <c r="G4069" s="340"/>
      <c r="H4069" s="340"/>
      <c r="I4069" s="179"/>
      <c r="J4069" s="344"/>
      <c r="K4069" s="345"/>
      <c r="L4069" s="346"/>
      <c r="M4069" s="347"/>
      <c r="N4069" s="347"/>
      <c r="O4069" s="132"/>
    </row>
    <row r="4070" spans="2:15" ht="26.25" customHeight="1" x14ac:dyDescent="0.25">
      <c r="B4070" s="130"/>
      <c r="C4070" s="135"/>
      <c r="D4070" s="177"/>
      <c r="E4070" s="178"/>
      <c r="F4070" s="178"/>
      <c r="G4070" s="340"/>
      <c r="H4070" s="340"/>
      <c r="I4070" s="179"/>
      <c r="J4070" s="344"/>
      <c r="K4070" s="345"/>
      <c r="L4070" s="346"/>
      <c r="M4070" s="347"/>
      <c r="N4070" s="347"/>
      <c r="O4070" s="132"/>
    </row>
    <row r="4071" spans="2:15" ht="26.25" customHeight="1" x14ac:dyDescent="0.25">
      <c r="B4071" s="130"/>
      <c r="C4071" s="135"/>
      <c r="D4071" s="177"/>
      <c r="E4071" s="178"/>
      <c r="F4071" s="178"/>
      <c r="G4071" s="340"/>
      <c r="H4071" s="340"/>
      <c r="I4071" s="179"/>
      <c r="J4071" s="344"/>
      <c r="K4071" s="345"/>
      <c r="L4071" s="346"/>
      <c r="M4071" s="347"/>
      <c r="N4071" s="347"/>
      <c r="O4071" s="132"/>
    </row>
    <row r="4072" spans="2:15" ht="26.25" customHeight="1" x14ac:dyDescent="0.25">
      <c r="B4072" s="130"/>
      <c r="C4072" s="135"/>
      <c r="D4072" s="177"/>
      <c r="E4072" s="178"/>
      <c r="F4072" s="178"/>
      <c r="G4072" s="340"/>
      <c r="H4072" s="340"/>
      <c r="I4072" s="179"/>
      <c r="J4072" s="344"/>
      <c r="K4072" s="345"/>
      <c r="L4072" s="346"/>
      <c r="M4072" s="347"/>
      <c r="N4072" s="347"/>
      <c r="O4072" s="132"/>
    </row>
    <row r="4073" spans="2:15" ht="26.25" customHeight="1" x14ac:dyDescent="0.25">
      <c r="B4073" s="130"/>
      <c r="C4073" s="135"/>
      <c r="D4073" s="177"/>
      <c r="E4073" s="178"/>
      <c r="F4073" s="178"/>
      <c r="G4073" s="340"/>
      <c r="H4073" s="340"/>
      <c r="I4073" s="179"/>
      <c r="J4073" s="344"/>
      <c r="K4073" s="345"/>
      <c r="L4073" s="346"/>
      <c r="M4073" s="347"/>
      <c r="N4073" s="347"/>
      <c r="O4073" s="132"/>
    </row>
    <row r="4074" spans="2:15" ht="26.25" customHeight="1" x14ac:dyDescent="0.25">
      <c r="B4074" s="130"/>
      <c r="C4074" s="135"/>
      <c r="D4074" s="177"/>
      <c r="E4074" s="178"/>
      <c r="F4074" s="178"/>
      <c r="G4074" s="340"/>
      <c r="H4074" s="340"/>
      <c r="I4074" s="179"/>
      <c r="J4074" s="344"/>
      <c r="K4074" s="345"/>
      <c r="L4074" s="346"/>
      <c r="M4074" s="347"/>
      <c r="N4074" s="347"/>
      <c r="O4074" s="132"/>
    </row>
    <row r="4075" spans="2:15" ht="26.25" customHeight="1" x14ac:dyDescent="0.25">
      <c r="B4075" s="130"/>
      <c r="C4075" s="135"/>
      <c r="D4075" s="177"/>
      <c r="E4075" s="178"/>
      <c r="F4075" s="178"/>
      <c r="G4075" s="340"/>
      <c r="H4075" s="340"/>
      <c r="I4075" s="179"/>
      <c r="J4075" s="344"/>
      <c r="K4075" s="345"/>
      <c r="L4075" s="346"/>
      <c r="M4075" s="347"/>
      <c r="N4075" s="347"/>
      <c r="O4075" s="132"/>
    </row>
    <row r="4076" spans="2:15" ht="26.25" customHeight="1" x14ac:dyDescent="0.25">
      <c r="B4076" s="130"/>
      <c r="C4076" s="135"/>
      <c r="D4076" s="177"/>
      <c r="E4076" s="178"/>
      <c r="F4076" s="178"/>
      <c r="G4076" s="340"/>
      <c r="H4076" s="340"/>
      <c r="I4076" s="179"/>
      <c r="J4076" s="344"/>
      <c r="K4076" s="345"/>
      <c r="L4076" s="346"/>
      <c r="M4076" s="347"/>
      <c r="N4076" s="347"/>
      <c r="O4076" s="132"/>
    </row>
    <row r="4077" spans="2:15" ht="26.25" customHeight="1" x14ac:dyDescent="0.25">
      <c r="B4077" s="130"/>
      <c r="C4077" s="135"/>
      <c r="D4077" s="177"/>
      <c r="E4077" s="178"/>
      <c r="F4077" s="178"/>
      <c r="G4077" s="340"/>
      <c r="H4077" s="340"/>
      <c r="I4077" s="179"/>
      <c r="J4077" s="344"/>
      <c r="K4077" s="345"/>
      <c r="L4077" s="346"/>
      <c r="M4077" s="347"/>
      <c r="N4077" s="347"/>
      <c r="O4077" s="132"/>
    </row>
    <row r="4078" spans="2:15" ht="26.25" customHeight="1" x14ac:dyDescent="0.25">
      <c r="B4078" s="130"/>
      <c r="C4078" s="135"/>
      <c r="D4078" s="177"/>
      <c r="E4078" s="178"/>
      <c r="F4078" s="178"/>
      <c r="G4078" s="340"/>
      <c r="H4078" s="340"/>
      <c r="I4078" s="179"/>
      <c r="J4078" s="344"/>
      <c r="K4078" s="345"/>
      <c r="L4078" s="346"/>
      <c r="M4078" s="347"/>
      <c r="N4078" s="347"/>
      <c r="O4078" s="132"/>
    </row>
    <row r="4079" spans="2:15" ht="26.25" customHeight="1" x14ac:dyDescent="0.25">
      <c r="B4079" s="130"/>
      <c r="C4079" s="135"/>
      <c r="D4079" s="177"/>
      <c r="E4079" s="178"/>
      <c r="F4079" s="178"/>
      <c r="G4079" s="340"/>
      <c r="H4079" s="340"/>
      <c r="I4079" s="179"/>
      <c r="J4079" s="344"/>
      <c r="K4079" s="345"/>
      <c r="L4079" s="346"/>
      <c r="M4079" s="347"/>
      <c r="N4079" s="347"/>
      <c r="O4079" s="132"/>
    </row>
    <row r="4080" spans="2:15" ht="26.25" customHeight="1" x14ac:dyDescent="0.25">
      <c r="B4080" s="130"/>
      <c r="C4080" s="135"/>
      <c r="D4080" s="177"/>
      <c r="E4080" s="178"/>
      <c r="F4080" s="178"/>
      <c r="G4080" s="340"/>
      <c r="H4080" s="340"/>
      <c r="I4080" s="179"/>
      <c r="J4080" s="344"/>
      <c r="K4080" s="345"/>
      <c r="L4080" s="346"/>
      <c r="M4080" s="347"/>
      <c r="N4080" s="347"/>
      <c r="O4080" s="132"/>
    </row>
    <row r="4081" spans="2:15" ht="26.25" customHeight="1" x14ac:dyDescent="0.25">
      <c r="B4081" s="130"/>
      <c r="C4081" s="135"/>
      <c r="D4081" s="177"/>
      <c r="E4081" s="178"/>
      <c r="F4081" s="178"/>
      <c r="G4081" s="340"/>
      <c r="H4081" s="340"/>
      <c r="I4081" s="179"/>
      <c r="J4081" s="344"/>
      <c r="K4081" s="345"/>
      <c r="L4081" s="346"/>
      <c r="M4081" s="347"/>
      <c r="N4081" s="347"/>
      <c r="O4081" s="132"/>
    </row>
    <row r="4082" spans="2:15" ht="26.25" customHeight="1" x14ac:dyDescent="0.25">
      <c r="B4082" s="130"/>
      <c r="C4082" s="135"/>
      <c r="D4082" s="177"/>
      <c r="E4082" s="178"/>
      <c r="F4082" s="178"/>
      <c r="G4082" s="340"/>
      <c r="H4082" s="340"/>
      <c r="I4082" s="179"/>
      <c r="J4082" s="344"/>
      <c r="K4082" s="345"/>
      <c r="L4082" s="346"/>
      <c r="M4082" s="347"/>
      <c r="N4082" s="347"/>
      <c r="O4082" s="132"/>
    </row>
    <row r="4083" spans="2:15" ht="26.25" customHeight="1" x14ac:dyDescent="0.25">
      <c r="B4083" s="130"/>
      <c r="C4083" s="135"/>
      <c r="D4083" s="177"/>
      <c r="E4083" s="178"/>
      <c r="F4083" s="178"/>
      <c r="G4083" s="340"/>
      <c r="H4083" s="340"/>
      <c r="I4083" s="179"/>
      <c r="J4083" s="344"/>
      <c r="K4083" s="345"/>
      <c r="L4083" s="346"/>
      <c r="M4083" s="347"/>
      <c r="N4083" s="347"/>
      <c r="O4083" s="132"/>
    </row>
    <row r="4084" spans="2:15" ht="26.25" customHeight="1" x14ac:dyDescent="0.25">
      <c r="B4084" s="130"/>
      <c r="C4084" s="135"/>
      <c r="D4084" s="177"/>
      <c r="E4084" s="178"/>
      <c r="F4084" s="178"/>
      <c r="G4084" s="340"/>
      <c r="H4084" s="340"/>
      <c r="I4084" s="179"/>
      <c r="J4084" s="344"/>
      <c r="K4084" s="345"/>
      <c r="L4084" s="346"/>
      <c r="M4084" s="347"/>
      <c r="N4084" s="347"/>
      <c r="O4084" s="132"/>
    </row>
    <row r="4085" spans="2:15" ht="26.25" customHeight="1" x14ac:dyDescent="0.25">
      <c r="B4085" s="130"/>
      <c r="C4085" s="135"/>
      <c r="D4085" s="177"/>
      <c r="E4085" s="178"/>
      <c r="F4085" s="178"/>
      <c r="G4085" s="340"/>
      <c r="H4085" s="340"/>
      <c r="I4085" s="179"/>
      <c r="J4085" s="344"/>
      <c r="K4085" s="345"/>
      <c r="L4085" s="346"/>
      <c r="M4085" s="347"/>
      <c r="N4085" s="347"/>
      <c r="O4085" s="132"/>
    </row>
    <row r="4086" spans="2:15" ht="26.25" customHeight="1" x14ac:dyDescent="0.25">
      <c r="B4086" s="130"/>
      <c r="C4086" s="135"/>
      <c r="D4086" s="177"/>
      <c r="E4086" s="178"/>
      <c r="F4086" s="178"/>
      <c r="G4086" s="340"/>
      <c r="H4086" s="340"/>
      <c r="I4086" s="179"/>
      <c r="J4086" s="344"/>
      <c r="K4086" s="345"/>
      <c r="L4086" s="346"/>
      <c r="M4086" s="347"/>
      <c r="N4086" s="347"/>
      <c r="O4086" s="132"/>
    </row>
    <row r="4087" spans="2:15" ht="26.25" customHeight="1" x14ac:dyDescent="0.25">
      <c r="B4087" s="130"/>
      <c r="C4087" s="135"/>
      <c r="D4087" s="177"/>
      <c r="E4087" s="178"/>
      <c r="F4087" s="178"/>
      <c r="G4087" s="340"/>
      <c r="H4087" s="340"/>
      <c r="I4087" s="179"/>
      <c r="J4087" s="344"/>
      <c r="K4087" s="345"/>
      <c r="L4087" s="346"/>
      <c r="M4087" s="347"/>
      <c r="N4087" s="347"/>
      <c r="O4087" s="132"/>
    </row>
    <row r="4088" spans="2:15" ht="26.25" customHeight="1" x14ac:dyDescent="0.25">
      <c r="B4088" s="130"/>
      <c r="C4088" s="135"/>
      <c r="D4088" s="177"/>
      <c r="E4088" s="178"/>
      <c r="F4088" s="178"/>
      <c r="G4088" s="340"/>
      <c r="H4088" s="340"/>
      <c r="I4088" s="179"/>
      <c r="J4088" s="344"/>
      <c r="K4088" s="345"/>
      <c r="L4088" s="346"/>
      <c r="M4088" s="347"/>
      <c r="N4088" s="347"/>
      <c r="O4088" s="132"/>
    </row>
    <row r="4089" spans="2:15" ht="26.25" customHeight="1" x14ac:dyDescent="0.25">
      <c r="B4089" s="130"/>
      <c r="C4089" s="135"/>
      <c r="D4089" s="177"/>
      <c r="E4089" s="178"/>
      <c r="F4089" s="178"/>
      <c r="G4089" s="340"/>
      <c r="H4089" s="340"/>
      <c r="I4089" s="179"/>
      <c r="J4089" s="344"/>
      <c r="K4089" s="345"/>
      <c r="L4089" s="346"/>
      <c r="M4089" s="347"/>
      <c r="N4089" s="347"/>
      <c r="O4089" s="132"/>
    </row>
    <row r="4090" spans="2:15" ht="26.25" customHeight="1" x14ac:dyDescent="0.25">
      <c r="B4090" s="130"/>
      <c r="C4090" s="135"/>
      <c r="D4090" s="177"/>
      <c r="E4090" s="178"/>
      <c r="F4090" s="178"/>
      <c r="G4090" s="340"/>
      <c r="H4090" s="340"/>
      <c r="I4090" s="179"/>
      <c r="J4090" s="344"/>
      <c r="K4090" s="345"/>
      <c r="L4090" s="346"/>
      <c r="M4090" s="347"/>
      <c r="N4090" s="347"/>
      <c r="O4090" s="132"/>
    </row>
    <row r="4091" spans="2:15" ht="26.25" customHeight="1" x14ac:dyDescent="0.25">
      <c r="B4091" s="130"/>
      <c r="C4091" s="135"/>
      <c r="D4091" s="177"/>
      <c r="E4091" s="178"/>
      <c r="F4091" s="178"/>
      <c r="G4091" s="340"/>
      <c r="H4091" s="340"/>
      <c r="I4091" s="179"/>
      <c r="J4091" s="344"/>
      <c r="K4091" s="345"/>
      <c r="L4091" s="346"/>
      <c r="M4091" s="347"/>
      <c r="N4091" s="347"/>
      <c r="O4091" s="132"/>
    </row>
    <row r="4092" spans="2:15" ht="26.25" customHeight="1" x14ac:dyDescent="0.25">
      <c r="B4092" s="130"/>
      <c r="C4092" s="135"/>
      <c r="D4092" s="177"/>
      <c r="E4092" s="178"/>
      <c r="F4092" s="178"/>
      <c r="G4092" s="340"/>
      <c r="H4092" s="340"/>
      <c r="I4092" s="179"/>
      <c r="J4092" s="344"/>
      <c r="K4092" s="345"/>
      <c r="L4092" s="346"/>
      <c r="M4092" s="347"/>
      <c r="N4092" s="347"/>
      <c r="O4092" s="132"/>
    </row>
    <row r="4093" spans="2:15" ht="26.25" customHeight="1" x14ac:dyDescent="0.25">
      <c r="B4093" s="130"/>
      <c r="C4093" s="135"/>
      <c r="D4093" s="177"/>
      <c r="E4093" s="178"/>
      <c r="F4093" s="178"/>
      <c r="G4093" s="340"/>
      <c r="H4093" s="340"/>
      <c r="I4093" s="179"/>
      <c r="J4093" s="344"/>
      <c r="K4093" s="345"/>
      <c r="L4093" s="346"/>
      <c r="M4093" s="347"/>
      <c r="N4093" s="347"/>
      <c r="O4093" s="132"/>
    </row>
    <row r="4094" spans="2:15" ht="26.25" customHeight="1" x14ac:dyDescent="0.25">
      <c r="B4094" s="130"/>
      <c r="C4094" s="135"/>
      <c r="D4094" s="177"/>
      <c r="E4094" s="178"/>
      <c r="F4094" s="178"/>
      <c r="G4094" s="340"/>
      <c r="H4094" s="340"/>
      <c r="I4094" s="179"/>
      <c r="J4094" s="344"/>
      <c r="K4094" s="345"/>
      <c r="L4094" s="346"/>
      <c r="M4094" s="347"/>
      <c r="N4094" s="347"/>
      <c r="O4094" s="132"/>
    </row>
    <row r="4095" spans="2:15" ht="26.25" customHeight="1" x14ac:dyDescent="0.25">
      <c r="B4095" s="130"/>
      <c r="C4095" s="135"/>
      <c r="D4095" s="177"/>
      <c r="E4095" s="178"/>
      <c r="F4095" s="178"/>
      <c r="G4095" s="340"/>
      <c r="H4095" s="340"/>
      <c r="I4095" s="179"/>
      <c r="J4095" s="344"/>
      <c r="K4095" s="345"/>
      <c r="L4095" s="346"/>
      <c r="M4095" s="347"/>
      <c r="N4095" s="347"/>
      <c r="O4095" s="132"/>
    </row>
    <row r="4096" spans="2:15" ht="26.25" customHeight="1" x14ac:dyDescent="0.25">
      <c r="B4096" s="130"/>
      <c r="C4096" s="135"/>
      <c r="D4096" s="177"/>
      <c r="E4096" s="178"/>
      <c r="F4096" s="178"/>
      <c r="G4096" s="340"/>
      <c r="H4096" s="340"/>
      <c r="I4096" s="179"/>
      <c r="J4096" s="344"/>
      <c r="K4096" s="345"/>
      <c r="L4096" s="346"/>
      <c r="M4096" s="347"/>
      <c r="N4096" s="347"/>
      <c r="O4096" s="132"/>
    </row>
    <row r="4097" spans="2:15" ht="26.25" customHeight="1" x14ac:dyDescent="0.25">
      <c r="B4097" s="130"/>
      <c r="C4097" s="135"/>
      <c r="D4097" s="177"/>
      <c r="E4097" s="178"/>
      <c r="F4097" s="178"/>
      <c r="G4097" s="340"/>
      <c r="H4097" s="340"/>
      <c r="I4097" s="179"/>
      <c r="J4097" s="344"/>
      <c r="K4097" s="345"/>
      <c r="L4097" s="346"/>
      <c r="M4097" s="347"/>
      <c r="N4097" s="347"/>
      <c r="O4097" s="132"/>
    </row>
    <row r="4098" spans="2:15" ht="26.25" customHeight="1" x14ac:dyDescent="0.25">
      <c r="B4098" s="130"/>
      <c r="C4098" s="135"/>
      <c r="D4098" s="177"/>
      <c r="E4098" s="178"/>
      <c r="F4098" s="178"/>
      <c r="G4098" s="340"/>
      <c r="H4098" s="340"/>
      <c r="I4098" s="179"/>
      <c r="J4098" s="344"/>
      <c r="K4098" s="345"/>
      <c r="L4098" s="346"/>
      <c r="M4098" s="347"/>
      <c r="N4098" s="347"/>
      <c r="O4098" s="132"/>
    </row>
    <row r="4099" spans="2:15" ht="26.25" customHeight="1" x14ac:dyDescent="0.25">
      <c r="B4099" s="130"/>
      <c r="C4099" s="135"/>
      <c r="D4099" s="177"/>
      <c r="E4099" s="178"/>
      <c r="F4099" s="178"/>
      <c r="G4099" s="340"/>
      <c r="H4099" s="340"/>
      <c r="I4099" s="179"/>
      <c r="J4099" s="344"/>
      <c r="K4099" s="345"/>
      <c r="L4099" s="346"/>
      <c r="M4099" s="347"/>
      <c r="N4099" s="347"/>
      <c r="O4099" s="132"/>
    </row>
    <row r="4100" spans="2:15" ht="26.25" customHeight="1" x14ac:dyDescent="0.25">
      <c r="B4100" s="130"/>
      <c r="C4100" s="135"/>
      <c r="D4100" s="177"/>
      <c r="E4100" s="178"/>
      <c r="F4100" s="178"/>
      <c r="G4100" s="340"/>
      <c r="H4100" s="340"/>
      <c r="I4100" s="179"/>
      <c r="J4100" s="344"/>
      <c r="K4100" s="345"/>
      <c r="L4100" s="346"/>
      <c r="M4100" s="347"/>
      <c r="N4100" s="347"/>
      <c r="O4100" s="132"/>
    </row>
    <row r="4101" spans="2:15" ht="26.25" customHeight="1" x14ac:dyDescent="0.25">
      <c r="B4101" s="130"/>
      <c r="C4101" s="135"/>
      <c r="D4101" s="177"/>
      <c r="E4101" s="178"/>
      <c r="F4101" s="178"/>
      <c r="G4101" s="340"/>
      <c r="H4101" s="340"/>
      <c r="I4101" s="179"/>
      <c r="J4101" s="344"/>
      <c r="K4101" s="345"/>
      <c r="L4101" s="346"/>
      <c r="M4101" s="347"/>
      <c r="N4101" s="347"/>
      <c r="O4101" s="132"/>
    </row>
    <row r="4102" spans="2:15" ht="26.25" customHeight="1" x14ac:dyDescent="0.25">
      <c r="B4102" s="130"/>
      <c r="C4102" s="135"/>
      <c r="D4102" s="177"/>
      <c r="E4102" s="178"/>
      <c r="F4102" s="178"/>
      <c r="G4102" s="340"/>
      <c r="H4102" s="340"/>
      <c r="I4102" s="179"/>
      <c r="J4102" s="344"/>
      <c r="K4102" s="345"/>
      <c r="L4102" s="346"/>
      <c r="M4102" s="347"/>
      <c r="N4102" s="347"/>
      <c r="O4102" s="132"/>
    </row>
    <row r="4103" spans="2:15" ht="26.25" customHeight="1" x14ac:dyDescent="0.25">
      <c r="B4103" s="130"/>
      <c r="C4103" s="135"/>
      <c r="D4103" s="177"/>
      <c r="E4103" s="178"/>
      <c r="F4103" s="178"/>
      <c r="G4103" s="340"/>
      <c r="H4103" s="340"/>
      <c r="I4103" s="179"/>
      <c r="J4103" s="344"/>
      <c r="K4103" s="345"/>
      <c r="L4103" s="346"/>
      <c r="M4103" s="347"/>
      <c r="N4103" s="347"/>
      <c r="O4103" s="132"/>
    </row>
    <row r="4104" spans="2:15" ht="26.25" customHeight="1" x14ac:dyDescent="0.25">
      <c r="B4104" s="130"/>
      <c r="C4104" s="135"/>
      <c r="D4104" s="177"/>
      <c r="E4104" s="178"/>
      <c r="F4104" s="178"/>
      <c r="G4104" s="340"/>
      <c r="H4104" s="340"/>
      <c r="I4104" s="179"/>
      <c r="J4104" s="344"/>
      <c r="K4104" s="345"/>
      <c r="L4104" s="346"/>
      <c r="M4104" s="347"/>
      <c r="N4104" s="347"/>
      <c r="O4104" s="132"/>
    </row>
    <row r="4105" spans="2:15" ht="26.25" customHeight="1" x14ac:dyDescent="0.25">
      <c r="B4105" s="130"/>
      <c r="C4105" s="135"/>
      <c r="D4105" s="177"/>
      <c r="E4105" s="178"/>
      <c r="F4105" s="178"/>
      <c r="G4105" s="340"/>
      <c r="H4105" s="340"/>
      <c r="I4105" s="179"/>
      <c r="J4105" s="344"/>
      <c r="K4105" s="345"/>
      <c r="L4105" s="346"/>
      <c r="M4105" s="347"/>
      <c r="N4105" s="347"/>
      <c r="O4105" s="132"/>
    </row>
    <row r="4106" spans="2:15" ht="26.25" customHeight="1" x14ac:dyDescent="0.25">
      <c r="B4106" s="130"/>
      <c r="C4106" s="135"/>
      <c r="D4106" s="177"/>
      <c r="E4106" s="178"/>
      <c r="F4106" s="178"/>
      <c r="G4106" s="340"/>
      <c r="H4106" s="340"/>
      <c r="I4106" s="179"/>
      <c r="J4106" s="344"/>
      <c r="K4106" s="345"/>
      <c r="L4106" s="346"/>
      <c r="M4106" s="347"/>
      <c r="N4106" s="347"/>
      <c r="O4106" s="132"/>
    </row>
    <row r="4107" spans="2:15" ht="26.25" customHeight="1" x14ac:dyDescent="0.25">
      <c r="B4107" s="130"/>
      <c r="C4107" s="135"/>
      <c r="D4107" s="177"/>
      <c r="E4107" s="178"/>
      <c r="F4107" s="178"/>
      <c r="G4107" s="340"/>
      <c r="H4107" s="340"/>
      <c r="I4107" s="179"/>
      <c r="J4107" s="344"/>
      <c r="K4107" s="345"/>
      <c r="L4107" s="346"/>
      <c r="M4107" s="347"/>
      <c r="N4107" s="347"/>
      <c r="O4107" s="132"/>
    </row>
    <row r="4108" spans="2:15" ht="26.25" customHeight="1" x14ac:dyDescent="0.25">
      <c r="B4108" s="130"/>
      <c r="C4108" s="135"/>
      <c r="D4108" s="177"/>
      <c r="E4108" s="178"/>
      <c r="F4108" s="178"/>
      <c r="G4108" s="340"/>
      <c r="H4108" s="340"/>
      <c r="I4108" s="179"/>
      <c r="J4108" s="344"/>
      <c r="K4108" s="345"/>
      <c r="L4108" s="346"/>
      <c r="M4108" s="347"/>
      <c r="N4108" s="347"/>
      <c r="O4108" s="132"/>
    </row>
    <row r="4109" spans="2:15" ht="26.25" customHeight="1" x14ac:dyDescent="0.25">
      <c r="B4109" s="130"/>
      <c r="C4109" s="135"/>
      <c r="D4109" s="177"/>
      <c r="E4109" s="178"/>
      <c r="F4109" s="178"/>
      <c r="G4109" s="340"/>
      <c r="H4109" s="340"/>
      <c r="I4109" s="179"/>
      <c r="J4109" s="344"/>
      <c r="K4109" s="345"/>
      <c r="L4109" s="346"/>
      <c r="M4109" s="347"/>
      <c r="N4109" s="347"/>
      <c r="O4109" s="132"/>
    </row>
    <row r="4110" spans="2:15" ht="26.25" customHeight="1" x14ac:dyDescent="0.25">
      <c r="B4110" s="130"/>
      <c r="C4110" s="135"/>
      <c r="D4110" s="177"/>
      <c r="E4110" s="178"/>
      <c r="F4110" s="178"/>
      <c r="G4110" s="340"/>
      <c r="H4110" s="340"/>
      <c r="I4110" s="179"/>
      <c r="J4110" s="344"/>
      <c r="K4110" s="345"/>
      <c r="L4110" s="346"/>
      <c r="M4110" s="347"/>
      <c r="N4110" s="347"/>
      <c r="O4110" s="132"/>
    </row>
    <row r="4111" spans="2:15" ht="26.25" customHeight="1" x14ac:dyDescent="0.25">
      <c r="B4111" s="130"/>
      <c r="C4111" s="135"/>
      <c r="D4111" s="177"/>
      <c r="E4111" s="178"/>
      <c r="F4111" s="178"/>
      <c r="G4111" s="340"/>
      <c r="H4111" s="340"/>
      <c r="I4111" s="179"/>
      <c r="J4111" s="344"/>
      <c r="K4111" s="345"/>
      <c r="L4111" s="346"/>
      <c r="M4111" s="347"/>
      <c r="N4111" s="347"/>
      <c r="O4111" s="132"/>
    </row>
    <row r="4112" spans="2:15" ht="26.25" customHeight="1" x14ac:dyDescent="0.25">
      <c r="B4112" s="130"/>
      <c r="C4112" s="135"/>
      <c r="D4112" s="177"/>
      <c r="E4112" s="178"/>
      <c r="F4112" s="178"/>
      <c r="G4112" s="340"/>
      <c r="H4112" s="340"/>
      <c r="I4112" s="179"/>
      <c r="J4112" s="344"/>
      <c r="K4112" s="345"/>
      <c r="L4112" s="346"/>
      <c r="M4112" s="347"/>
      <c r="N4112" s="347"/>
      <c r="O4112" s="132"/>
    </row>
    <row r="4113" spans="2:15" ht="26.25" customHeight="1" x14ac:dyDescent="0.25">
      <c r="B4113" s="130"/>
      <c r="C4113" s="135"/>
      <c r="D4113" s="177"/>
      <c r="E4113" s="178"/>
      <c r="F4113" s="178"/>
      <c r="G4113" s="340"/>
      <c r="H4113" s="340"/>
      <c r="I4113" s="179"/>
      <c r="J4113" s="344"/>
      <c r="K4113" s="345"/>
      <c r="L4113" s="346"/>
      <c r="M4113" s="347"/>
      <c r="N4113" s="347"/>
      <c r="O4113" s="132"/>
    </row>
    <row r="4114" spans="2:15" ht="26.25" customHeight="1" x14ac:dyDescent="0.25">
      <c r="B4114" s="130"/>
      <c r="C4114" s="135"/>
      <c r="D4114" s="177"/>
      <c r="E4114" s="178"/>
      <c r="F4114" s="178"/>
      <c r="G4114" s="340"/>
      <c r="H4114" s="340"/>
      <c r="I4114" s="179"/>
      <c r="J4114" s="344"/>
      <c r="K4114" s="345"/>
      <c r="L4114" s="346"/>
      <c r="M4114" s="347"/>
      <c r="N4114" s="347"/>
      <c r="O4114" s="132"/>
    </row>
    <row r="4115" spans="2:15" ht="26.25" customHeight="1" x14ac:dyDescent="0.25">
      <c r="B4115" s="130"/>
      <c r="C4115" s="135"/>
      <c r="D4115" s="177"/>
      <c r="E4115" s="178"/>
      <c r="F4115" s="178"/>
      <c r="G4115" s="340"/>
      <c r="H4115" s="340"/>
      <c r="I4115" s="179"/>
      <c r="J4115" s="344"/>
      <c r="K4115" s="345"/>
      <c r="L4115" s="346"/>
      <c r="M4115" s="347"/>
      <c r="N4115" s="347"/>
      <c r="O4115" s="132"/>
    </row>
    <row r="4116" spans="2:15" ht="26.25" customHeight="1" x14ac:dyDescent="0.25">
      <c r="B4116" s="130"/>
      <c r="C4116" s="135"/>
      <c r="D4116" s="177"/>
      <c r="E4116" s="178"/>
      <c r="F4116" s="178"/>
      <c r="G4116" s="340"/>
      <c r="H4116" s="340"/>
      <c r="I4116" s="179"/>
      <c r="J4116" s="344"/>
      <c r="K4116" s="345"/>
      <c r="L4116" s="346"/>
      <c r="M4116" s="347"/>
      <c r="N4116" s="347"/>
      <c r="O4116" s="132"/>
    </row>
    <row r="4117" spans="2:15" ht="26.25" customHeight="1" x14ac:dyDescent="0.25">
      <c r="B4117" s="130"/>
      <c r="C4117" s="135"/>
      <c r="D4117" s="177"/>
      <c r="E4117" s="178"/>
      <c r="F4117" s="178"/>
      <c r="G4117" s="340"/>
      <c r="H4117" s="340"/>
      <c r="I4117" s="179"/>
      <c r="J4117" s="344"/>
      <c r="K4117" s="345"/>
      <c r="L4117" s="346"/>
      <c r="M4117" s="347"/>
      <c r="N4117" s="347"/>
      <c r="O4117" s="132"/>
    </row>
    <row r="4118" spans="2:15" ht="26.25" customHeight="1" x14ac:dyDescent="0.25">
      <c r="B4118" s="130"/>
      <c r="C4118" s="135"/>
      <c r="D4118" s="177"/>
      <c r="E4118" s="178"/>
      <c r="F4118" s="178"/>
      <c r="G4118" s="340"/>
      <c r="H4118" s="340"/>
      <c r="I4118" s="179"/>
      <c r="J4118" s="344"/>
      <c r="K4118" s="345"/>
      <c r="L4118" s="346"/>
      <c r="M4118" s="347"/>
      <c r="N4118" s="347"/>
      <c r="O4118" s="132"/>
    </row>
    <row r="4119" spans="2:15" ht="26.25" customHeight="1" x14ac:dyDescent="0.25">
      <c r="B4119" s="130"/>
      <c r="C4119" s="135"/>
      <c r="D4119" s="177"/>
      <c r="E4119" s="178"/>
      <c r="F4119" s="178"/>
      <c r="G4119" s="340"/>
      <c r="H4119" s="340"/>
      <c r="I4119" s="179"/>
      <c r="J4119" s="344"/>
      <c r="K4119" s="345"/>
      <c r="L4119" s="346"/>
      <c r="M4119" s="347"/>
      <c r="N4119" s="347"/>
      <c r="O4119" s="132"/>
    </row>
    <row r="4120" spans="2:15" ht="26.25" customHeight="1" x14ac:dyDescent="0.25">
      <c r="B4120" s="130"/>
      <c r="C4120" s="135"/>
      <c r="D4120" s="177"/>
      <c r="E4120" s="178"/>
      <c r="F4120" s="178"/>
      <c r="G4120" s="340"/>
      <c r="H4120" s="340"/>
      <c r="I4120" s="179"/>
      <c r="J4120" s="344"/>
      <c r="K4120" s="345"/>
      <c r="L4120" s="346"/>
      <c r="M4120" s="347"/>
      <c r="N4120" s="347"/>
      <c r="O4120" s="132"/>
    </row>
    <row r="4121" spans="2:15" ht="26.25" customHeight="1" x14ac:dyDescent="0.25">
      <c r="B4121" s="130"/>
      <c r="C4121" s="135"/>
      <c r="D4121" s="177"/>
      <c r="E4121" s="178"/>
      <c r="F4121" s="178"/>
      <c r="G4121" s="340"/>
      <c r="H4121" s="340"/>
      <c r="I4121" s="179"/>
      <c r="J4121" s="344"/>
      <c r="K4121" s="345"/>
      <c r="L4121" s="346"/>
      <c r="M4121" s="347"/>
      <c r="N4121" s="347"/>
      <c r="O4121" s="132"/>
    </row>
    <row r="4122" spans="2:15" ht="26.25" customHeight="1" x14ac:dyDescent="0.25">
      <c r="B4122" s="130"/>
      <c r="C4122" s="135"/>
      <c r="D4122" s="177"/>
      <c r="E4122" s="178"/>
      <c r="F4122" s="178"/>
      <c r="G4122" s="340"/>
      <c r="H4122" s="340"/>
      <c r="I4122" s="179"/>
      <c r="J4122" s="344"/>
      <c r="K4122" s="345"/>
      <c r="L4122" s="346"/>
      <c r="M4122" s="347"/>
      <c r="N4122" s="347"/>
      <c r="O4122" s="132"/>
    </row>
    <row r="4123" spans="2:15" ht="26.25" customHeight="1" x14ac:dyDescent="0.25">
      <c r="B4123" s="130"/>
      <c r="C4123" s="135"/>
      <c r="D4123" s="177"/>
      <c r="E4123" s="178"/>
      <c r="F4123" s="178"/>
      <c r="G4123" s="340"/>
      <c r="H4123" s="340"/>
      <c r="I4123" s="179"/>
      <c r="J4123" s="344"/>
      <c r="K4123" s="345"/>
      <c r="L4123" s="346"/>
      <c r="M4123" s="347"/>
      <c r="N4123" s="347"/>
      <c r="O4123" s="132"/>
    </row>
    <row r="4124" spans="2:15" ht="26.25" customHeight="1" x14ac:dyDescent="0.25">
      <c r="B4124" s="130"/>
      <c r="C4124" s="135"/>
      <c r="D4124" s="177"/>
      <c r="E4124" s="178"/>
      <c r="F4124" s="178"/>
      <c r="G4124" s="340"/>
      <c r="H4124" s="340"/>
      <c r="I4124" s="179"/>
      <c r="J4124" s="344"/>
      <c r="K4124" s="345"/>
      <c r="L4124" s="346"/>
      <c r="M4124" s="347"/>
      <c r="N4124" s="347"/>
      <c r="O4124" s="132"/>
    </row>
    <row r="4125" spans="2:15" ht="26.25" customHeight="1" x14ac:dyDescent="0.25">
      <c r="B4125" s="130"/>
      <c r="C4125" s="135"/>
      <c r="D4125" s="177"/>
      <c r="E4125" s="178"/>
      <c r="F4125" s="178"/>
      <c r="G4125" s="340"/>
      <c r="H4125" s="340"/>
      <c r="I4125" s="179"/>
      <c r="J4125" s="344"/>
      <c r="K4125" s="345"/>
      <c r="L4125" s="346"/>
      <c r="M4125" s="347"/>
      <c r="N4125" s="347"/>
      <c r="O4125" s="132"/>
    </row>
    <row r="4126" spans="2:15" ht="26.25" customHeight="1" x14ac:dyDescent="0.25">
      <c r="B4126" s="130"/>
      <c r="C4126" s="135"/>
      <c r="D4126" s="177"/>
      <c r="E4126" s="178"/>
      <c r="F4126" s="178"/>
      <c r="G4126" s="340"/>
      <c r="H4126" s="340"/>
      <c r="I4126" s="179"/>
      <c r="J4126" s="344"/>
      <c r="K4126" s="345"/>
      <c r="L4126" s="346"/>
      <c r="M4126" s="347"/>
      <c r="N4126" s="347"/>
      <c r="O4126" s="132"/>
    </row>
    <row r="4127" spans="2:15" ht="26.25" customHeight="1" x14ac:dyDescent="0.25">
      <c r="B4127" s="130"/>
      <c r="C4127" s="135"/>
      <c r="D4127" s="177"/>
      <c r="E4127" s="178"/>
      <c r="F4127" s="178"/>
      <c r="G4127" s="340"/>
      <c r="H4127" s="340"/>
      <c r="I4127" s="179"/>
      <c r="J4127" s="344"/>
      <c r="K4127" s="345"/>
      <c r="L4127" s="346"/>
      <c r="M4127" s="347"/>
      <c r="N4127" s="347"/>
      <c r="O4127" s="132"/>
    </row>
    <row r="4128" spans="2:15" ht="26.25" customHeight="1" x14ac:dyDescent="0.25">
      <c r="B4128" s="130"/>
      <c r="C4128" s="135"/>
      <c r="D4128" s="177"/>
      <c r="E4128" s="178"/>
      <c r="F4128" s="178"/>
      <c r="G4128" s="340"/>
      <c r="H4128" s="340"/>
      <c r="I4128" s="179"/>
      <c r="J4128" s="344"/>
      <c r="K4128" s="345"/>
      <c r="L4128" s="346"/>
      <c r="M4128" s="347"/>
      <c r="N4128" s="347"/>
      <c r="O4128" s="132"/>
    </row>
    <row r="4129" spans="2:15" ht="26.25" customHeight="1" x14ac:dyDescent="0.25">
      <c r="B4129" s="130"/>
      <c r="C4129" s="135"/>
      <c r="D4129" s="177"/>
      <c r="E4129" s="178"/>
      <c r="F4129" s="178"/>
      <c r="G4129" s="340"/>
      <c r="H4129" s="340"/>
      <c r="I4129" s="179"/>
      <c r="J4129" s="344"/>
      <c r="K4129" s="345"/>
      <c r="L4129" s="346"/>
      <c r="M4129" s="347"/>
      <c r="N4129" s="347"/>
      <c r="O4129" s="132"/>
    </row>
    <row r="4130" spans="2:15" ht="26.25" customHeight="1" x14ac:dyDescent="0.25">
      <c r="B4130" s="130"/>
      <c r="C4130" s="135"/>
      <c r="D4130" s="177"/>
      <c r="E4130" s="178"/>
      <c r="F4130" s="178"/>
      <c r="G4130" s="340"/>
      <c r="H4130" s="340"/>
      <c r="I4130" s="179"/>
      <c r="J4130" s="344"/>
      <c r="K4130" s="345"/>
      <c r="L4130" s="346"/>
      <c r="M4130" s="347"/>
      <c r="N4130" s="347"/>
      <c r="O4130" s="132"/>
    </row>
    <row r="4131" spans="2:15" ht="26.25" customHeight="1" x14ac:dyDescent="0.25">
      <c r="B4131" s="130"/>
      <c r="C4131" s="135"/>
      <c r="D4131" s="177"/>
      <c r="E4131" s="178"/>
      <c r="F4131" s="178"/>
      <c r="G4131" s="340"/>
      <c r="H4131" s="340"/>
      <c r="I4131" s="179"/>
      <c r="J4131" s="344"/>
      <c r="K4131" s="345"/>
      <c r="L4131" s="346"/>
      <c r="M4131" s="347"/>
      <c r="N4131" s="347"/>
      <c r="O4131" s="132"/>
    </row>
    <row r="4132" spans="2:15" ht="26.25" customHeight="1" x14ac:dyDescent="0.25">
      <c r="B4132" s="130"/>
      <c r="C4132" s="135"/>
      <c r="D4132" s="177"/>
      <c r="E4132" s="178"/>
      <c r="F4132" s="178"/>
      <c r="G4132" s="340"/>
      <c r="H4132" s="340"/>
      <c r="I4132" s="179"/>
      <c r="J4132" s="344"/>
      <c r="K4132" s="345"/>
      <c r="L4132" s="346"/>
      <c r="M4132" s="347"/>
      <c r="N4132" s="347"/>
      <c r="O4132" s="132"/>
    </row>
    <row r="4133" spans="2:15" ht="26.25" customHeight="1" x14ac:dyDescent="0.25">
      <c r="B4133" s="130"/>
      <c r="C4133" s="135"/>
      <c r="D4133" s="177"/>
      <c r="E4133" s="178"/>
      <c r="F4133" s="178"/>
      <c r="G4133" s="340"/>
      <c r="H4133" s="340"/>
      <c r="I4133" s="179"/>
      <c r="J4133" s="344"/>
      <c r="K4133" s="345"/>
      <c r="L4133" s="346"/>
      <c r="M4133" s="347"/>
      <c r="N4133" s="347"/>
      <c r="O4133" s="132"/>
    </row>
    <row r="4134" spans="2:15" ht="26.25" customHeight="1" x14ac:dyDescent="0.25">
      <c r="B4134" s="130"/>
      <c r="C4134" s="135"/>
      <c r="D4134" s="177"/>
      <c r="E4134" s="178"/>
      <c r="F4134" s="178"/>
      <c r="G4134" s="340"/>
      <c r="H4134" s="340"/>
      <c r="I4134" s="179"/>
      <c r="J4134" s="344"/>
      <c r="K4134" s="345"/>
      <c r="L4134" s="346"/>
      <c r="M4134" s="347"/>
      <c r="N4134" s="347"/>
      <c r="O4134" s="132"/>
    </row>
    <row r="4135" spans="2:15" ht="26.25" customHeight="1" x14ac:dyDescent="0.25">
      <c r="B4135" s="130"/>
      <c r="C4135" s="135"/>
      <c r="D4135" s="177"/>
      <c r="E4135" s="178"/>
      <c r="F4135" s="178"/>
      <c r="G4135" s="340"/>
      <c r="H4135" s="340"/>
      <c r="I4135" s="179"/>
      <c r="J4135" s="344"/>
      <c r="K4135" s="345"/>
      <c r="L4135" s="346"/>
      <c r="M4135" s="347"/>
      <c r="N4135" s="347"/>
      <c r="O4135" s="132"/>
    </row>
    <row r="4136" spans="2:15" ht="26.25" customHeight="1" x14ac:dyDescent="0.25">
      <c r="B4136" s="130"/>
      <c r="C4136" s="135"/>
      <c r="D4136" s="177"/>
      <c r="E4136" s="178"/>
      <c r="F4136" s="178"/>
      <c r="G4136" s="340"/>
      <c r="H4136" s="340"/>
      <c r="I4136" s="179"/>
      <c r="J4136" s="344"/>
      <c r="K4136" s="345"/>
      <c r="L4136" s="346"/>
      <c r="M4136" s="347"/>
      <c r="N4136" s="347"/>
      <c r="O4136" s="132"/>
    </row>
    <row r="4137" spans="2:15" ht="26.25" customHeight="1" x14ac:dyDescent="0.25">
      <c r="B4137" s="130"/>
      <c r="C4137" s="135"/>
      <c r="D4137" s="177"/>
      <c r="E4137" s="178"/>
      <c r="F4137" s="178"/>
      <c r="G4137" s="340"/>
      <c r="H4137" s="340"/>
      <c r="I4137" s="179"/>
      <c r="J4137" s="344"/>
      <c r="K4137" s="345"/>
      <c r="L4137" s="346"/>
      <c r="M4137" s="347"/>
      <c r="N4137" s="347"/>
      <c r="O4137" s="132"/>
    </row>
    <row r="4138" spans="2:15" ht="26.25" customHeight="1" x14ac:dyDescent="0.25">
      <c r="B4138" s="130"/>
      <c r="C4138" s="135"/>
      <c r="D4138" s="177"/>
      <c r="E4138" s="178"/>
      <c r="F4138" s="178"/>
      <c r="G4138" s="340"/>
      <c r="H4138" s="340"/>
      <c r="I4138" s="179"/>
      <c r="J4138" s="344"/>
      <c r="K4138" s="345"/>
      <c r="L4138" s="346"/>
      <c r="M4138" s="347"/>
      <c r="N4138" s="347"/>
      <c r="O4138" s="132"/>
    </row>
    <row r="4139" spans="2:15" ht="26.25" customHeight="1" x14ac:dyDescent="0.25">
      <c r="B4139" s="130"/>
      <c r="C4139" s="135"/>
      <c r="D4139" s="177"/>
      <c r="E4139" s="178"/>
      <c r="F4139" s="178"/>
      <c r="G4139" s="340"/>
      <c r="H4139" s="340"/>
      <c r="I4139" s="179"/>
      <c r="J4139" s="344"/>
      <c r="K4139" s="345"/>
      <c r="L4139" s="346"/>
      <c r="M4139" s="347"/>
      <c r="N4139" s="347"/>
      <c r="O4139" s="132"/>
    </row>
    <row r="4140" spans="2:15" ht="26.25" customHeight="1" x14ac:dyDescent="0.25">
      <c r="B4140" s="130"/>
      <c r="C4140" s="135"/>
      <c r="D4140" s="177"/>
      <c r="E4140" s="178"/>
      <c r="F4140" s="178"/>
      <c r="G4140" s="340"/>
      <c r="H4140" s="340"/>
      <c r="I4140" s="179"/>
      <c r="J4140" s="344"/>
      <c r="K4140" s="345"/>
      <c r="L4140" s="346"/>
      <c r="M4140" s="347"/>
      <c r="N4140" s="347"/>
      <c r="O4140" s="132"/>
    </row>
    <row r="4141" spans="2:15" ht="26.25" customHeight="1" x14ac:dyDescent="0.25">
      <c r="B4141" s="130"/>
      <c r="C4141" s="135"/>
      <c r="D4141" s="177"/>
      <c r="E4141" s="178"/>
      <c r="F4141" s="178"/>
      <c r="G4141" s="340"/>
      <c r="H4141" s="340"/>
      <c r="I4141" s="179"/>
      <c r="J4141" s="344"/>
      <c r="K4141" s="345"/>
      <c r="L4141" s="346"/>
      <c r="M4141" s="347"/>
      <c r="N4141" s="347"/>
      <c r="O4141" s="132"/>
    </row>
    <row r="4142" spans="2:15" ht="26.25" customHeight="1" x14ac:dyDescent="0.25">
      <c r="B4142" s="130"/>
      <c r="C4142" s="135"/>
      <c r="D4142" s="177"/>
      <c r="E4142" s="178"/>
      <c r="F4142" s="178"/>
      <c r="G4142" s="340"/>
      <c r="H4142" s="340"/>
      <c r="I4142" s="179"/>
      <c r="J4142" s="344"/>
      <c r="K4142" s="345"/>
      <c r="L4142" s="346"/>
      <c r="M4142" s="347"/>
      <c r="N4142" s="347"/>
      <c r="O4142" s="132"/>
    </row>
    <row r="4143" spans="2:15" ht="26.25" customHeight="1" x14ac:dyDescent="0.25">
      <c r="B4143" s="130"/>
      <c r="C4143" s="135"/>
      <c r="D4143" s="177"/>
      <c r="E4143" s="178"/>
      <c r="F4143" s="178"/>
      <c r="G4143" s="340"/>
      <c r="H4143" s="340"/>
      <c r="I4143" s="179"/>
      <c r="J4143" s="344"/>
      <c r="K4143" s="345"/>
      <c r="L4143" s="346"/>
      <c r="M4143" s="347"/>
      <c r="N4143" s="347"/>
      <c r="O4143" s="132"/>
    </row>
    <row r="4144" spans="2:15" ht="26.25" customHeight="1" x14ac:dyDescent="0.25">
      <c r="B4144" s="130"/>
      <c r="C4144" s="135"/>
      <c r="D4144" s="177"/>
      <c r="E4144" s="178"/>
      <c r="F4144" s="178"/>
      <c r="G4144" s="340"/>
      <c r="H4144" s="340"/>
      <c r="I4144" s="179"/>
      <c r="J4144" s="344"/>
      <c r="K4144" s="345"/>
      <c r="L4144" s="346"/>
      <c r="M4144" s="347"/>
      <c r="N4144" s="347"/>
      <c r="O4144" s="132"/>
    </row>
    <row r="4145" spans="2:15" ht="26.25" customHeight="1" x14ac:dyDescent="0.25">
      <c r="B4145" s="130"/>
      <c r="C4145" s="135"/>
      <c r="D4145" s="177"/>
      <c r="E4145" s="178"/>
      <c r="F4145" s="178"/>
      <c r="G4145" s="340"/>
      <c r="H4145" s="340"/>
      <c r="I4145" s="179"/>
      <c r="J4145" s="344"/>
      <c r="K4145" s="345"/>
      <c r="L4145" s="346"/>
      <c r="M4145" s="347"/>
      <c r="N4145" s="347"/>
      <c r="O4145" s="132"/>
    </row>
    <row r="4146" spans="2:15" ht="26.25" customHeight="1" x14ac:dyDescent="0.25">
      <c r="B4146" s="130"/>
      <c r="C4146" s="135"/>
      <c r="D4146" s="177"/>
      <c r="E4146" s="178"/>
      <c r="F4146" s="178"/>
      <c r="G4146" s="340"/>
      <c r="H4146" s="340"/>
      <c r="I4146" s="179"/>
      <c r="J4146" s="344"/>
      <c r="K4146" s="345"/>
      <c r="L4146" s="346"/>
      <c r="M4146" s="347"/>
      <c r="N4146" s="347"/>
      <c r="O4146" s="132"/>
    </row>
    <row r="4147" spans="2:15" ht="26.25" customHeight="1" x14ac:dyDescent="0.25">
      <c r="B4147" s="130"/>
      <c r="C4147" s="135"/>
      <c r="D4147" s="177"/>
      <c r="E4147" s="178"/>
      <c r="F4147" s="178"/>
      <c r="G4147" s="340"/>
      <c r="H4147" s="340"/>
      <c r="I4147" s="179"/>
      <c r="J4147" s="344"/>
      <c r="K4147" s="345"/>
      <c r="L4147" s="346"/>
      <c r="M4147" s="347"/>
      <c r="N4147" s="347"/>
      <c r="O4147" s="132"/>
    </row>
    <row r="4148" spans="2:15" ht="26.25" customHeight="1" x14ac:dyDescent="0.25">
      <c r="B4148" s="130"/>
      <c r="C4148" s="135"/>
      <c r="D4148" s="177"/>
      <c r="E4148" s="178"/>
      <c r="F4148" s="178"/>
      <c r="G4148" s="340"/>
      <c r="H4148" s="340"/>
      <c r="I4148" s="179"/>
      <c r="J4148" s="344"/>
      <c r="K4148" s="345"/>
      <c r="L4148" s="346"/>
      <c r="M4148" s="347"/>
      <c r="N4148" s="347"/>
      <c r="O4148" s="132"/>
    </row>
    <row r="4149" spans="2:15" ht="26.25" customHeight="1" x14ac:dyDescent="0.25">
      <c r="B4149" s="130"/>
      <c r="C4149" s="135"/>
      <c r="D4149" s="177"/>
      <c r="E4149" s="178"/>
      <c r="F4149" s="178"/>
      <c r="G4149" s="340"/>
      <c r="H4149" s="340"/>
      <c r="I4149" s="179"/>
      <c r="J4149" s="344"/>
      <c r="K4149" s="345"/>
      <c r="L4149" s="346"/>
      <c r="M4149" s="347"/>
      <c r="N4149" s="347"/>
      <c r="O4149" s="132"/>
    </row>
    <row r="4150" spans="2:15" ht="26.25" customHeight="1" x14ac:dyDescent="0.25">
      <c r="B4150" s="130"/>
      <c r="C4150" s="135"/>
      <c r="D4150" s="177"/>
      <c r="E4150" s="178"/>
      <c r="F4150" s="178"/>
      <c r="G4150" s="340"/>
      <c r="H4150" s="340"/>
      <c r="I4150" s="179"/>
      <c r="J4150" s="344"/>
      <c r="K4150" s="345"/>
      <c r="L4150" s="346"/>
      <c r="M4150" s="347"/>
      <c r="N4150" s="347"/>
      <c r="O4150" s="132"/>
    </row>
    <row r="4151" spans="2:15" ht="26.25" customHeight="1" x14ac:dyDescent="0.25">
      <c r="B4151" s="130"/>
      <c r="C4151" s="135"/>
      <c r="D4151" s="177"/>
      <c r="E4151" s="178"/>
      <c r="F4151" s="178"/>
      <c r="G4151" s="340"/>
      <c r="H4151" s="340"/>
      <c r="I4151" s="179"/>
      <c r="J4151" s="344"/>
      <c r="K4151" s="345"/>
      <c r="L4151" s="346"/>
      <c r="M4151" s="347"/>
      <c r="N4151" s="347"/>
      <c r="O4151" s="132"/>
    </row>
    <row r="4152" spans="2:15" ht="26.25" customHeight="1" x14ac:dyDescent="0.25">
      <c r="B4152" s="130"/>
      <c r="C4152" s="135"/>
      <c r="D4152" s="177"/>
      <c r="E4152" s="178"/>
      <c r="F4152" s="178"/>
      <c r="G4152" s="340"/>
      <c r="H4152" s="340"/>
      <c r="I4152" s="179"/>
      <c r="J4152" s="344"/>
      <c r="K4152" s="345"/>
      <c r="L4152" s="346"/>
      <c r="M4152" s="347"/>
      <c r="N4152" s="347"/>
      <c r="O4152" s="132"/>
    </row>
    <row r="4153" spans="2:15" ht="26.25" customHeight="1" x14ac:dyDescent="0.25">
      <c r="B4153" s="130"/>
      <c r="C4153" s="135"/>
      <c r="D4153" s="177"/>
      <c r="E4153" s="178"/>
      <c r="F4153" s="178"/>
      <c r="G4153" s="340"/>
      <c r="H4153" s="340"/>
      <c r="I4153" s="179"/>
      <c r="J4153" s="344"/>
      <c r="K4153" s="345"/>
      <c r="L4153" s="346"/>
      <c r="M4153" s="347"/>
      <c r="N4153" s="347"/>
      <c r="O4153" s="132"/>
    </row>
    <row r="4154" spans="2:15" ht="26.25" customHeight="1" x14ac:dyDescent="0.25">
      <c r="B4154" s="130"/>
      <c r="C4154" s="135"/>
      <c r="D4154" s="177"/>
      <c r="E4154" s="178"/>
      <c r="F4154" s="178"/>
      <c r="G4154" s="340"/>
      <c r="H4154" s="340"/>
      <c r="I4154" s="179"/>
      <c r="J4154" s="344"/>
      <c r="K4154" s="345"/>
      <c r="L4154" s="346"/>
      <c r="M4154" s="347"/>
      <c r="N4154" s="347"/>
      <c r="O4154" s="132"/>
    </row>
    <row r="4155" spans="2:15" ht="26.25" customHeight="1" x14ac:dyDescent="0.25">
      <c r="B4155" s="130"/>
      <c r="C4155" s="135"/>
      <c r="D4155" s="177"/>
      <c r="E4155" s="178"/>
      <c r="F4155" s="178"/>
      <c r="G4155" s="340"/>
      <c r="H4155" s="340"/>
      <c r="I4155" s="179"/>
      <c r="J4155" s="344"/>
      <c r="K4155" s="345"/>
      <c r="L4155" s="346"/>
      <c r="M4155" s="347"/>
      <c r="N4155" s="347"/>
      <c r="O4155" s="132"/>
    </row>
    <row r="4156" spans="2:15" ht="26.25" customHeight="1" x14ac:dyDescent="0.25">
      <c r="B4156" s="130"/>
      <c r="C4156" s="135"/>
      <c r="D4156" s="177"/>
      <c r="E4156" s="178"/>
      <c r="F4156" s="178"/>
      <c r="G4156" s="340"/>
      <c r="H4156" s="340"/>
      <c r="I4156" s="179"/>
      <c r="J4156" s="344"/>
      <c r="K4156" s="345"/>
      <c r="L4156" s="346"/>
      <c r="M4156" s="347"/>
      <c r="N4156" s="347"/>
      <c r="O4156" s="132"/>
    </row>
    <row r="4157" spans="2:15" ht="26.25" customHeight="1" x14ac:dyDescent="0.25">
      <c r="B4157" s="130"/>
      <c r="C4157" s="135"/>
      <c r="D4157" s="177"/>
      <c r="E4157" s="178"/>
      <c r="F4157" s="178"/>
      <c r="G4157" s="340"/>
      <c r="H4157" s="340"/>
      <c r="I4157" s="179"/>
      <c r="J4157" s="344"/>
      <c r="K4157" s="345"/>
      <c r="L4157" s="346"/>
      <c r="M4157" s="347"/>
      <c r="N4157" s="347"/>
      <c r="O4157" s="132"/>
    </row>
    <row r="4158" spans="2:15" ht="26.25" customHeight="1" x14ac:dyDescent="0.25">
      <c r="B4158" s="130"/>
      <c r="C4158" s="135"/>
      <c r="D4158" s="177"/>
      <c r="E4158" s="178"/>
      <c r="F4158" s="178"/>
      <c r="G4158" s="340"/>
      <c r="H4158" s="340"/>
      <c r="I4158" s="179"/>
      <c r="J4158" s="344"/>
      <c r="K4158" s="345"/>
      <c r="L4158" s="346"/>
      <c r="M4158" s="347"/>
      <c r="N4158" s="347"/>
      <c r="O4158" s="132"/>
    </row>
    <row r="4159" spans="2:15" ht="26.25" customHeight="1" x14ac:dyDescent="0.25">
      <c r="B4159" s="130"/>
      <c r="C4159" s="135"/>
      <c r="D4159" s="177"/>
      <c r="E4159" s="178"/>
      <c r="F4159" s="178"/>
      <c r="G4159" s="340"/>
      <c r="H4159" s="340"/>
      <c r="I4159" s="179"/>
      <c r="J4159" s="344"/>
      <c r="K4159" s="345"/>
      <c r="L4159" s="346"/>
      <c r="M4159" s="347"/>
      <c r="N4159" s="347"/>
      <c r="O4159" s="132"/>
    </row>
    <row r="4160" spans="2:15" ht="26.25" customHeight="1" x14ac:dyDescent="0.25">
      <c r="B4160" s="130"/>
      <c r="C4160" s="135"/>
      <c r="D4160" s="177"/>
      <c r="E4160" s="178"/>
      <c r="F4160" s="178"/>
      <c r="G4160" s="340"/>
      <c r="H4160" s="340"/>
      <c r="I4160" s="179"/>
      <c r="J4160" s="344"/>
      <c r="K4160" s="345"/>
      <c r="L4160" s="346"/>
      <c r="M4160" s="347"/>
      <c r="N4160" s="347"/>
      <c r="O4160" s="132"/>
    </row>
    <row r="4161" spans="2:15" ht="26.25" customHeight="1" x14ac:dyDescent="0.25">
      <c r="B4161" s="130"/>
      <c r="C4161" s="135"/>
      <c r="D4161" s="177"/>
      <c r="E4161" s="178"/>
      <c r="F4161" s="178"/>
      <c r="G4161" s="340"/>
      <c r="H4161" s="340"/>
      <c r="I4161" s="179"/>
      <c r="J4161" s="344"/>
      <c r="K4161" s="345"/>
      <c r="L4161" s="346"/>
      <c r="M4161" s="347"/>
      <c r="N4161" s="347"/>
      <c r="O4161" s="132"/>
    </row>
    <row r="4162" spans="2:15" ht="26.25" customHeight="1" x14ac:dyDescent="0.25">
      <c r="B4162" s="130"/>
      <c r="C4162" s="135"/>
      <c r="D4162" s="177"/>
      <c r="E4162" s="178"/>
      <c r="F4162" s="178"/>
      <c r="G4162" s="340"/>
      <c r="H4162" s="340"/>
      <c r="I4162" s="179"/>
      <c r="J4162" s="344"/>
      <c r="K4162" s="345"/>
      <c r="L4162" s="346"/>
      <c r="M4162" s="347"/>
      <c r="N4162" s="347"/>
      <c r="O4162" s="132"/>
    </row>
    <row r="4163" spans="2:15" ht="26.25" customHeight="1" x14ac:dyDescent="0.25">
      <c r="B4163" s="130"/>
      <c r="C4163" s="135"/>
      <c r="D4163" s="177"/>
      <c r="E4163" s="178"/>
      <c r="F4163" s="178"/>
      <c r="G4163" s="340"/>
      <c r="H4163" s="340"/>
      <c r="I4163" s="179"/>
      <c r="J4163" s="344"/>
      <c r="K4163" s="345"/>
      <c r="L4163" s="346"/>
      <c r="M4163" s="347"/>
      <c r="N4163" s="347"/>
      <c r="O4163" s="132"/>
    </row>
    <row r="4164" spans="2:15" ht="26.25" customHeight="1" x14ac:dyDescent="0.25">
      <c r="B4164" s="130"/>
      <c r="C4164" s="135"/>
      <c r="D4164" s="177"/>
      <c r="E4164" s="178"/>
      <c r="F4164" s="178"/>
      <c r="G4164" s="340"/>
      <c r="H4164" s="340"/>
      <c r="I4164" s="179"/>
      <c r="J4164" s="344"/>
      <c r="K4164" s="345"/>
      <c r="L4164" s="346"/>
      <c r="M4164" s="347"/>
      <c r="N4164" s="347"/>
      <c r="O4164" s="132"/>
    </row>
    <row r="4165" spans="2:15" ht="26.25" customHeight="1" x14ac:dyDescent="0.25">
      <c r="B4165" s="130"/>
      <c r="C4165" s="135"/>
      <c r="D4165" s="177"/>
      <c r="E4165" s="178"/>
      <c r="F4165" s="178"/>
      <c r="G4165" s="340"/>
      <c r="H4165" s="340"/>
      <c r="I4165" s="179"/>
      <c r="J4165" s="344"/>
      <c r="K4165" s="345"/>
      <c r="L4165" s="346"/>
      <c r="M4165" s="347"/>
      <c r="N4165" s="347"/>
      <c r="O4165" s="132"/>
    </row>
    <row r="4166" spans="2:15" ht="26.25" customHeight="1" x14ac:dyDescent="0.25">
      <c r="B4166" s="130"/>
      <c r="C4166" s="135"/>
      <c r="D4166" s="177"/>
      <c r="E4166" s="178"/>
      <c r="F4166" s="178"/>
      <c r="G4166" s="340"/>
      <c r="H4166" s="340"/>
      <c r="I4166" s="179"/>
      <c r="J4166" s="344"/>
      <c r="K4166" s="345"/>
      <c r="L4166" s="346"/>
      <c r="M4166" s="347"/>
      <c r="N4166" s="347"/>
      <c r="O4166" s="132"/>
    </row>
    <row r="4167" spans="2:15" ht="26.25" customHeight="1" x14ac:dyDescent="0.25">
      <c r="B4167" s="130"/>
      <c r="C4167" s="135"/>
      <c r="D4167" s="177"/>
      <c r="E4167" s="178"/>
      <c r="F4167" s="178"/>
      <c r="G4167" s="340"/>
      <c r="H4167" s="340"/>
      <c r="I4167" s="179"/>
      <c r="J4167" s="344"/>
      <c r="K4167" s="345"/>
      <c r="L4167" s="346"/>
      <c r="M4167" s="347"/>
      <c r="N4167" s="347"/>
      <c r="O4167" s="132"/>
    </row>
    <row r="4168" spans="2:15" ht="26.25" customHeight="1" x14ac:dyDescent="0.25">
      <c r="B4168" s="130"/>
      <c r="C4168" s="135"/>
      <c r="D4168" s="177"/>
      <c r="E4168" s="178"/>
      <c r="F4168" s="178"/>
      <c r="G4168" s="340"/>
      <c r="H4168" s="340"/>
      <c r="I4168" s="179"/>
      <c r="J4168" s="344"/>
      <c r="K4168" s="345"/>
      <c r="L4168" s="346"/>
      <c r="M4168" s="347"/>
      <c r="N4168" s="347"/>
      <c r="O4168" s="132"/>
    </row>
    <row r="4169" spans="2:15" ht="26.25" customHeight="1" x14ac:dyDescent="0.25">
      <c r="B4169" s="130"/>
      <c r="C4169" s="135"/>
      <c r="D4169" s="177"/>
      <c r="E4169" s="178"/>
      <c r="F4169" s="178"/>
      <c r="G4169" s="340"/>
      <c r="H4169" s="340"/>
      <c r="I4169" s="179"/>
      <c r="J4169" s="344"/>
      <c r="K4169" s="345"/>
      <c r="L4169" s="346"/>
      <c r="M4169" s="347"/>
      <c r="N4169" s="347"/>
      <c r="O4169" s="132"/>
    </row>
    <row r="4170" spans="2:15" ht="26.25" customHeight="1" x14ac:dyDescent="0.25">
      <c r="B4170" s="130"/>
      <c r="C4170" s="135"/>
      <c r="D4170" s="177"/>
      <c r="E4170" s="178"/>
      <c r="F4170" s="178"/>
      <c r="G4170" s="340"/>
      <c r="H4170" s="340"/>
      <c r="I4170" s="179"/>
      <c r="J4170" s="344"/>
      <c r="K4170" s="345"/>
      <c r="L4170" s="346"/>
      <c r="M4170" s="347"/>
      <c r="N4170" s="347"/>
      <c r="O4170" s="132"/>
    </row>
    <row r="4171" spans="2:15" ht="26.25" customHeight="1" x14ac:dyDescent="0.25">
      <c r="B4171" s="130"/>
      <c r="C4171" s="135"/>
      <c r="D4171" s="177"/>
      <c r="E4171" s="178"/>
      <c r="F4171" s="178"/>
      <c r="G4171" s="340"/>
      <c r="H4171" s="340"/>
      <c r="I4171" s="179"/>
      <c r="J4171" s="344"/>
      <c r="K4171" s="345"/>
      <c r="L4171" s="346"/>
      <c r="M4171" s="347"/>
      <c r="N4171" s="347"/>
      <c r="O4171" s="132"/>
    </row>
    <row r="4172" spans="2:15" ht="26.25" customHeight="1" x14ac:dyDescent="0.25">
      <c r="B4172" s="130"/>
      <c r="C4172" s="135"/>
      <c r="D4172" s="177"/>
      <c r="E4172" s="178"/>
      <c r="F4172" s="178"/>
      <c r="G4172" s="340"/>
      <c r="H4172" s="340"/>
      <c r="I4172" s="179"/>
      <c r="J4172" s="344"/>
      <c r="K4172" s="345"/>
      <c r="L4172" s="346"/>
      <c r="M4172" s="347"/>
      <c r="N4172" s="347"/>
      <c r="O4172" s="132"/>
    </row>
    <row r="4173" spans="2:15" ht="26.25" customHeight="1" x14ac:dyDescent="0.25">
      <c r="B4173" s="130"/>
      <c r="C4173" s="135"/>
      <c r="D4173" s="177"/>
      <c r="E4173" s="178"/>
      <c r="F4173" s="178"/>
      <c r="G4173" s="340"/>
      <c r="H4173" s="340"/>
      <c r="I4173" s="179"/>
      <c r="J4173" s="344"/>
      <c r="K4173" s="345"/>
      <c r="L4173" s="346"/>
      <c r="M4173" s="347"/>
      <c r="N4173" s="347"/>
      <c r="O4173" s="132"/>
    </row>
    <row r="4174" spans="2:15" ht="26.25" customHeight="1" x14ac:dyDescent="0.25">
      <c r="B4174" s="130"/>
      <c r="C4174" s="135"/>
      <c r="D4174" s="177"/>
      <c r="E4174" s="178"/>
      <c r="F4174" s="178"/>
      <c r="G4174" s="340"/>
      <c r="H4174" s="340"/>
      <c r="I4174" s="179"/>
      <c r="J4174" s="344"/>
      <c r="K4174" s="345"/>
      <c r="L4174" s="346"/>
      <c r="M4174" s="347"/>
      <c r="N4174" s="347"/>
      <c r="O4174" s="132"/>
    </row>
    <row r="4175" spans="2:15" ht="26.25" customHeight="1" x14ac:dyDescent="0.25">
      <c r="B4175" s="130"/>
      <c r="C4175" s="135"/>
      <c r="D4175" s="177"/>
      <c r="E4175" s="178"/>
      <c r="F4175" s="178"/>
      <c r="G4175" s="340"/>
      <c r="H4175" s="340"/>
      <c r="I4175" s="179"/>
      <c r="J4175" s="344"/>
      <c r="K4175" s="345"/>
      <c r="L4175" s="346"/>
      <c r="M4175" s="347"/>
      <c r="N4175" s="347"/>
      <c r="O4175" s="132"/>
    </row>
    <row r="4176" spans="2:15" ht="26.25" customHeight="1" x14ac:dyDescent="0.25">
      <c r="B4176" s="130"/>
      <c r="C4176" s="135"/>
      <c r="D4176" s="177"/>
      <c r="E4176" s="178"/>
      <c r="F4176" s="178"/>
      <c r="G4176" s="340"/>
      <c r="H4176" s="340"/>
      <c r="I4176" s="179"/>
      <c r="J4176" s="344"/>
      <c r="K4176" s="345"/>
      <c r="L4176" s="346"/>
      <c r="M4176" s="347"/>
      <c r="N4176" s="347"/>
      <c r="O4176" s="132"/>
    </row>
    <row r="4177" spans="2:15" ht="26.25" customHeight="1" x14ac:dyDescent="0.25">
      <c r="B4177" s="130"/>
      <c r="C4177" s="135"/>
      <c r="D4177" s="177"/>
      <c r="E4177" s="178"/>
      <c r="F4177" s="178"/>
      <c r="G4177" s="340"/>
      <c r="H4177" s="340"/>
      <c r="I4177" s="179"/>
      <c r="J4177" s="344"/>
      <c r="K4177" s="345"/>
      <c r="L4177" s="346"/>
      <c r="M4177" s="347"/>
      <c r="N4177" s="347"/>
      <c r="O4177" s="132"/>
    </row>
    <row r="4178" spans="2:15" ht="26.25" customHeight="1" x14ac:dyDescent="0.25">
      <c r="B4178" s="130"/>
      <c r="C4178" s="135"/>
      <c r="D4178" s="177"/>
      <c r="E4178" s="178"/>
      <c r="F4178" s="178"/>
      <c r="G4178" s="340"/>
      <c r="H4178" s="340"/>
      <c r="I4178" s="179"/>
      <c r="J4178" s="344"/>
      <c r="K4178" s="345"/>
      <c r="L4178" s="346"/>
      <c r="M4178" s="347"/>
      <c r="N4178" s="347"/>
      <c r="O4178" s="132"/>
    </row>
    <row r="4179" spans="2:15" ht="26.25" customHeight="1" x14ac:dyDescent="0.25">
      <c r="B4179" s="130"/>
      <c r="C4179" s="135"/>
      <c r="D4179" s="177"/>
      <c r="E4179" s="178"/>
      <c r="F4179" s="178"/>
      <c r="G4179" s="340"/>
      <c r="H4179" s="340"/>
      <c r="I4179" s="179"/>
      <c r="J4179" s="344"/>
      <c r="K4179" s="345"/>
      <c r="L4179" s="346"/>
      <c r="M4179" s="347"/>
      <c r="N4179" s="347"/>
      <c r="O4179" s="132"/>
    </row>
    <row r="4180" spans="2:15" ht="26.25" customHeight="1" x14ac:dyDescent="0.25">
      <c r="B4180" s="130"/>
      <c r="C4180" s="135"/>
      <c r="D4180" s="177"/>
      <c r="E4180" s="178"/>
      <c r="F4180" s="178"/>
      <c r="G4180" s="340"/>
      <c r="H4180" s="340"/>
      <c r="I4180" s="179"/>
      <c r="J4180" s="344"/>
      <c r="K4180" s="345"/>
      <c r="L4180" s="346"/>
      <c r="M4180" s="347"/>
      <c r="N4180" s="347"/>
      <c r="O4180" s="132"/>
    </row>
    <row r="4181" spans="2:15" ht="26.25" customHeight="1" x14ac:dyDescent="0.25">
      <c r="B4181" s="130"/>
      <c r="C4181" s="135"/>
      <c r="D4181" s="177"/>
      <c r="E4181" s="178"/>
      <c r="F4181" s="178"/>
      <c r="G4181" s="340"/>
      <c r="H4181" s="340"/>
      <c r="I4181" s="179"/>
      <c r="J4181" s="344"/>
      <c r="K4181" s="345"/>
      <c r="L4181" s="346"/>
      <c r="M4181" s="347"/>
      <c r="N4181" s="347"/>
      <c r="O4181" s="132"/>
    </row>
    <row r="4182" spans="2:15" ht="26.25" customHeight="1" x14ac:dyDescent="0.25">
      <c r="B4182" s="130"/>
      <c r="C4182" s="135"/>
      <c r="D4182" s="177"/>
      <c r="E4182" s="178"/>
      <c r="F4182" s="178"/>
      <c r="G4182" s="340"/>
      <c r="H4182" s="340"/>
      <c r="I4182" s="179"/>
      <c r="J4182" s="344"/>
      <c r="K4182" s="345"/>
      <c r="L4182" s="346"/>
      <c r="M4182" s="347"/>
      <c r="N4182" s="347"/>
      <c r="O4182" s="132"/>
    </row>
    <row r="4183" spans="2:15" ht="26.25" customHeight="1" x14ac:dyDescent="0.25">
      <c r="B4183" s="130"/>
      <c r="C4183" s="135"/>
      <c r="D4183" s="177"/>
      <c r="E4183" s="178"/>
      <c r="F4183" s="178"/>
      <c r="G4183" s="340"/>
      <c r="H4183" s="340"/>
      <c r="I4183" s="179"/>
      <c r="J4183" s="344"/>
      <c r="K4183" s="345"/>
      <c r="L4183" s="346"/>
      <c r="M4183" s="347"/>
      <c r="N4183" s="347"/>
      <c r="O4183" s="132"/>
    </row>
    <row r="4184" spans="2:15" ht="26.25" customHeight="1" x14ac:dyDescent="0.25">
      <c r="B4184" s="130"/>
      <c r="C4184" s="135"/>
      <c r="D4184" s="177"/>
      <c r="E4184" s="178"/>
      <c r="F4184" s="178"/>
      <c r="G4184" s="340"/>
      <c r="H4184" s="340"/>
      <c r="I4184" s="179"/>
      <c r="J4184" s="344"/>
      <c r="K4184" s="345"/>
      <c r="L4184" s="346"/>
      <c r="M4184" s="347"/>
      <c r="N4184" s="347"/>
      <c r="O4184" s="132"/>
    </row>
    <row r="4185" spans="2:15" ht="26.25" customHeight="1" x14ac:dyDescent="0.25">
      <c r="B4185" s="130"/>
      <c r="C4185" s="135"/>
      <c r="D4185" s="177"/>
      <c r="E4185" s="178"/>
      <c r="F4185" s="178"/>
      <c r="G4185" s="340"/>
      <c r="H4185" s="340"/>
      <c r="I4185" s="179"/>
      <c r="J4185" s="344"/>
      <c r="K4185" s="345"/>
      <c r="L4185" s="346"/>
      <c r="M4185" s="347"/>
      <c r="N4185" s="347"/>
      <c r="O4185" s="132"/>
    </row>
    <row r="4186" spans="2:15" ht="26.25" customHeight="1" x14ac:dyDescent="0.25">
      <c r="B4186" s="130"/>
      <c r="C4186" s="135"/>
      <c r="D4186" s="177"/>
      <c r="E4186" s="178"/>
      <c r="F4186" s="178"/>
      <c r="G4186" s="340"/>
      <c r="H4186" s="340"/>
      <c r="I4186" s="179"/>
      <c r="J4186" s="344"/>
      <c r="K4186" s="345"/>
      <c r="L4186" s="346"/>
      <c r="M4186" s="347"/>
      <c r="N4186" s="347"/>
      <c r="O4186" s="132"/>
    </row>
    <row r="4187" spans="2:15" ht="26.25" customHeight="1" x14ac:dyDescent="0.25">
      <c r="B4187" s="130"/>
      <c r="C4187" s="135"/>
      <c r="D4187" s="177"/>
      <c r="E4187" s="178"/>
      <c r="F4187" s="178"/>
      <c r="G4187" s="340"/>
      <c r="H4187" s="340"/>
      <c r="I4187" s="179"/>
      <c r="J4187" s="344"/>
      <c r="K4187" s="345"/>
      <c r="L4187" s="346"/>
      <c r="M4187" s="347"/>
      <c r="N4187" s="347"/>
      <c r="O4187" s="132"/>
    </row>
    <row r="4188" spans="2:15" ht="26.25" customHeight="1" x14ac:dyDescent="0.25">
      <c r="B4188" s="130"/>
      <c r="C4188" s="135"/>
      <c r="D4188" s="177"/>
      <c r="E4188" s="178"/>
      <c r="F4188" s="178"/>
      <c r="G4188" s="340"/>
      <c r="H4188" s="340"/>
      <c r="I4188" s="179"/>
      <c r="J4188" s="344"/>
      <c r="K4188" s="345"/>
      <c r="L4188" s="346"/>
      <c r="M4188" s="347"/>
      <c r="N4188" s="347"/>
      <c r="O4188" s="132"/>
    </row>
    <row r="4189" spans="2:15" ht="26.25" customHeight="1" x14ac:dyDescent="0.25">
      <c r="B4189" s="130"/>
      <c r="C4189" s="135"/>
      <c r="D4189" s="177"/>
      <c r="E4189" s="178"/>
      <c r="F4189" s="178"/>
      <c r="G4189" s="340"/>
      <c r="H4189" s="340"/>
      <c r="I4189" s="179"/>
      <c r="J4189" s="344"/>
      <c r="K4189" s="345"/>
      <c r="L4189" s="346"/>
      <c r="M4189" s="347"/>
      <c r="N4189" s="347"/>
      <c r="O4189" s="132"/>
    </row>
    <row r="4190" spans="2:15" ht="26.25" customHeight="1" x14ac:dyDescent="0.25">
      <c r="B4190" s="130"/>
      <c r="C4190" s="135"/>
      <c r="D4190" s="177"/>
      <c r="E4190" s="178"/>
      <c r="F4190" s="178"/>
      <c r="G4190" s="340"/>
      <c r="H4190" s="340"/>
      <c r="I4190" s="179"/>
      <c r="J4190" s="344"/>
      <c r="K4190" s="345"/>
      <c r="L4190" s="346"/>
      <c r="M4190" s="347"/>
      <c r="N4190" s="347"/>
      <c r="O4190" s="132"/>
    </row>
    <row r="4191" spans="2:15" ht="26.25" customHeight="1" x14ac:dyDescent="0.25">
      <c r="B4191" s="130"/>
      <c r="C4191" s="135"/>
      <c r="D4191" s="177"/>
      <c r="E4191" s="178"/>
      <c r="F4191" s="178"/>
      <c r="G4191" s="340"/>
      <c r="H4191" s="340"/>
      <c r="I4191" s="179"/>
      <c r="J4191" s="344"/>
      <c r="K4191" s="345"/>
      <c r="L4191" s="346"/>
      <c r="M4191" s="347"/>
      <c r="N4191" s="347"/>
      <c r="O4191" s="132"/>
    </row>
    <row r="4192" spans="2:15" ht="26.25" customHeight="1" x14ac:dyDescent="0.25">
      <c r="B4192" s="130"/>
      <c r="C4192" s="135"/>
      <c r="D4192" s="177"/>
      <c r="E4192" s="178"/>
      <c r="F4192" s="178"/>
      <c r="G4192" s="340"/>
      <c r="H4192" s="340"/>
      <c r="I4192" s="179"/>
      <c r="J4192" s="344"/>
      <c r="K4192" s="345"/>
      <c r="L4192" s="346"/>
      <c r="M4192" s="347"/>
      <c r="N4192" s="347"/>
      <c r="O4192" s="132"/>
    </row>
    <row r="4193" spans="2:15" ht="26.25" customHeight="1" x14ac:dyDescent="0.25">
      <c r="B4193" s="130"/>
      <c r="C4193" s="135"/>
      <c r="D4193" s="177"/>
      <c r="E4193" s="178"/>
      <c r="F4193" s="178"/>
      <c r="G4193" s="340"/>
      <c r="H4193" s="340"/>
      <c r="I4193" s="179"/>
      <c r="J4193" s="344"/>
      <c r="K4193" s="345"/>
      <c r="L4193" s="346"/>
      <c r="M4193" s="347"/>
      <c r="N4193" s="347"/>
      <c r="O4193" s="132"/>
    </row>
    <row r="4194" spans="2:15" ht="26.25" customHeight="1" x14ac:dyDescent="0.25">
      <c r="B4194" s="130"/>
      <c r="C4194" s="135"/>
      <c r="D4194" s="177"/>
      <c r="E4194" s="178"/>
      <c r="F4194" s="178"/>
      <c r="G4194" s="340"/>
      <c r="H4194" s="340"/>
      <c r="I4194" s="179"/>
      <c r="J4194" s="344"/>
      <c r="K4194" s="345"/>
      <c r="L4194" s="346"/>
      <c r="M4194" s="347"/>
      <c r="N4194" s="347"/>
      <c r="O4194" s="132"/>
    </row>
    <row r="4195" spans="2:15" ht="26.25" customHeight="1" x14ac:dyDescent="0.25">
      <c r="B4195" s="130"/>
      <c r="C4195" s="135"/>
      <c r="D4195" s="177"/>
      <c r="E4195" s="178"/>
      <c r="F4195" s="178"/>
      <c r="G4195" s="340"/>
      <c r="H4195" s="340"/>
      <c r="I4195" s="179"/>
      <c r="J4195" s="344"/>
      <c r="K4195" s="345"/>
      <c r="L4195" s="346"/>
      <c r="M4195" s="347"/>
      <c r="N4195" s="347"/>
      <c r="O4195" s="132"/>
    </row>
    <row r="4196" spans="2:15" ht="26.25" customHeight="1" x14ac:dyDescent="0.25">
      <c r="B4196" s="130"/>
      <c r="C4196" s="135"/>
      <c r="D4196" s="177"/>
      <c r="E4196" s="178"/>
      <c r="F4196" s="178"/>
      <c r="G4196" s="340"/>
      <c r="H4196" s="340"/>
      <c r="I4196" s="179"/>
      <c r="J4196" s="344"/>
      <c r="K4196" s="345"/>
      <c r="L4196" s="346"/>
      <c r="M4196" s="347"/>
      <c r="N4196" s="347"/>
      <c r="O4196" s="132"/>
    </row>
    <row r="4197" spans="2:15" ht="26.25" customHeight="1" x14ac:dyDescent="0.25">
      <c r="B4197" s="130"/>
      <c r="C4197" s="135"/>
      <c r="D4197" s="177"/>
      <c r="E4197" s="178"/>
      <c r="F4197" s="178"/>
      <c r="G4197" s="340"/>
      <c r="H4197" s="340"/>
      <c r="I4197" s="179"/>
      <c r="J4197" s="344"/>
      <c r="K4197" s="345"/>
      <c r="L4197" s="346"/>
      <c r="M4197" s="347"/>
      <c r="N4197" s="347"/>
      <c r="O4197" s="132"/>
    </row>
    <row r="4198" spans="2:15" ht="26.25" customHeight="1" x14ac:dyDescent="0.25">
      <c r="B4198" s="130"/>
      <c r="C4198" s="135"/>
      <c r="D4198" s="177"/>
      <c r="E4198" s="178"/>
      <c r="F4198" s="178"/>
      <c r="G4198" s="340"/>
      <c r="H4198" s="340"/>
      <c r="I4198" s="179"/>
      <c r="J4198" s="344"/>
      <c r="K4198" s="345"/>
      <c r="L4198" s="346"/>
      <c r="M4198" s="347"/>
      <c r="N4198" s="347"/>
      <c r="O4198" s="132"/>
    </row>
    <row r="4199" spans="2:15" ht="26.25" customHeight="1" x14ac:dyDescent="0.25">
      <c r="B4199" s="130"/>
      <c r="C4199" s="135"/>
      <c r="D4199" s="177"/>
      <c r="E4199" s="178"/>
      <c r="F4199" s="178"/>
      <c r="G4199" s="340"/>
      <c r="H4199" s="340"/>
      <c r="I4199" s="179"/>
      <c r="J4199" s="344"/>
      <c r="K4199" s="345"/>
      <c r="L4199" s="346"/>
      <c r="M4199" s="347"/>
      <c r="N4199" s="347"/>
      <c r="O4199" s="132"/>
    </row>
    <row r="4200" spans="2:15" ht="26.25" customHeight="1" x14ac:dyDescent="0.25">
      <c r="B4200" s="130"/>
      <c r="C4200" s="135"/>
      <c r="D4200" s="177"/>
      <c r="E4200" s="178"/>
      <c r="F4200" s="178"/>
      <c r="G4200" s="340"/>
      <c r="H4200" s="340"/>
      <c r="I4200" s="179"/>
      <c r="J4200" s="344"/>
      <c r="K4200" s="345"/>
      <c r="L4200" s="346"/>
      <c r="M4200" s="347"/>
      <c r="N4200" s="347"/>
      <c r="O4200" s="132"/>
    </row>
    <row r="4201" spans="2:15" ht="26.25" customHeight="1" x14ac:dyDescent="0.25">
      <c r="B4201" s="130"/>
      <c r="C4201" s="135"/>
      <c r="D4201" s="177"/>
      <c r="E4201" s="178"/>
      <c r="F4201" s="178"/>
      <c r="G4201" s="340"/>
      <c r="H4201" s="340"/>
      <c r="I4201" s="179"/>
      <c r="J4201" s="344"/>
      <c r="K4201" s="345"/>
      <c r="L4201" s="346"/>
      <c r="M4201" s="347"/>
      <c r="N4201" s="347"/>
      <c r="O4201" s="132"/>
    </row>
    <row r="4202" spans="2:15" ht="26.25" customHeight="1" x14ac:dyDescent="0.25">
      <c r="B4202" s="130"/>
      <c r="C4202" s="135"/>
      <c r="D4202" s="177"/>
      <c r="E4202" s="178"/>
      <c r="F4202" s="178"/>
      <c r="G4202" s="340"/>
      <c r="H4202" s="340"/>
      <c r="I4202" s="179"/>
      <c r="J4202" s="344"/>
      <c r="K4202" s="345"/>
      <c r="L4202" s="346"/>
      <c r="M4202" s="347"/>
      <c r="N4202" s="347"/>
      <c r="O4202" s="132"/>
    </row>
    <row r="4203" spans="2:15" ht="26.25" customHeight="1" x14ac:dyDescent="0.25">
      <c r="B4203" s="130"/>
      <c r="C4203" s="135"/>
      <c r="D4203" s="177"/>
      <c r="E4203" s="178"/>
      <c r="F4203" s="178"/>
      <c r="G4203" s="340"/>
      <c r="H4203" s="340"/>
      <c r="I4203" s="179"/>
      <c r="J4203" s="344"/>
      <c r="K4203" s="345"/>
      <c r="L4203" s="346"/>
      <c r="M4203" s="347"/>
      <c r="N4203" s="347"/>
      <c r="O4203" s="132"/>
    </row>
    <row r="4204" spans="2:15" ht="26.25" customHeight="1" x14ac:dyDescent="0.25">
      <c r="B4204" s="130"/>
      <c r="C4204" s="135"/>
      <c r="D4204" s="177"/>
      <c r="E4204" s="178"/>
      <c r="F4204" s="178"/>
      <c r="G4204" s="340"/>
      <c r="H4204" s="340"/>
      <c r="I4204" s="179"/>
      <c r="J4204" s="344"/>
      <c r="K4204" s="345"/>
      <c r="L4204" s="346"/>
      <c r="M4204" s="347"/>
      <c r="N4204" s="347"/>
      <c r="O4204" s="132"/>
    </row>
    <row r="4205" spans="2:15" ht="26.25" customHeight="1" x14ac:dyDescent="0.25">
      <c r="B4205" s="130"/>
      <c r="C4205" s="135"/>
      <c r="D4205" s="177"/>
      <c r="E4205" s="178"/>
      <c r="F4205" s="178"/>
      <c r="G4205" s="340"/>
      <c r="H4205" s="340"/>
      <c r="I4205" s="179"/>
      <c r="J4205" s="344"/>
      <c r="K4205" s="345"/>
      <c r="L4205" s="346"/>
      <c r="M4205" s="347"/>
      <c r="N4205" s="347"/>
      <c r="O4205" s="132"/>
    </row>
    <row r="4206" spans="2:15" ht="26.25" customHeight="1" x14ac:dyDescent="0.25">
      <c r="B4206" s="130"/>
      <c r="C4206" s="135"/>
      <c r="D4206" s="177"/>
      <c r="E4206" s="178"/>
      <c r="F4206" s="178"/>
      <c r="G4206" s="340"/>
      <c r="H4206" s="340"/>
      <c r="I4206" s="179"/>
      <c r="J4206" s="344"/>
      <c r="K4206" s="345"/>
      <c r="L4206" s="346"/>
      <c r="M4206" s="347"/>
      <c r="N4206" s="347"/>
      <c r="O4206" s="132"/>
    </row>
    <row r="4207" spans="2:15" ht="26.25" customHeight="1" x14ac:dyDescent="0.25">
      <c r="B4207" s="130"/>
      <c r="C4207" s="135"/>
      <c r="D4207" s="177"/>
      <c r="E4207" s="178"/>
      <c r="F4207" s="178"/>
      <c r="G4207" s="340"/>
      <c r="H4207" s="340"/>
      <c r="I4207" s="179"/>
      <c r="J4207" s="344"/>
      <c r="K4207" s="345"/>
      <c r="L4207" s="346"/>
      <c r="M4207" s="347"/>
      <c r="N4207" s="347"/>
      <c r="O4207" s="132"/>
    </row>
    <row r="4208" spans="2:15" ht="26.25" customHeight="1" x14ac:dyDescent="0.25">
      <c r="B4208" s="130"/>
      <c r="C4208" s="135"/>
      <c r="D4208" s="177"/>
      <c r="E4208" s="178"/>
      <c r="F4208" s="178"/>
      <c r="G4208" s="340"/>
      <c r="H4208" s="340"/>
      <c r="I4208" s="179"/>
      <c r="J4208" s="344"/>
      <c r="K4208" s="345"/>
      <c r="L4208" s="346"/>
      <c r="M4208" s="347"/>
      <c r="N4208" s="347"/>
      <c r="O4208" s="132"/>
    </row>
    <row r="4209" spans="2:15" ht="26.25" customHeight="1" x14ac:dyDescent="0.25">
      <c r="B4209" s="130"/>
      <c r="C4209" s="135"/>
      <c r="D4209" s="177"/>
      <c r="E4209" s="178"/>
      <c r="F4209" s="178"/>
      <c r="G4209" s="340"/>
      <c r="H4209" s="340"/>
      <c r="I4209" s="179"/>
      <c r="J4209" s="344"/>
      <c r="K4209" s="345"/>
      <c r="L4209" s="346"/>
      <c r="M4209" s="347"/>
      <c r="N4209" s="347"/>
      <c r="O4209" s="132"/>
    </row>
    <row r="4210" spans="2:15" ht="26.25" customHeight="1" x14ac:dyDescent="0.25">
      <c r="B4210" s="130"/>
      <c r="C4210" s="135"/>
      <c r="D4210" s="177"/>
      <c r="E4210" s="178"/>
      <c r="F4210" s="178"/>
      <c r="G4210" s="340"/>
      <c r="H4210" s="340"/>
      <c r="I4210" s="179"/>
      <c r="J4210" s="344"/>
      <c r="K4210" s="345"/>
      <c r="L4210" s="346"/>
      <c r="M4210" s="347"/>
      <c r="N4210" s="347"/>
      <c r="O4210" s="132"/>
    </row>
    <row r="4211" spans="2:15" ht="26.25" customHeight="1" x14ac:dyDescent="0.25">
      <c r="B4211" s="130"/>
      <c r="C4211" s="135"/>
      <c r="D4211" s="177"/>
      <c r="E4211" s="178"/>
      <c r="F4211" s="178"/>
      <c r="G4211" s="340"/>
      <c r="H4211" s="340"/>
      <c r="I4211" s="179"/>
      <c r="J4211" s="344"/>
      <c r="K4211" s="345"/>
      <c r="L4211" s="346"/>
      <c r="M4211" s="347"/>
      <c r="N4211" s="347"/>
      <c r="O4211" s="132"/>
    </row>
    <row r="4212" spans="2:15" ht="26.25" customHeight="1" x14ac:dyDescent="0.25">
      <c r="B4212" s="130"/>
      <c r="C4212" s="135"/>
      <c r="D4212" s="177"/>
      <c r="E4212" s="178"/>
      <c r="F4212" s="178"/>
      <c r="G4212" s="340"/>
      <c r="H4212" s="340"/>
      <c r="I4212" s="179"/>
      <c r="J4212" s="344"/>
      <c r="K4212" s="345"/>
      <c r="L4212" s="346"/>
      <c r="M4212" s="347"/>
      <c r="N4212" s="347"/>
      <c r="O4212" s="132"/>
    </row>
    <row r="4213" spans="2:15" ht="26.25" customHeight="1" x14ac:dyDescent="0.25">
      <c r="B4213" s="130"/>
      <c r="C4213" s="135"/>
      <c r="D4213" s="177"/>
      <c r="E4213" s="178"/>
      <c r="F4213" s="178"/>
      <c r="G4213" s="340"/>
      <c r="H4213" s="340"/>
      <c r="I4213" s="179"/>
      <c r="J4213" s="344"/>
      <c r="K4213" s="345"/>
      <c r="L4213" s="346"/>
      <c r="M4213" s="347"/>
      <c r="N4213" s="347"/>
      <c r="O4213" s="132"/>
    </row>
    <row r="4214" spans="2:15" ht="26.25" customHeight="1" x14ac:dyDescent="0.25">
      <c r="B4214" s="130"/>
      <c r="C4214" s="135"/>
      <c r="D4214" s="177"/>
      <c r="E4214" s="178"/>
      <c r="F4214" s="178"/>
      <c r="G4214" s="340"/>
      <c r="H4214" s="340"/>
      <c r="I4214" s="179"/>
      <c r="J4214" s="344"/>
      <c r="K4214" s="345"/>
      <c r="L4214" s="346"/>
      <c r="M4214" s="347"/>
      <c r="N4214" s="347"/>
      <c r="O4214" s="132"/>
    </row>
    <row r="4215" spans="2:15" ht="26.25" customHeight="1" x14ac:dyDescent="0.25">
      <c r="B4215" s="130"/>
      <c r="C4215" s="135"/>
      <c r="D4215" s="177"/>
      <c r="E4215" s="178"/>
      <c r="F4215" s="178"/>
      <c r="G4215" s="340"/>
      <c r="H4215" s="340"/>
      <c r="I4215" s="179"/>
      <c r="J4215" s="344"/>
      <c r="K4215" s="345"/>
      <c r="L4215" s="346"/>
      <c r="M4215" s="347"/>
      <c r="N4215" s="347"/>
      <c r="O4215" s="132"/>
    </row>
    <row r="4216" spans="2:15" ht="26.25" customHeight="1" x14ac:dyDescent="0.25">
      <c r="B4216" s="130"/>
      <c r="C4216" s="135"/>
      <c r="D4216" s="177"/>
      <c r="E4216" s="178"/>
      <c r="F4216" s="178"/>
      <c r="G4216" s="340"/>
      <c r="H4216" s="340"/>
      <c r="I4216" s="179"/>
      <c r="J4216" s="344"/>
      <c r="K4216" s="345"/>
      <c r="L4216" s="346"/>
      <c r="M4216" s="347"/>
      <c r="N4216" s="347"/>
      <c r="O4216" s="132"/>
    </row>
    <row r="4217" spans="2:15" ht="26.25" customHeight="1" x14ac:dyDescent="0.25">
      <c r="B4217" s="130"/>
      <c r="C4217" s="135"/>
      <c r="D4217" s="177"/>
      <c r="E4217" s="178"/>
      <c r="F4217" s="178"/>
      <c r="G4217" s="340"/>
      <c r="H4217" s="340"/>
      <c r="I4217" s="179"/>
      <c r="J4217" s="344"/>
      <c r="K4217" s="345"/>
      <c r="L4217" s="346"/>
      <c r="M4217" s="347"/>
      <c r="N4217" s="347"/>
      <c r="O4217" s="132"/>
    </row>
    <row r="4218" spans="2:15" ht="26.25" customHeight="1" x14ac:dyDescent="0.25">
      <c r="B4218" s="130"/>
      <c r="C4218" s="135"/>
      <c r="D4218" s="177"/>
      <c r="E4218" s="178"/>
      <c r="F4218" s="178"/>
      <c r="G4218" s="340"/>
      <c r="H4218" s="340"/>
      <c r="I4218" s="179"/>
      <c r="J4218" s="344"/>
      <c r="K4218" s="345"/>
      <c r="L4218" s="346"/>
      <c r="M4218" s="347"/>
      <c r="N4218" s="347"/>
      <c r="O4218" s="132"/>
    </row>
    <row r="4219" spans="2:15" ht="26.25" customHeight="1" x14ac:dyDescent="0.25">
      <c r="B4219" s="130"/>
      <c r="C4219" s="135"/>
      <c r="D4219" s="177"/>
      <c r="E4219" s="178"/>
      <c r="F4219" s="178"/>
      <c r="G4219" s="340"/>
      <c r="H4219" s="340"/>
      <c r="I4219" s="179"/>
      <c r="J4219" s="344"/>
      <c r="K4219" s="345"/>
      <c r="L4219" s="346"/>
      <c r="M4219" s="347"/>
      <c r="N4219" s="347"/>
      <c r="O4219" s="132"/>
    </row>
    <row r="4220" spans="2:15" ht="26.25" customHeight="1" x14ac:dyDescent="0.25">
      <c r="B4220" s="130"/>
      <c r="C4220" s="135"/>
      <c r="D4220" s="177"/>
      <c r="E4220" s="178"/>
      <c r="F4220" s="178"/>
      <c r="G4220" s="340"/>
      <c r="H4220" s="340"/>
      <c r="I4220" s="179"/>
      <c r="J4220" s="344"/>
      <c r="K4220" s="345"/>
      <c r="L4220" s="346"/>
      <c r="M4220" s="347"/>
      <c r="N4220" s="347"/>
      <c r="O4220" s="132"/>
    </row>
    <row r="4221" spans="2:15" ht="26.25" customHeight="1" x14ac:dyDescent="0.25">
      <c r="B4221" s="130"/>
      <c r="C4221" s="135"/>
      <c r="D4221" s="177"/>
      <c r="E4221" s="178"/>
      <c r="F4221" s="178"/>
      <c r="G4221" s="340"/>
      <c r="H4221" s="340"/>
      <c r="I4221" s="179"/>
      <c r="J4221" s="344"/>
      <c r="K4221" s="345"/>
      <c r="L4221" s="346"/>
      <c r="M4221" s="347"/>
      <c r="N4221" s="347"/>
      <c r="O4221" s="132"/>
    </row>
    <row r="4222" spans="2:15" ht="26.25" customHeight="1" x14ac:dyDescent="0.25">
      <c r="B4222" s="130"/>
      <c r="C4222" s="135"/>
      <c r="D4222" s="177"/>
      <c r="E4222" s="178"/>
      <c r="F4222" s="178"/>
      <c r="G4222" s="340"/>
      <c r="H4222" s="340"/>
      <c r="I4222" s="179"/>
      <c r="J4222" s="344"/>
      <c r="K4222" s="345"/>
      <c r="L4222" s="346"/>
      <c r="M4222" s="347"/>
      <c r="N4222" s="347"/>
      <c r="O4222" s="132"/>
    </row>
    <row r="4223" spans="2:15" ht="26.25" customHeight="1" x14ac:dyDescent="0.25">
      <c r="B4223" s="130"/>
      <c r="C4223" s="135"/>
      <c r="D4223" s="177"/>
      <c r="E4223" s="178"/>
      <c r="F4223" s="178"/>
      <c r="G4223" s="340"/>
      <c r="H4223" s="340"/>
      <c r="I4223" s="179"/>
      <c r="J4223" s="344"/>
      <c r="K4223" s="345"/>
      <c r="L4223" s="346"/>
      <c r="M4223" s="347"/>
      <c r="N4223" s="347"/>
      <c r="O4223" s="132"/>
    </row>
    <row r="4224" spans="2:15" ht="26.25" customHeight="1" x14ac:dyDescent="0.25">
      <c r="B4224" s="130"/>
      <c r="C4224" s="135"/>
      <c r="D4224" s="177"/>
      <c r="E4224" s="178"/>
      <c r="F4224" s="178"/>
      <c r="G4224" s="340"/>
      <c r="H4224" s="340"/>
      <c r="I4224" s="179"/>
      <c r="J4224" s="344"/>
      <c r="K4224" s="345"/>
      <c r="L4224" s="346"/>
      <c r="M4224" s="347"/>
      <c r="N4224" s="347"/>
      <c r="O4224" s="132"/>
    </row>
    <row r="4225" spans="2:15" ht="26.25" customHeight="1" x14ac:dyDescent="0.25">
      <c r="B4225" s="130"/>
      <c r="C4225" s="135"/>
      <c r="D4225" s="177"/>
      <c r="E4225" s="178"/>
      <c r="F4225" s="178"/>
      <c r="G4225" s="340"/>
      <c r="H4225" s="340"/>
      <c r="I4225" s="179"/>
      <c r="J4225" s="344"/>
      <c r="K4225" s="345"/>
      <c r="L4225" s="346"/>
      <c r="M4225" s="347"/>
      <c r="N4225" s="347"/>
      <c r="O4225" s="132"/>
    </row>
    <row r="4226" spans="2:15" ht="26.25" customHeight="1" x14ac:dyDescent="0.25">
      <c r="B4226" s="130"/>
      <c r="C4226" s="135"/>
      <c r="D4226" s="177"/>
      <c r="E4226" s="178"/>
      <c r="F4226" s="178"/>
      <c r="G4226" s="340"/>
      <c r="H4226" s="340"/>
      <c r="I4226" s="179"/>
      <c r="J4226" s="344"/>
      <c r="K4226" s="345"/>
      <c r="L4226" s="346"/>
      <c r="M4226" s="347"/>
      <c r="N4226" s="347"/>
      <c r="O4226" s="132"/>
    </row>
    <row r="4227" spans="2:15" ht="26.25" customHeight="1" x14ac:dyDescent="0.25">
      <c r="B4227" s="130"/>
      <c r="C4227" s="135"/>
      <c r="D4227" s="177"/>
      <c r="E4227" s="178"/>
      <c r="F4227" s="178"/>
      <c r="G4227" s="340"/>
      <c r="H4227" s="340"/>
      <c r="I4227" s="179"/>
      <c r="J4227" s="344"/>
      <c r="K4227" s="345"/>
      <c r="L4227" s="346"/>
      <c r="M4227" s="347"/>
      <c r="N4227" s="347"/>
      <c r="O4227" s="132"/>
    </row>
    <row r="4228" spans="2:15" ht="26.25" customHeight="1" x14ac:dyDescent="0.25">
      <c r="B4228" s="130"/>
      <c r="C4228" s="135"/>
      <c r="D4228" s="177"/>
      <c r="E4228" s="178"/>
      <c r="F4228" s="178"/>
      <c r="G4228" s="340"/>
      <c r="H4228" s="340"/>
      <c r="I4228" s="179"/>
      <c r="J4228" s="344"/>
      <c r="K4228" s="345"/>
      <c r="L4228" s="346"/>
      <c r="M4228" s="347"/>
      <c r="N4228" s="347"/>
      <c r="O4228" s="132"/>
    </row>
    <row r="4229" spans="2:15" ht="26.25" customHeight="1" x14ac:dyDescent="0.25">
      <c r="B4229" s="130"/>
      <c r="C4229" s="135"/>
      <c r="D4229" s="177"/>
      <c r="E4229" s="178"/>
      <c r="F4229" s="178"/>
      <c r="G4229" s="340"/>
      <c r="H4229" s="340"/>
      <c r="I4229" s="179"/>
      <c r="J4229" s="344"/>
      <c r="K4229" s="345"/>
      <c r="L4229" s="346"/>
      <c r="M4229" s="347"/>
      <c r="N4229" s="347"/>
      <c r="O4229" s="132"/>
    </row>
    <row r="4230" spans="2:15" ht="26.25" customHeight="1" x14ac:dyDescent="0.25">
      <c r="B4230" s="130"/>
      <c r="C4230" s="135"/>
      <c r="D4230" s="177"/>
      <c r="E4230" s="178"/>
      <c r="F4230" s="178"/>
      <c r="G4230" s="340"/>
      <c r="H4230" s="340"/>
      <c r="I4230" s="179"/>
      <c r="J4230" s="344"/>
      <c r="K4230" s="345"/>
      <c r="L4230" s="346"/>
      <c r="M4230" s="347"/>
      <c r="N4230" s="347"/>
      <c r="O4230" s="132"/>
    </row>
    <row r="4231" spans="2:15" ht="26.25" customHeight="1" x14ac:dyDescent="0.25">
      <c r="B4231" s="130"/>
      <c r="C4231" s="135"/>
      <c r="D4231" s="177"/>
      <c r="E4231" s="178"/>
      <c r="F4231" s="178"/>
      <c r="G4231" s="340"/>
      <c r="H4231" s="340"/>
      <c r="I4231" s="179"/>
      <c r="J4231" s="344"/>
      <c r="K4231" s="345"/>
      <c r="L4231" s="346"/>
      <c r="M4231" s="347"/>
      <c r="N4231" s="347"/>
      <c r="O4231" s="132"/>
    </row>
    <row r="4232" spans="2:15" ht="26.25" customHeight="1" x14ac:dyDescent="0.25">
      <c r="B4232" s="130"/>
      <c r="C4232" s="135"/>
      <c r="D4232" s="177"/>
      <c r="E4232" s="178"/>
      <c r="F4232" s="178"/>
      <c r="G4232" s="340"/>
      <c r="H4232" s="340"/>
      <c r="I4232" s="179"/>
      <c r="J4232" s="344"/>
      <c r="K4232" s="345"/>
      <c r="L4232" s="346"/>
      <c r="M4232" s="347"/>
      <c r="N4232" s="347"/>
      <c r="O4232" s="132"/>
    </row>
    <row r="4233" spans="2:15" ht="26.25" customHeight="1" x14ac:dyDescent="0.25">
      <c r="B4233" s="130"/>
      <c r="C4233" s="135"/>
      <c r="D4233" s="177"/>
      <c r="E4233" s="178"/>
      <c r="F4233" s="178"/>
      <c r="G4233" s="340"/>
      <c r="H4233" s="340"/>
      <c r="I4233" s="179"/>
      <c r="J4233" s="344"/>
      <c r="K4233" s="345"/>
      <c r="L4233" s="346"/>
      <c r="M4233" s="347"/>
      <c r="N4233" s="347"/>
      <c r="O4233" s="132"/>
    </row>
    <row r="4234" spans="2:15" ht="26.25" customHeight="1" x14ac:dyDescent="0.25">
      <c r="B4234" s="130"/>
      <c r="C4234" s="135"/>
      <c r="D4234" s="177"/>
      <c r="E4234" s="178"/>
      <c r="F4234" s="178"/>
      <c r="G4234" s="340"/>
      <c r="H4234" s="340"/>
      <c r="I4234" s="179"/>
      <c r="J4234" s="344"/>
      <c r="K4234" s="345"/>
      <c r="L4234" s="346"/>
      <c r="M4234" s="347"/>
      <c r="N4234" s="347"/>
      <c r="O4234" s="132"/>
    </row>
    <row r="4235" spans="2:15" ht="26.25" customHeight="1" x14ac:dyDescent="0.25">
      <c r="B4235" s="130"/>
      <c r="C4235" s="135"/>
      <c r="D4235" s="177"/>
      <c r="E4235" s="178"/>
      <c r="F4235" s="178"/>
      <c r="G4235" s="340"/>
      <c r="H4235" s="340"/>
      <c r="I4235" s="179"/>
      <c r="J4235" s="344"/>
      <c r="K4235" s="345"/>
      <c r="L4235" s="346"/>
      <c r="M4235" s="347"/>
      <c r="N4235" s="347"/>
      <c r="O4235" s="132"/>
    </row>
    <row r="4236" spans="2:15" ht="26.25" customHeight="1" x14ac:dyDescent="0.25">
      <c r="B4236" s="130"/>
      <c r="C4236" s="135"/>
      <c r="D4236" s="177"/>
      <c r="E4236" s="178"/>
      <c r="F4236" s="178"/>
      <c r="G4236" s="340"/>
      <c r="H4236" s="340"/>
      <c r="I4236" s="179"/>
      <c r="J4236" s="344"/>
      <c r="K4236" s="345"/>
      <c r="L4236" s="346"/>
      <c r="M4236" s="347"/>
      <c r="N4236" s="347"/>
      <c r="O4236" s="132"/>
    </row>
    <row r="4237" spans="2:15" ht="26.25" customHeight="1" x14ac:dyDescent="0.25">
      <c r="B4237" s="130"/>
      <c r="C4237" s="135"/>
      <c r="D4237" s="177"/>
      <c r="E4237" s="178"/>
      <c r="F4237" s="178"/>
      <c r="G4237" s="340"/>
      <c r="H4237" s="340"/>
      <c r="I4237" s="179"/>
      <c r="J4237" s="344"/>
      <c r="K4237" s="345"/>
      <c r="L4237" s="346"/>
      <c r="M4237" s="347"/>
      <c r="N4237" s="347"/>
      <c r="O4237" s="132"/>
    </row>
    <row r="4238" spans="2:15" ht="26.25" customHeight="1" x14ac:dyDescent="0.25">
      <c r="B4238" s="130"/>
      <c r="C4238" s="135"/>
      <c r="D4238" s="177"/>
      <c r="E4238" s="178"/>
      <c r="F4238" s="178"/>
      <c r="G4238" s="340"/>
      <c r="H4238" s="340"/>
      <c r="I4238" s="179"/>
      <c r="J4238" s="344"/>
      <c r="K4238" s="345"/>
      <c r="L4238" s="346"/>
      <c r="M4238" s="347"/>
      <c r="N4238" s="347"/>
      <c r="O4238" s="132"/>
    </row>
    <row r="4239" spans="2:15" ht="26.25" customHeight="1" x14ac:dyDescent="0.25">
      <c r="B4239" s="130"/>
      <c r="C4239" s="135"/>
      <c r="D4239" s="177"/>
      <c r="E4239" s="178"/>
      <c r="F4239" s="178"/>
      <c r="G4239" s="340"/>
      <c r="H4239" s="340"/>
      <c r="I4239" s="179"/>
      <c r="J4239" s="344"/>
      <c r="K4239" s="345"/>
      <c r="L4239" s="346"/>
      <c r="M4239" s="347"/>
      <c r="N4239" s="347"/>
      <c r="O4239" s="132"/>
    </row>
    <row r="4240" spans="2:15" ht="26.25" customHeight="1" x14ac:dyDescent="0.25">
      <c r="B4240" s="130"/>
      <c r="C4240" s="135"/>
      <c r="D4240" s="177"/>
      <c r="E4240" s="178"/>
      <c r="F4240" s="178"/>
      <c r="G4240" s="340"/>
      <c r="H4240" s="340"/>
      <c r="I4240" s="179"/>
      <c r="J4240" s="344"/>
      <c r="K4240" s="345"/>
      <c r="L4240" s="346"/>
      <c r="M4240" s="347"/>
      <c r="N4240" s="347"/>
      <c r="O4240" s="132"/>
    </row>
    <row r="4241" spans="2:15" ht="26.25" customHeight="1" x14ac:dyDescent="0.25">
      <c r="B4241" s="130"/>
      <c r="C4241" s="135"/>
      <c r="D4241" s="177"/>
      <c r="E4241" s="178"/>
      <c r="F4241" s="178"/>
      <c r="G4241" s="340"/>
      <c r="H4241" s="340"/>
      <c r="I4241" s="179"/>
      <c r="J4241" s="344"/>
      <c r="K4241" s="345"/>
      <c r="L4241" s="346"/>
      <c r="M4241" s="347"/>
      <c r="N4241" s="347"/>
      <c r="O4241" s="132"/>
    </row>
    <row r="4242" spans="2:15" ht="26.25" customHeight="1" x14ac:dyDescent="0.25">
      <c r="B4242" s="130"/>
      <c r="C4242" s="135"/>
      <c r="D4242" s="177"/>
      <c r="E4242" s="178"/>
      <c r="F4242" s="178"/>
      <c r="G4242" s="340"/>
      <c r="H4242" s="340"/>
      <c r="I4242" s="179"/>
      <c r="J4242" s="344"/>
      <c r="K4242" s="345"/>
      <c r="L4242" s="346"/>
      <c r="M4242" s="347"/>
      <c r="N4242" s="347"/>
      <c r="O4242" s="132"/>
    </row>
    <row r="4243" spans="2:15" ht="26.25" customHeight="1" x14ac:dyDescent="0.25">
      <c r="B4243" s="130"/>
      <c r="C4243" s="135"/>
      <c r="D4243" s="177"/>
      <c r="E4243" s="178"/>
      <c r="F4243" s="178"/>
      <c r="G4243" s="340"/>
      <c r="H4243" s="340"/>
      <c r="I4243" s="179"/>
      <c r="J4243" s="344"/>
      <c r="K4243" s="345"/>
      <c r="L4243" s="346"/>
      <c r="M4243" s="347"/>
      <c r="N4243" s="347"/>
      <c r="O4243" s="132"/>
    </row>
    <row r="4244" spans="2:15" ht="26.25" customHeight="1" x14ac:dyDescent="0.25">
      <c r="B4244" s="130"/>
      <c r="C4244" s="135"/>
      <c r="D4244" s="177"/>
      <c r="E4244" s="178"/>
      <c r="F4244" s="178"/>
      <c r="G4244" s="340"/>
      <c r="H4244" s="340"/>
      <c r="I4244" s="179"/>
      <c r="J4244" s="344"/>
      <c r="K4244" s="345"/>
      <c r="L4244" s="346"/>
      <c r="M4244" s="347"/>
      <c r="N4244" s="347"/>
      <c r="O4244" s="132"/>
    </row>
    <row r="4245" spans="2:15" ht="26.25" customHeight="1" x14ac:dyDescent="0.25">
      <c r="B4245" s="130"/>
      <c r="C4245" s="135"/>
      <c r="D4245" s="177"/>
      <c r="E4245" s="178"/>
      <c r="F4245" s="178"/>
      <c r="G4245" s="340"/>
      <c r="H4245" s="340"/>
      <c r="I4245" s="179"/>
      <c r="J4245" s="344"/>
      <c r="K4245" s="345"/>
      <c r="L4245" s="346"/>
      <c r="M4245" s="347"/>
      <c r="N4245" s="347"/>
      <c r="O4245" s="132"/>
    </row>
    <row r="4246" spans="2:15" ht="26.25" customHeight="1" x14ac:dyDescent="0.25">
      <c r="B4246" s="130"/>
      <c r="C4246" s="135"/>
      <c r="D4246" s="177"/>
      <c r="E4246" s="178"/>
      <c r="F4246" s="178"/>
      <c r="G4246" s="340"/>
      <c r="H4246" s="340"/>
      <c r="I4246" s="179"/>
      <c r="J4246" s="344"/>
      <c r="K4246" s="345"/>
      <c r="L4246" s="346"/>
      <c r="M4246" s="347"/>
      <c r="N4246" s="347"/>
      <c r="O4246" s="132"/>
    </row>
    <row r="4247" spans="2:15" ht="26.25" customHeight="1" x14ac:dyDescent="0.25">
      <c r="B4247" s="130"/>
      <c r="C4247" s="135"/>
      <c r="D4247" s="177"/>
      <c r="E4247" s="178"/>
      <c r="F4247" s="178"/>
      <c r="G4247" s="340"/>
      <c r="H4247" s="340"/>
      <c r="I4247" s="179"/>
      <c r="J4247" s="344"/>
      <c r="K4247" s="345"/>
      <c r="L4247" s="346"/>
      <c r="M4247" s="347"/>
      <c r="N4247" s="347"/>
      <c r="O4247" s="132"/>
    </row>
    <row r="4248" spans="2:15" ht="26.25" customHeight="1" x14ac:dyDescent="0.25">
      <c r="B4248" s="130"/>
      <c r="C4248" s="135"/>
      <c r="D4248" s="177"/>
      <c r="E4248" s="178"/>
      <c r="F4248" s="178"/>
      <c r="G4248" s="340"/>
      <c r="H4248" s="340"/>
      <c r="I4248" s="179"/>
      <c r="J4248" s="344"/>
      <c r="K4248" s="345"/>
      <c r="L4248" s="346"/>
      <c r="M4248" s="347"/>
      <c r="N4248" s="347"/>
      <c r="O4248" s="132"/>
    </row>
    <row r="4249" spans="2:15" ht="26.25" customHeight="1" x14ac:dyDescent="0.25">
      <c r="B4249" s="130"/>
      <c r="C4249" s="135"/>
      <c r="D4249" s="177"/>
      <c r="E4249" s="178"/>
      <c r="F4249" s="178"/>
      <c r="G4249" s="340"/>
      <c r="H4249" s="340"/>
      <c r="I4249" s="179"/>
      <c r="J4249" s="344"/>
      <c r="K4249" s="345"/>
      <c r="L4249" s="346"/>
      <c r="M4249" s="347"/>
      <c r="N4249" s="347"/>
      <c r="O4249" s="132"/>
    </row>
    <row r="4250" spans="2:15" ht="26.25" customHeight="1" x14ac:dyDescent="0.25">
      <c r="B4250" s="130"/>
      <c r="C4250" s="135"/>
      <c r="D4250" s="177"/>
      <c r="E4250" s="178"/>
      <c r="F4250" s="178"/>
      <c r="G4250" s="340"/>
      <c r="H4250" s="340"/>
      <c r="I4250" s="179"/>
      <c r="J4250" s="344"/>
      <c r="K4250" s="345"/>
      <c r="L4250" s="346"/>
      <c r="M4250" s="347"/>
      <c r="N4250" s="347"/>
      <c r="O4250" s="132"/>
    </row>
    <row r="4251" spans="2:15" ht="26.25" customHeight="1" x14ac:dyDescent="0.25">
      <c r="B4251" s="130"/>
      <c r="C4251" s="135"/>
      <c r="D4251" s="177"/>
      <c r="E4251" s="178"/>
      <c r="F4251" s="178"/>
      <c r="G4251" s="340"/>
      <c r="H4251" s="340"/>
      <c r="I4251" s="179"/>
      <c r="J4251" s="344"/>
      <c r="K4251" s="345"/>
      <c r="L4251" s="346"/>
      <c r="M4251" s="347"/>
      <c r="N4251" s="347"/>
      <c r="O4251" s="132"/>
    </row>
    <row r="4252" spans="2:15" ht="26.25" customHeight="1" x14ac:dyDescent="0.25">
      <c r="B4252" s="130"/>
      <c r="C4252" s="135"/>
      <c r="D4252" s="177"/>
      <c r="E4252" s="178"/>
      <c r="F4252" s="178"/>
      <c r="G4252" s="340"/>
      <c r="H4252" s="340"/>
      <c r="I4252" s="179"/>
      <c r="J4252" s="344"/>
      <c r="K4252" s="345"/>
      <c r="L4252" s="346"/>
      <c r="M4252" s="347"/>
      <c r="N4252" s="347"/>
      <c r="O4252" s="132"/>
    </row>
    <row r="4253" spans="2:15" ht="26.25" customHeight="1" x14ac:dyDescent="0.25">
      <c r="B4253" s="130"/>
      <c r="C4253" s="135"/>
      <c r="D4253" s="177"/>
      <c r="E4253" s="178"/>
      <c r="F4253" s="178"/>
      <c r="G4253" s="340"/>
      <c r="H4253" s="340"/>
      <c r="I4253" s="179"/>
      <c r="J4253" s="344"/>
      <c r="K4253" s="345"/>
      <c r="L4253" s="346"/>
      <c r="M4253" s="347"/>
      <c r="N4253" s="347"/>
      <c r="O4253" s="132"/>
    </row>
    <row r="4254" spans="2:15" ht="26.25" customHeight="1" x14ac:dyDescent="0.25">
      <c r="B4254" s="130"/>
      <c r="C4254" s="135"/>
      <c r="D4254" s="177"/>
      <c r="E4254" s="178"/>
      <c r="F4254" s="178"/>
      <c r="G4254" s="340"/>
      <c r="H4254" s="340"/>
      <c r="I4254" s="179"/>
      <c r="J4254" s="344"/>
      <c r="K4254" s="345"/>
      <c r="L4254" s="346"/>
      <c r="M4254" s="347"/>
      <c r="N4254" s="347"/>
      <c r="O4254" s="132"/>
    </row>
    <row r="4255" spans="2:15" ht="26.25" customHeight="1" x14ac:dyDescent="0.25">
      <c r="B4255" s="130"/>
      <c r="C4255" s="135"/>
      <c r="D4255" s="177"/>
      <c r="E4255" s="178"/>
      <c r="F4255" s="178"/>
      <c r="G4255" s="340"/>
      <c r="H4255" s="340"/>
      <c r="I4255" s="179"/>
      <c r="J4255" s="344"/>
      <c r="K4255" s="345"/>
      <c r="L4255" s="346"/>
      <c r="M4255" s="347"/>
      <c r="N4255" s="347"/>
      <c r="O4255" s="132"/>
    </row>
    <row r="4256" spans="2:15" ht="26.25" customHeight="1" x14ac:dyDescent="0.25">
      <c r="B4256" s="130"/>
      <c r="C4256" s="135"/>
      <c r="D4256" s="177"/>
      <c r="E4256" s="178"/>
      <c r="F4256" s="178"/>
      <c r="G4256" s="340"/>
      <c r="H4256" s="340"/>
      <c r="I4256" s="179"/>
      <c r="J4256" s="344"/>
      <c r="K4256" s="345"/>
      <c r="L4256" s="346"/>
      <c r="M4256" s="347"/>
      <c r="N4256" s="347"/>
      <c r="O4256" s="132"/>
    </row>
    <row r="4257" spans="2:15" ht="26.25" customHeight="1" x14ac:dyDescent="0.25">
      <c r="B4257" s="130"/>
      <c r="C4257" s="135"/>
      <c r="D4257" s="177"/>
      <c r="E4257" s="178"/>
      <c r="F4257" s="178"/>
      <c r="G4257" s="340"/>
      <c r="H4257" s="340"/>
      <c r="I4257" s="179"/>
      <c r="J4257" s="344"/>
      <c r="K4257" s="345"/>
      <c r="L4257" s="346"/>
      <c r="M4257" s="347"/>
      <c r="N4257" s="347"/>
      <c r="O4257" s="132"/>
    </row>
    <row r="4258" spans="2:15" ht="26.25" customHeight="1" x14ac:dyDescent="0.25">
      <c r="B4258" s="130"/>
      <c r="C4258" s="135"/>
      <c r="D4258" s="177"/>
      <c r="E4258" s="178"/>
      <c r="F4258" s="178"/>
      <c r="G4258" s="340"/>
      <c r="H4258" s="340"/>
      <c r="I4258" s="179"/>
      <c r="J4258" s="344"/>
      <c r="K4258" s="345"/>
      <c r="L4258" s="346"/>
      <c r="M4258" s="347"/>
      <c r="N4258" s="347"/>
      <c r="O4258" s="132"/>
    </row>
    <row r="4259" spans="2:15" ht="26.25" customHeight="1" x14ac:dyDescent="0.25">
      <c r="B4259" s="130"/>
      <c r="C4259" s="135"/>
      <c r="D4259" s="177"/>
      <c r="E4259" s="178"/>
      <c r="F4259" s="178"/>
      <c r="G4259" s="340"/>
      <c r="H4259" s="340"/>
      <c r="I4259" s="179"/>
      <c r="J4259" s="344"/>
      <c r="K4259" s="345"/>
      <c r="L4259" s="346"/>
      <c r="M4259" s="347"/>
      <c r="N4259" s="347"/>
      <c r="O4259" s="132"/>
    </row>
    <row r="4260" spans="2:15" ht="26.25" customHeight="1" x14ac:dyDescent="0.25">
      <c r="B4260" s="130"/>
      <c r="C4260" s="135"/>
      <c r="D4260" s="177"/>
      <c r="E4260" s="178"/>
      <c r="F4260" s="178"/>
      <c r="G4260" s="340"/>
      <c r="H4260" s="340"/>
      <c r="I4260" s="179"/>
      <c r="J4260" s="344"/>
      <c r="K4260" s="345"/>
      <c r="L4260" s="346"/>
      <c r="M4260" s="347"/>
      <c r="N4260" s="347"/>
      <c r="O4260" s="132"/>
    </row>
    <row r="4261" spans="2:15" ht="26.25" customHeight="1" x14ac:dyDescent="0.25">
      <c r="B4261" s="130"/>
      <c r="C4261" s="135"/>
      <c r="D4261" s="177"/>
      <c r="E4261" s="178"/>
      <c r="F4261" s="178"/>
      <c r="G4261" s="340"/>
      <c r="H4261" s="340"/>
      <c r="I4261" s="179"/>
      <c r="J4261" s="344"/>
      <c r="K4261" s="345"/>
      <c r="L4261" s="346"/>
      <c r="M4261" s="347"/>
      <c r="N4261" s="347"/>
      <c r="O4261" s="132"/>
    </row>
    <row r="4262" spans="2:15" ht="26.25" customHeight="1" x14ac:dyDescent="0.25">
      <c r="B4262" s="130"/>
      <c r="C4262" s="135"/>
      <c r="D4262" s="177"/>
      <c r="E4262" s="178"/>
      <c r="F4262" s="178"/>
      <c r="G4262" s="340"/>
      <c r="H4262" s="340"/>
      <c r="I4262" s="179"/>
      <c r="J4262" s="344"/>
      <c r="K4262" s="345"/>
      <c r="L4262" s="346"/>
      <c r="M4262" s="347"/>
      <c r="N4262" s="347"/>
      <c r="O4262" s="132"/>
    </row>
    <row r="4263" spans="2:15" ht="26.25" customHeight="1" x14ac:dyDescent="0.25">
      <c r="B4263" s="130"/>
      <c r="C4263" s="135"/>
      <c r="D4263" s="177"/>
      <c r="E4263" s="178"/>
      <c r="F4263" s="178"/>
      <c r="G4263" s="340"/>
      <c r="H4263" s="340"/>
      <c r="I4263" s="179"/>
      <c r="J4263" s="344"/>
      <c r="K4263" s="345"/>
      <c r="L4263" s="346"/>
      <c r="M4263" s="347"/>
      <c r="N4263" s="347"/>
      <c r="O4263" s="132"/>
    </row>
    <row r="4264" spans="2:15" ht="26.25" customHeight="1" x14ac:dyDescent="0.25">
      <c r="B4264" s="130"/>
      <c r="C4264" s="135"/>
      <c r="D4264" s="177"/>
      <c r="E4264" s="178"/>
      <c r="F4264" s="178"/>
      <c r="G4264" s="340"/>
      <c r="H4264" s="340"/>
      <c r="I4264" s="179"/>
      <c r="J4264" s="344"/>
      <c r="K4264" s="345"/>
      <c r="L4264" s="346"/>
      <c r="M4264" s="347"/>
      <c r="N4264" s="347"/>
      <c r="O4264" s="132"/>
    </row>
    <row r="4265" spans="2:15" ht="26.25" customHeight="1" x14ac:dyDescent="0.25">
      <c r="B4265" s="130"/>
      <c r="C4265" s="135"/>
      <c r="D4265" s="177"/>
      <c r="E4265" s="178"/>
      <c r="F4265" s="178"/>
      <c r="G4265" s="340"/>
      <c r="H4265" s="340"/>
      <c r="I4265" s="179"/>
      <c r="J4265" s="344"/>
      <c r="K4265" s="345"/>
      <c r="L4265" s="346"/>
      <c r="M4265" s="347"/>
      <c r="N4265" s="347"/>
      <c r="O4265" s="132"/>
    </row>
    <row r="4266" spans="2:15" ht="26.25" customHeight="1" x14ac:dyDescent="0.25">
      <c r="B4266" s="130"/>
      <c r="C4266" s="135"/>
      <c r="D4266" s="177"/>
      <c r="E4266" s="178"/>
      <c r="F4266" s="178"/>
      <c r="G4266" s="340"/>
      <c r="H4266" s="340"/>
      <c r="I4266" s="179"/>
      <c r="J4266" s="344"/>
      <c r="K4266" s="345"/>
      <c r="L4266" s="346"/>
      <c r="M4266" s="347"/>
      <c r="N4266" s="347"/>
      <c r="O4266" s="132"/>
    </row>
    <row r="4267" spans="2:15" ht="26.25" customHeight="1" x14ac:dyDescent="0.25">
      <c r="B4267" s="130"/>
      <c r="C4267" s="135"/>
      <c r="D4267" s="177"/>
      <c r="E4267" s="178"/>
      <c r="F4267" s="178"/>
      <c r="G4267" s="340"/>
      <c r="H4267" s="340"/>
      <c r="I4267" s="179"/>
      <c r="J4267" s="344"/>
      <c r="K4267" s="345"/>
      <c r="L4267" s="346"/>
      <c r="M4267" s="347"/>
      <c r="N4267" s="347"/>
      <c r="O4267" s="132"/>
    </row>
    <row r="4268" spans="2:15" ht="26.25" customHeight="1" x14ac:dyDescent="0.25">
      <c r="B4268" s="130"/>
      <c r="C4268" s="135"/>
      <c r="D4268" s="177"/>
      <c r="E4268" s="178"/>
      <c r="F4268" s="178"/>
      <c r="G4268" s="340"/>
      <c r="H4268" s="340"/>
      <c r="I4268" s="179"/>
      <c r="J4268" s="344"/>
      <c r="K4268" s="345"/>
      <c r="L4268" s="346"/>
      <c r="M4268" s="347"/>
      <c r="N4268" s="347"/>
      <c r="O4268" s="132"/>
    </row>
    <row r="4269" spans="2:15" ht="26.25" customHeight="1" x14ac:dyDescent="0.25">
      <c r="B4269" s="130"/>
      <c r="C4269" s="135"/>
      <c r="D4269" s="177"/>
      <c r="E4269" s="178"/>
      <c r="F4269" s="178"/>
      <c r="G4269" s="340"/>
      <c r="H4269" s="340"/>
      <c r="I4269" s="179"/>
      <c r="J4269" s="344"/>
      <c r="K4269" s="345"/>
      <c r="L4269" s="346"/>
      <c r="M4269" s="347"/>
      <c r="N4269" s="347"/>
      <c r="O4269" s="132"/>
    </row>
    <row r="4270" spans="2:15" ht="26.25" customHeight="1" x14ac:dyDescent="0.25">
      <c r="B4270" s="130"/>
      <c r="C4270" s="135"/>
      <c r="D4270" s="177"/>
      <c r="E4270" s="178"/>
      <c r="F4270" s="178"/>
      <c r="G4270" s="340"/>
      <c r="H4270" s="340"/>
      <c r="I4270" s="179"/>
      <c r="J4270" s="344"/>
      <c r="K4270" s="345"/>
      <c r="L4270" s="346"/>
      <c r="M4270" s="347"/>
      <c r="N4270" s="347"/>
      <c r="O4270" s="132"/>
    </row>
    <row r="4271" spans="2:15" ht="26.25" customHeight="1" x14ac:dyDescent="0.25">
      <c r="B4271" s="130"/>
      <c r="C4271" s="135"/>
      <c r="D4271" s="177"/>
      <c r="E4271" s="178"/>
      <c r="F4271" s="178"/>
      <c r="G4271" s="340"/>
      <c r="H4271" s="340"/>
      <c r="I4271" s="179"/>
      <c r="J4271" s="344"/>
      <c r="K4271" s="345"/>
      <c r="L4271" s="346"/>
      <c r="M4271" s="347"/>
      <c r="N4271" s="347"/>
      <c r="O4271" s="132"/>
    </row>
    <row r="4272" spans="2:15" ht="26.25" customHeight="1" x14ac:dyDescent="0.25">
      <c r="B4272" s="130"/>
      <c r="C4272" s="135"/>
      <c r="D4272" s="177"/>
      <c r="E4272" s="178"/>
      <c r="F4272" s="178"/>
      <c r="G4272" s="340"/>
      <c r="H4272" s="340"/>
      <c r="I4272" s="179"/>
      <c r="J4272" s="344"/>
      <c r="K4272" s="345"/>
      <c r="L4272" s="346"/>
      <c r="M4272" s="347"/>
      <c r="N4272" s="347"/>
      <c r="O4272" s="132"/>
    </row>
    <row r="4273" spans="2:15" ht="26.25" customHeight="1" x14ac:dyDescent="0.25">
      <c r="B4273" s="130"/>
      <c r="C4273" s="135"/>
      <c r="D4273" s="177"/>
      <c r="E4273" s="178"/>
      <c r="F4273" s="178"/>
      <c r="G4273" s="340"/>
      <c r="H4273" s="340"/>
      <c r="I4273" s="179"/>
      <c r="J4273" s="344"/>
      <c r="K4273" s="345"/>
      <c r="L4273" s="346"/>
      <c r="M4273" s="347"/>
      <c r="N4273" s="347"/>
      <c r="O4273" s="132"/>
    </row>
    <row r="4274" spans="2:15" ht="26.25" customHeight="1" x14ac:dyDescent="0.25">
      <c r="B4274" s="130"/>
      <c r="C4274" s="135"/>
      <c r="D4274" s="177"/>
      <c r="E4274" s="178"/>
      <c r="F4274" s="178"/>
      <c r="G4274" s="340"/>
      <c r="H4274" s="340"/>
      <c r="I4274" s="179"/>
      <c r="J4274" s="344"/>
      <c r="K4274" s="345"/>
      <c r="L4274" s="346"/>
      <c r="M4274" s="347"/>
      <c r="N4274" s="347"/>
      <c r="O4274" s="132"/>
    </row>
    <row r="4275" spans="2:15" ht="26.25" customHeight="1" x14ac:dyDescent="0.25">
      <c r="B4275" s="130"/>
      <c r="C4275" s="135"/>
      <c r="D4275" s="177"/>
      <c r="E4275" s="178"/>
      <c r="F4275" s="178"/>
      <c r="G4275" s="340"/>
      <c r="H4275" s="340"/>
      <c r="I4275" s="179"/>
      <c r="J4275" s="344"/>
      <c r="K4275" s="345"/>
      <c r="L4275" s="346"/>
      <c r="M4275" s="347"/>
      <c r="N4275" s="347"/>
      <c r="O4275" s="132"/>
    </row>
    <row r="4276" spans="2:15" ht="26.25" customHeight="1" x14ac:dyDescent="0.25">
      <c r="B4276" s="130"/>
      <c r="C4276" s="135"/>
      <c r="D4276" s="177"/>
      <c r="E4276" s="178"/>
      <c r="F4276" s="178"/>
      <c r="G4276" s="340"/>
      <c r="H4276" s="340"/>
      <c r="I4276" s="179"/>
      <c r="J4276" s="344"/>
      <c r="K4276" s="345"/>
      <c r="L4276" s="346"/>
      <c r="M4276" s="347"/>
      <c r="N4276" s="347"/>
      <c r="O4276" s="132"/>
    </row>
    <row r="4277" spans="2:15" ht="26.25" customHeight="1" x14ac:dyDescent="0.25">
      <c r="B4277" s="130"/>
      <c r="C4277" s="135"/>
      <c r="D4277" s="177"/>
      <c r="E4277" s="178"/>
      <c r="F4277" s="178"/>
      <c r="G4277" s="340"/>
      <c r="H4277" s="340"/>
      <c r="I4277" s="179"/>
      <c r="J4277" s="344"/>
      <c r="K4277" s="345"/>
      <c r="L4277" s="346"/>
      <c r="M4277" s="347"/>
      <c r="N4277" s="347"/>
      <c r="O4277" s="132"/>
    </row>
    <row r="4278" spans="2:15" ht="26.25" customHeight="1" x14ac:dyDescent="0.25">
      <c r="B4278" s="130"/>
      <c r="C4278" s="135"/>
      <c r="D4278" s="177"/>
      <c r="E4278" s="178"/>
      <c r="F4278" s="178"/>
      <c r="G4278" s="340"/>
      <c r="H4278" s="340"/>
      <c r="I4278" s="179"/>
      <c r="J4278" s="344"/>
      <c r="K4278" s="345"/>
      <c r="L4278" s="346"/>
      <c r="M4278" s="347"/>
      <c r="N4278" s="347"/>
      <c r="O4278" s="132"/>
    </row>
    <row r="4279" spans="2:15" ht="26.25" customHeight="1" x14ac:dyDescent="0.25">
      <c r="B4279" s="130"/>
      <c r="C4279" s="135"/>
      <c r="D4279" s="177"/>
      <c r="E4279" s="178"/>
      <c r="F4279" s="178"/>
      <c r="G4279" s="340"/>
      <c r="H4279" s="340"/>
      <c r="I4279" s="179"/>
      <c r="J4279" s="344"/>
      <c r="K4279" s="345"/>
      <c r="L4279" s="346"/>
      <c r="M4279" s="347"/>
      <c r="N4279" s="347"/>
      <c r="O4279" s="132"/>
    </row>
    <row r="4280" spans="2:15" ht="26.25" customHeight="1" x14ac:dyDescent="0.25">
      <c r="B4280" s="130"/>
      <c r="C4280" s="135"/>
      <c r="D4280" s="177"/>
      <c r="E4280" s="178"/>
      <c r="F4280" s="178"/>
      <c r="G4280" s="340"/>
      <c r="H4280" s="340"/>
      <c r="I4280" s="179"/>
      <c r="J4280" s="344"/>
      <c r="K4280" s="345"/>
      <c r="L4280" s="346"/>
      <c r="M4280" s="347"/>
      <c r="N4280" s="347"/>
      <c r="O4280" s="132"/>
    </row>
    <row r="4281" spans="2:15" ht="26.25" customHeight="1" x14ac:dyDescent="0.25">
      <c r="B4281" s="130"/>
      <c r="C4281" s="135"/>
      <c r="D4281" s="177"/>
      <c r="E4281" s="178"/>
      <c r="F4281" s="178"/>
      <c r="G4281" s="340"/>
      <c r="H4281" s="340"/>
      <c r="I4281" s="179"/>
      <c r="J4281" s="344"/>
      <c r="K4281" s="345"/>
      <c r="L4281" s="346"/>
      <c r="M4281" s="347"/>
      <c r="N4281" s="347"/>
      <c r="O4281" s="132"/>
    </row>
    <row r="4282" spans="2:15" ht="26.25" customHeight="1" x14ac:dyDescent="0.25">
      <c r="B4282" s="130"/>
      <c r="C4282" s="135"/>
      <c r="D4282" s="177"/>
      <c r="E4282" s="178"/>
      <c r="F4282" s="178"/>
      <c r="G4282" s="340"/>
      <c r="H4282" s="340"/>
      <c r="I4282" s="179"/>
      <c r="J4282" s="344"/>
      <c r="K4282" s="345"/>
      <c r="L4282" s="346"/>
      <c r="M4282" s="347"/>
      <c r="N4282" s="347"/>
      <c r="O4282" s="132"/>
    </row>
    <row r="4283" spans="2:15" ht="26.25" customHeight="1" x14ac:dyDescent="0.25">
      <c r="B4283" s="130"/>
      <c r="C4283" s="135"/>
      <c r="D4283" s="177"/>
      <c r="E4283" s="178"/>
      <c r="F4283" s="178"/>
      <c r="G4283" s="340"/>
      <c r="H4283" s="340"/>
      <c r="I4283" s="179"/>
      <c r="J4283" s="344"/>
      <c r="K4283" s="345"/>
      <c r="L4283" s="346"/>
      <c r="M4283" s="347"/>
      <c r="N4283" s="347"/>
      <c r="O4283" s="132"/>
    </row>
    <row r="4284" spans="2:15" ht="26.25" customHeight="1" x14ac:dyDescent="0.25">
      <c r="B4284" s="130"/>
      <c r="C4284" s="135"/>
      <c r="D4284" s="177"/>
      <c r="E4284" s="178"/>
      <c r="F4284" s="178"/>
      <c r="G4284" s="340"/>
      <c r="H4284" s="340"/>
      <c r="I4284" s="179"/>
      <c r="J4284" s="344"/>
      <c r="K4284" s="345"/>
      <c r="L4284" s="346"/>
      <c r="M4284" s="347"/>
      <c r="N4284" s="347"/>
      <c r="O4284" s="132"/>
    </row>
    <row r="4285" spans="2:15" ht="26.25" customHeight="1" x14ac:dyDescent="0.25">
      <c r="B4285" s="130"/>
      <c r="C4285" s="135"/>
      <c r="D4285" s="177"/>
      <c r="E4285" s="178"/>
      <c r="F4285" s="178"/>
      <c r="G4285" s="340"/>
      <c r="H4285" s="340"/>
      <c r="I4285" s="179"/>
      <c r="J4285" s="344"/>
      <c r="K4285" s="345"/>
      <c r="L4285" s="346"/>
      <c r="M4285" s="347"/>
      <c r="N4285" s="347"/>
      <c r="O4285" s="132"/>
    </row>
    <row r="4286" spans="2:15" ht="26.25" customHeight="1" x14ac:dyDescent="0.25">
      <c r="B4286" s="130"/>
      <c r="C4286" s="135"/>
      <c r="D4286" s="177"/>
      <c r="E4286" s="178"/>
      <c r="F4286" s="178"/>
      <c r="G4286" s="340"/>
      <c r="H4286" s="340"/>
      <c r="I4286" s="179"/>
      <c r="J4286" s="344"/>
      <c r="K4286" s="345"/>
      <c r="L4286" s="346"/>
      <c r="M4286" s="347"/>
      <c r="N4286" s="347"/>
      <c r="O4286" s="132"/>
    </row>
    <row r="4287" spans="2:15" ht="26.25" customHeight="1" x14ac:dyDescent="0.25">
      <c r="B4287" s="130"/>
      <c r="C4287" s="135"/>
      <c r="D4287" s="177"/>
      <c r="E4287" s="178"/>
      <c r="F4287" s="178"/>
      <c r="G4287" s="340"/>
      <c r="H4287" s="340"/>
      <c r="I4287" s="179"/>
      <c r="J4287" s="344"/>
      <c r="K4287" s="345"/>
      <c r="L4287" s="346"/>
      <c r="M4287" s="347"/>
      <c r="N4287" s="347"/>
      <c r="O4287" s="132"/>
    </row>
    <row r="4288" spans="2:15" ht="26.25" customHeight="1" x14ac:dyDescent="0.25">
      <c r="B4288" s="130"/>
      <c r="C4288" s="135"/>
      <c r="D4288" s="177"/>
      <c r="E4288" s="178"/>
      <c r="F4288" s="178"/>
      <c r="G4288" s="340"/>
      <c r="H4288" s="340"/>
      <c r="I4288" s="179"/>
      <c r="J4288" s="344"/>
      <c r="K4288" s="345"/>
      <c r="L4288" s="346"/>
      <c r="M4288" s="347"/>
      <c r="N4288" s="347"/>
      <c r="O4288" s="132"/>
    </row>
    <row r="4289" spans="2:15" ht="26.25" customHeight="1" x14ac:dyDescent="0.25">
      <c r="B4289" s="130"/>
      <c r="C4289" s="135"/>
      <c r="D4289" s="177"/>
      <c r="E4289" s="178"/>
      <c r="F4289" s="178"/>
      <c r="G4289" s="340"/>
      <c r="H4289" s="340"/>
      <c r="I4289" s="179"/>
      <c r="J4289" s="344"/>
      <c r="K4289" s="345"/>
      <c r="L4289" s="346"/>
      <c r="M4289" s="347"/>
      <c r="N4289" s="347"/>
      <c r="O4289" s="132"/>
    </row>
    <row r="4290" spans="2:15" ht="26.25" customHeight="1" x14ac:dyDescent="0.25">
      <c r="B4290" s="130"/>
      <c r="C4290" s="135"/>
      <c r="D4290" s="177"/>
      <c r="E4290" s="178"/>
      <c r="F4290" s="178"/>
      <c r="G4290" s="340"/>
      <c r="H4290" s="340"/>
      <c r="I4290" s="179"/>
      <c r="J4290" s="344"/>
      <c r="K4290" s="345"/>
      <c r="L4290" s="346"/>
      <c r="M4290" s="347"/>
      <c r="N4290" s="347"/>
      <c r="O4290" s="132"/>
    </row>
    <row r="4291" spans="2:15" ht="26.25" customHeight="1" x14ac:dyDescent="0.25">
      <c r="B4291" s="130"/>
      <c r="C4291" s="135"/>
      <c r="D4291" s="177"/>
      <c r="E4291" s="178"/>
      <c r="F4291" s="178"/>
      <c r="G4291" s="340"/>
      <c r="H4291" s="340"/>
      <c r="I4291" s="179"/>
      <c r="J4291" s="344"/>
      <c r="K4291" s="345"/>
      <c r="L4291" s="346"/>
      <c r="M4291" s="347"/>
      <c r="N4291" s="347"/>
      <c r="O4291" s="132"/>
    </row>
    <row r="4292" spans="2:15" ht="26.25" customHeight="1" x14ac:dyDescent="0.25">
      <c r="B4292" s="130"/>
      <c r="C4292" s="135"/>
      <c r="D4292" s="177"/>
      <c r="E4292" s="178"/>
      <c r="F4292" s="178"/>
      <c r="G4292" s="340"/>
      <c r="H4292" s="340"/>
      <c r="I4292" s="179"/>
      <c r="J4292" s="344"/>
      <c r="K4292" s="345"/>
      <c r="L4292" s="346"/>
      <c r="M4292" s="347"/>
      <c r="N4292" s="347"/>
      <c r="O4292" s="132"/>
    </row>
    <row r="4293" spans="2:15" ht="26.25" customHeight="1" x14ac:dyDescent="0.25">
      <c r="B4293" s="130"/>
      <c r="C4293" s="135"/>
      <c r="D4293" s="177"/>
      <c r="E4293" s="178"/>
      <c r="F4293" s="178"/>
      <c r="G4293" s="340"/>
      <c r="H4293" s="340"/>
      <c r="I4293" s="179"/>
      <c r="J4293" s="344"/>
      <c r="K4293" s="345"/>
      <c r="L4293" s="346"/>
      <c r="M4293" s="347"/>
      <c r="N4293" s="347"/>
      <c r="O4293" s="132"/>
    </row>
    <row r="4294" spans="2:15" ht="26.25" customHeight="1" x14ac:dyDescent="0.25">
      <c r="B4294" s="130"/>
      <c r="C4294" s="135"/>
      <c r="D4294" s="177"/>
      <c r="E4294" s="178"/>
      <c r="F4294" s="178"/>
      <c r="G4294" s="340"/>
      <c r="H4294" s="340"/>
      <c r="I4294" s="179"/>
      <c r="J4294" s="344"/>
      <c r="K4294" s="345"/>
      <c r="L4294" s="346"/>
      <c r="M4294" s="347"/>
      <c r="N4294" s="347"/>
      <c r="O4294" s="132"/>
    </row>
    <row r="4295" spans="2:15" ht="26.25" customHeight="1" x14ac:dyDescent="0.25">
      <c r="B4295" s="130"/>
      <c r="C4295" s="135"/>
      <c r="D4295" s="177"/>
      <c r="E4295" s="178"/>
      <c r="F4295" s="178"/>
      <c r="G4295" s="340"/>
      <c r="H4295" s="340"/>
      <c r="I4295" s="179"/>
      <c r="J4295" s="344"/>
      <c r="K4295" s="345"/>
      <c r="L4295" s="346"/>
      <c r="M4295" s="347"/>
      <c r="N4295" s="347"/>
      <c r="O4295" s="132"/>
    </row>
    <row r="4296" spans="2:15" ht="26.25" customHeight="1" x14ac:dyDescent="0.25">
      <c r="B4296" s="130"/>
      <c r="C4296" s="135"/>
      <c r="D4296" s="177"/>
      <c r="E4296" s="178"/>
      <c r="F4296" s="178"/>
      <c r="G4296" s="340"/>
      <c r="H4296" s="340"/>
      <c r="I4296" s="179"/>
      <c r="J4296" s="344"/>
      <c r="K4296" s="345"/>
      <c r="L4296" s="346"/>
      <c r="M4296" s="347"/>
      <c r="N4296" s="347"/>
      <c r="O4296" s="132"/>
    </row>
    <row r="4297" spans="2:15" ht="26.25" customHeight="1" x14ac:dyDescent="0.25">
      <c r="B4297" s="130"/>
      <c r="C4297" s="135"/>
      <c r="D4297" s="177"/>
      <c r="E4297" s="178"/>
      <c r="F4297" s="178"/>
      <c r="G4297" s="340"/>
      <c r="H4297" s="340"/>
      <c r="I4297" s="179"/>
      <c r="J4297" s="344"/>
      <c r="K4297" s="345"/>
      <c r="L4297" s="346"/>
      <c r="M4297" s="347"/>
      <c r="N4297" s="347"/>
      <c r="O4297" s="132"/>
    </row>
    <row r="4298" spans="2:15" ht="26.25" customHeight="1" x14ac:dyDescent="0.25">
      <c r="B4298" s="130"/>
      <c r="C4298" s="135"/>
      <c r="D4298" s="177"/>
      <c r="E4298" s="178"/>
      <c r="F4298" s="178"/>
      <c r="G4298" s="340"/>
      <c r="H4298" s="340"/>
      <c r="I4298" s="179"/>
      <c r="J4298" s="344"/>
      <c r="K4298" s="345"/>
      <c r="L4298" s="346"/>
      <c r="M4298" s="347"/>
      <c r="N4298" s="347"/>
      <c r="O4298" s="132"/>
    </row>
    <row r="4299" spans="2:15" ht="26.25" customHeight="1" x14ac:dyDescent="0.25">
      <c r="B4299" s="130"/>
      <c r="C4299" s="135"/>
      <c r="D4299" s="177"/>
      <c r="E4299" s="178"/>
      <c r="F4299" s="178"/>
      <c r="G4299" s="340"/>
      <c r="H4299" s="340"/>
      <c r="I4299" s="179"/>
      <c r="J4299" s="344"/>
      <c r="K4299" s="345"/>
      <c r="L4299" s="346"/>
      <c r="M4299" s="347"/>
      <c r="N4299" s="347"/>
      <c r="O4299" s="132"/>
    </row>
    <row r="4300" spans="2:15" ht="26.25" customHeight="1" x14ac:dyDescent="0.25">
      <c r="B4300" s="130"/>
      <c r="C4300" s="135"/>
      <c r="D4300" s="177"/>
      <c r="E4300" s="178"/>
      <c r="F4300" s="178"/>
      <c r="G4300" s="340"/>
      <c r="H4300" s="340"/>
      <c r="I4300" s="179"/>
      <c r="J4300" s="344"/>
      <c r="K4300" s="345"/>
      <c r="L4300" s="346"/>
      <c r="M4300" s="347"/>
      <c r="N4300" s="347"/>
      <c r="O4300" s="132"/>
    </row>
    <row r="4301" spans="2:15" ht="26.25" customHeight="1" x14ac:dyDescent="0.25">
      <c r="B4301" s="130"/>
      <c r="C4301" s="135"/>
      <c r="D4301" s="177"/>
      <c r="E4301" s="178"/>
      <c r="F4301" s="178"/>
      <c r="G4301" s="340"/>
      <c r="H4301" s="340"/>
      <c r="I4301" s="179"/>
      <c r="J4301" s="344"/>
      <c r="K4301" s="345"/>
      <c r="L4301" s="346"/>
      <c r="M4301" s="347"/>
      <c r="N4301" s="347"/>
      <c r="O4301" s="132"/>
    </row>
    <row r="4302" spans="2:15" ht="26.25" customHeight="1" x14ac:dyDescent="0.25">
      <c r="B4302" s="130"/>
      <c r="C4302" s="135"/>
      <c r="D4302" s="177"/>
      <c r="E4302" s="178"/>
      <c r="F4302" s="178"/>
      <c r="G4302" s="340"/>
      <c r="H4302" s="340"/>
      <c r="I4302" s="179"/>
      <c r="J4302" s="344"/>
      <c r="K4302" s="345"/>
      <c r="L4302" s="346"/>
      <c r="M4302" s="347"/>
      <c r="N4302" s="347"/>
      <c r="O4302" s="132"/>
    </row>
    <row r="4303" spans="2:15" ht="26.25" customHeight="1" x14ac:dyDescent="0.25">
      <c r="B4303" s="130"/>
      <c r="C4303" s="135"/>
      <c r="D4303" s="177"/>
      <c r="E4303" s="178"/>
      <c r="F4303" s="178"/>
      <c r="G4303" s="340"/>
      <c r="H4303" s="340"/>
      <c r="I4303" s="179"/>
      <c r="J4303" s="344"/>
      <c r="K4303" s="345"/>
      <c r="L4303" s="346"/>
      <c r="M4303" s="347"/>
      <c r="N4303" s="347"/>
      <c r="O4303" s="132"/>
    </row>
    <row r="4304" spans="2:15" ht="26.25" customHeight="1" x14ac:dyDescent="0.25">
      <c r="B4304" s="130"/>
      <c r="C4304" s="135"/>
      <c r="D4304" s="177"/>
      <c r="E4304" s="178"/>
      <c r="F4304" s="178"/>
      <c r="G4304" s="340"/>
      <c r="H4304" s="340"/>
      <c r="I4304" s="179"/>
      <c r="J4304" s="344"/>
      <c r="K4304" s="345"/>
      <c r="L4304" s="346"/>
      <c r="M4304" s="347"/>
      <c r="N4304" s="347"/>
      <c r="O4304" s="132"/>
    </row>
    <row r="4305" spans="2:15" ht="26.25" customHeight="1" x14ac:dyDescent="0.25">
      <c r="B4305" s="130"/>
      <c r="C4305" s="135"/>
      <c r="D4305" s="177"/>
      <c r="E4305" s="178"/>
      <c r="F4305" s="178"/>
      <c r="G4305" s="340"/>
      <c r="H4305" s="340"/>
      <c r="I4305" s="179"/>
      <c r="J4305" s="344"/>
      <c r="K4305" s="345"/>
      <c r="L4305" s="346"/>
      <c r="M4305" s="347"/>
      <c r="N4305" s="347"/>
      <c r="O4305" s="132"/>
    </row>
    <row r="4306" spans="2:15" ht="26.25" customHeight="1" x14ac:dyDescent="0.25">
      <c r="B4306" s="130"/>
      <c r="C4306" s="135"/>
      <c r="D4306" s="177"/>
      <c r="E4306" s="178"/>
      <c r="F4306" s="178"/>
      <c r="G4306" s="340"/>
      <c r="H4306" s="340"/>
      <c r="I4306" s="179"/>
      <c r="J4306" s="344"/>
      <c r="K4306" s="345"/>
      <c r="L4306" s="346"/>
      <c r="M4306" s="347"/>
      <c r="N4306" s="347"/>
      <c r="O4306" s="132"/>
    </row>
    <row r="4307" spans="2:15" ht="26.25" customHeight="1" x14ac:dyDescent="0.25">
      <c r="B4307" s="130"/>
      <c r="C4307" s="135"/>
      <c r="D4307" s="177"/>
      <c r="E4307" s="178"/>
      <c r="F4307" s="178"/>
      <c r="G4307" s="340"/>
      <c r="H4307" s="340"/>
      <c r="I4307" s="179"/>
      <c r="J4307" s="344"/>
      <c r="K4307" s="345"/>
      <c r="L4307" s="346"/>
      <c r="M4307" s="347"/>
      <c r="N4307" s="347"/>
      <c r="O4307" s="132"/>
    </row>
    <row r="4308" spans="2:15" ht="26.25" customHeight="1" x14ac:dyDescent="0.25">
      <c r="B4308" s="130"/>
      <c r="C4308" s="135"/>
      <c r="D4308" s="177"/>
      <c r="E4308" s="178"/>
      <c r="F4308" s="178"/>
      <c r="G4308" s="340"/>
      <c r="H4308" s="340"/>
      <c r="I4308" s="179"/>
      <c r="J4308" s="344"/>
      <c r="K4308" s="345"/>
      <c r="L4308" s="346"/>
      <c r="M4308" s="347"/>
      <c r="N4308" s="347"/>
      <c r="O4308" s="132"/>
    </row>
    <row r="4309" spans="2:15" ht="26.25" customHeight="1" x14ac:dyDescent="0.25">
      <c r="B4309" s="130"/>
      <c r="C4309" s="135"/>
      <c r="D4309" s="177"/>
      <c r="E4309" s="178"/>
      <c r="F4309" s="178"/>
      <c r="G4309" s="340"/>
      <c r="H4309" s="340"/>
      <c r="I4309" s="179"/>
      <c r="J4309" s="344"/>
      <c r="K4309" s="345"/>
      <c r="L4309" s="346"/>
      <c r="M4309" s="347"/>
      <c r="N4309" s="347"/>
      <c r="O4309" s="132"/>
    </row>
    <row r="4310" spans="2:15" ht="26.25" customHeight="1" x14ac:dyDescent="0.25">
      <c r="B4310" s="130"/>
      <c r="C4310" s="135"/>
      <c r="D4310" s="177"/>
      <c r="E4310" s="178"/>
      <c r="F4310" s="178"/>
      <c r="G4310" s="340"/>
      <c r="H4310" s="340"/>
      <c r="I4310" s="179"/>
      <c r="J4310" s="344"/>
      <c r="K4310" s="345"/>
      <c r="L4310" s="346"/>
      <c r="M4310" s="347"/>
      <c r="N4310" s="347"/>
      <c r="O4310" s="132"/>
    </row>
    <row r="4311" spans="2:15" ht="26.25" customHeight="1" x14ac:dyDescent="0.25">
      <c r="B4311" s="130"/>
      <c r="C4311" s="135"/>
      <c r="D4311" s="177"/>
      <c r="E4311" s="178"/>
      <c r="F4311" s="178"/>
      <c r="G4311" s="340"/>
      <c r="H4311" s="340"/>
      <c r="I4311" s="179"/>
      <c r="J4311" s="344"/>
      <c r="K4311" s="345"/>
      <c r="L4311" s="346"/>
      <c r="M4311" s="347"/>
      <c r="N4311" s="347"/>
      <c r="O4311" s="132"/>
    </row>
    <row r="4312" spans="2:15" ht="26.25" customHeight="1" x14ac:dyDescent="0.25">
      <c r="B4312" s="130"/>
      <c r="C4312" s="135"/>
      <c r="D4312" s="177"/>
      <c r="E4312" s="178"/>
      <c r="F4312" s="178"/>
      <c r="G4312" s="340"/>
      <c r="H4312" s="340"/>
      <c r="I4312" s="179"/>
      <c r="J4312" s="344"/>
      <c r="K4312" s="345"/>
      <c r="L4312" s="346"/>
      <c r="M4312" s="347"/>
      <c r="N4312" s="347"/>
      <c r="O4312" s="132"/>
    </row>
    <row r="4313" spans="2:15" ht="26.25" customHeight="1" x14ac:dyDescent="0.25">
      <c r="B4313" s="130"/>
      <c r="C4313" s="135"/>
      <c r="D4313" s="177"/>
      <c r="E4313" s="178"/>
      <c r="F4313" s="178"/>
      <c r="G4313" s="340"/>
      <c r="H4313" s="340"/>
      <c r="I4313" s="179"/>
      <c r="J4313" s="344"/>
      <c r="K4313" s="345"/>
      <c r="L4313" s="346"/>
      <c r="M4313" s="347"/>
      <c r="N4313" s="347"/>
      <c r="O4313" s="132"/>
    </row>
    <row r="4314" spans="2:15" ht="26.25" customHeight="1" x14ac:dyDescent="0.25">
      <c r="B4314" s="130"/>
      <c r="C4314" s="135"/>
      <c r="D4314" s="177"/>
      <c r="E4314" s="178"/>
      <c r="F4314" s="178"/>
      <c r="G4314" s="340"/>
      <c r="H4314" s="340"/>
      <c r="I4314" s="179"/>
      <c r="J4314" s="344"/>
      <c r="K4314" s="345"/>
      <c r="L4314" s="346"/>
      <c r="M4314" s="347"/>
      <c r="N4314" s="347"/>
      <c r="O4314" s="132"/>
    </row>
    <row r="4315" spans="2:15" ht="26.25" customHeight="1" x14ac:dyDescent="0.25">
      <c r="B4315" s="130"/>
      <c r="C4315" s="135"/>
      <c r="D4315" s="177"/>
      <c r="E4315" s="178"/>
      <c r="F4315" s="178"/>
      <c r="G4315" s="340"/>
      <c r="H4315" s="340"/>
      <c r="I4315" s="179"/>
      <c r="J4315" s="344"/>
      <c r="K4315" s="345"/>
      <c r="L4315" s="346"/>
      <c r="M4315" s="347"/>
      <c r="N4315" s="347"/>
      <c r="O4315" s="132"/>
    </row>
    <row r="4316" spans="2:15" ht="26.25" customHeight="1" x14ac:dyDescent="0.25">
      <c r="B4316" s="130"/>
      <c r="C4316" s="135"/>
      <c r="D4316" s="177"/>
      <c r="E4316" s="178"/>
      <c r="F4316" s="178"/>
      <c r="G4316" s="340"/>
      <c r="H4316" s="340"/>
      <c r="I4316" s="179"/>
      <c r="J4316" s="344"/>
      <c r="K4316" s="345"/>
      <c r="L4316" s="346"/>
      <c r="M4316" s="347"/>
      <c r="N4316" s="347"/>
      <c r="O4316" s="132"/>
    </row>
    <row r="4317" spans="2:15" ht="26.25" customHeight="1" x14ac:dyDescent="0.25">
      <c r="B4317" s="130"/>
      <c r="C4317" s="135"/>
      <c r="D4317" s="177"/>
      <c r="E4317" s="178"/>
      <c r="F4317" s="178"/>
      <c r="G4317" s="340"/>
      <c r="H4317" s="340"/>
      <c r="I4317" s="179"/>
      <c r="J4317" s="344"/>
      <c r="K4317" s="345"/>
      <c r="L4317" s="346"/>
      <c r="M4317" s="347"/>
      <c r="N4317" s="347"/>
      <c r="O4317" s="132"/>
    </row>
    <row r="4318" spans="2:15" ht="26.25" customHeight="1" x14ac:dyDescent="0.25">
      <c r="B4318" s="130"/>
      <c r="C4318" s="135"/>
      <c r="D4318" s="177"/>
      <c r="E4318" s="178"/>
      <c r="F4318" s="178"/>
      <c r="G4318" s="340"/>
      <c r="H4318" s="340"/>
      <c r="I4318" s="179"/>
      <c r="J4318" s="344"/>
      <c r="K4318" s="345"/>
      <c r="L4318" s="346"/>
      <c r="M4318" s="347"/>
      <c r="N4318" s="347"/>
      <c r="O4318" s="132"/>
    </row>
    <row r="4319" spans="2:15" ht="26.25" customHeight="1" x14ac:dyDescent="0.25">
      <c r="B4319" s="130"/>
      <c r="C4319" s="135"/>
      <c r="D4319" s="177"/>
      <c r="E4319" s="178"/>
      <c r="F4319" s="178"/>
      <c r="G4319" s="340"/>
      <c r="H4319" s="340"/>
      <c r="I4319" s="179"/>
      <c r="J4319" s="344"/>
      <c r="K4319" s="345"/>
      <c r="L4319" s="346"/>
      <c r="M4319" s="347"/>
      <c r="N4319" s="347"/>
      <c r="O4319" s="132"/>
    </row>
    <row r="4320" spans="2:15" ht="26.25" customHeight="1" x14ac:dyDescent="0.25">
      <c r="B4320" s="130"/>
      <c r="C4320" s="135"/>
      <c r="D4320" s="177"/>
      <c r="E4320" s="178"/>
      <c r="F4320" s="178"/>
      <c r="G4320" s="340"/>
      <c r="H4320" s="340"/>
      <c r="I4320" s="179"/>
      <c r="J4320" s="344"/>
      <c r="K4320" s="345"/>
      <c r="L4320" s="346"/>
      <c r="M4320" s="347"/>
      <c r="N4320" s="347"/>
      <c r="O4320" s="132"/>
    </row>
    <row r="4321" spans="2:15" ht="26.25" customHeight="1" x14ac:dyDescent="0.25">
      <c r="B4321" s="130"/>
      <c r="C4321" s="135"/>
      <c r="D4321" s="177"/>
      <c r="E4321" s="178"/>
      <c r="F4321" s="178"/>
      <c r="G4321" s="340"/>
      <c r="H4321" s="340"/>
      <c r="I4321" s="179"/>
      <c r="J4321" s="344"/>
      <c r="K4321" s="345"/>
      <c r="L4321" s="346"/>
      <c r="M4321" s="347"/>
      <c r="N4321" s="347"/>
      <c r="O4321" s="132"/>
    </row>
    <row r="4322" spans="2:15" ht="26.25" customHeight="1" x14ac:dyDescent="0.25">
      <c r="B4322" s="130"/>
      <c r="C4322" s="135"/>
      <c r="D4322" s="177"/>
      <c r="E4322" s="178"/>
      <c r="F4322" s="178"/>
      <c r="G4322" s="340"/>
      <c r="H4322" s="340"/>
      <c r="I4322" s="179"/>
      <c r="J4322" s="344"/>
      <c r="K4322" s="345"/>
      <c r="L4322" s="346"/>
      <c r="M4322" s="347"/>
      <c r="N4322" s="347"/>
      <c r="O4322" s="132"/>
    </row>
    <row r="4323" spans="2:15" ht="26.25" customHeight="1" x14ac:dyDescent="0.25">
      <c r="B4323" s="130"/>
      <c r="C4323" s="135"/>
      <c r="D4323" s="177"/>
      <c r="E4323" s="178"/>
      <c r="F4323" s="178"/>
      <c r="G4323" s="340"/>
      <c r="H4323" s="340"/>
      <c r="I4323" s="179"/>
      <c r="J4323" s="344"/>
      <c r="K4323" s="345"/>
      <c r="L4323" s="346"/>
      <c r="M4323" s="347"/>
      <c r="N4323" s="347"/>
      <c r="O4323" s="132"/>
    </row>
    <row r="4324" spans="2:15" ht="26.25" customHeight="1" x14ac:dyDescent="0.25">
      <c r="B4324" s="130"/>
      <c r="C4324" s="135"/>
      <c r="D4324" s="177"/>
      <c r="E4324" s="178"/>
      <c r="F4324" s="178"/>
      <c r="G4324" s="340"/>
      <c r="H4324" s="340"/>
      <c r="I4324" s="179"/>
      <c r="J4324" s="344"/>
      <c r="K4324" s="345"/>
      <c r="L4324" s="346"/>
      <c r="M4324" s="347"/>
      <c r="N4324" s="347"/>
      <c r="O4324" s="132"/>
    </row>
    <row r="4325" spans="2:15" ht="26.25" customHeight="1" x14ac:dyDescent="0.25">
      <c r="B4325" s="130"/>
      <c r="C4325" s="135"/>
      <c r="D4325" s="177"/>
      <c r="E4325" s="178"/>
      <c r="F4325" s="178"/>
      <c r="G4325" s="340"/>
      <c r="H4325" s="340"/>
      <c r="I4325" s="179"/>
      <c r="J4325" s="344"/>
      <c r="K4325" s="345"/>
      <c r="L4325" s="346"/>
      <c r="M4325" s="347"/>
      <c r="N4325" s="347"/>
      <c r="O4325" s="132"/>
    </row>
    <row r="4326" spans="2:15" ht="26.25" customHeight="1" x14ac:dyDescent="0.25">
      <c r="B4326" s="130"/>
      <c r="C4326" s="135"/>
      <c r="D4326" s="177"/>
      <c r="E4326" s="178"/>
      <c r="F4326" s="178"/>
      <c r="G4326" s="340"/>
      <c r="H4326" s="340"/>
      <c r="I4326" s="179"/>
      <c r="J4326" s="344"/>
      <c r="K4326" s="345"/>
      <c r="L4326" s="346"/>
      <c r="M4326" s="347"/>
      <c r="N4326" s="347"/>
      <c r="O4326" s="132"/>
    </row>
    <row r="4327" spans="2:15" ht="26.25" customHeight="1" x14ac:dyDescent="0.25">
      <c r="B4327" s="130"/>
      <c r="C4327" s="135"/>
      <c r="D4327" s="177"/>
      <c r="E4327" s="178"/>
      <c r="F4327" s="178"/>
      <c r="G4327" s="340"/>
      <c r="H4327" s="340"/>
      <c r="I4327" s="179"/>
      <c r="J4327" s="344"/>
      <c r="K4327" s="345"/>
      <c r="L4327" s="346"/>
      <c r="M4327" s="347"/>
      <c r="N4327" s="347"/>
      <c r="O4327" s="132"/>
    </row>
    <row r="4328" spans="2:15" ht="26.25" customHeight="1" x14ac:dyDescent="0.25">
      <c r="B4328" s="130"/>
      <c r="C4328" s="135"/>
      <c r="D4328" s="177"/>
      <c r="E4328" s="178"/>
      <c r="F4328" s="178"/>
      <c r="G4328" s="340"/>
      <c r="H4328" s="340"/>
      <c r="I4328" s="179"/>
      <c r="J4328" s="344"/>
      <c r="K4328" s="345"/>
      <c r="L4328" s="346"/>
      <c r="M4328" s="347"/>
      <c r="N4328" s="347"/>
      <c r="O4328" s="132"/>
    </row>
    <row r="4329" spans="2:15" ht="26.25" customHeight="1" x14ac:dyDescent="0.25">
      <c r="B4329" s="130"/>
      <c r="C4329" s="135"/>
      <c r="D4329" s="177"/>
      <c r="E4329" s="178"/>
      <c r="F4329" s="178"/>
      <c r="G4329" s="340"/>
      <c r="H4329" s="340"/>
      <c r="I4329" s="179"/>
      <c r="J4329" s="344"/>
      <c r="K4329" s="345"/>
      <c r="L4329" s="346"/>
      <c r="M4329" s="347"/>
      <c r="N4329" s="347"/>
      <c r="O4329" s="132"/>
    </row>
    <row r="4330" spans="2:15" ht="26.25" customHeight="1" x14ac:dyDescent="0.25">
      <c r="B4330" s="130"/>
      <c r="C4330" s="135"/>
      <c r="D4330" s="177"/>
      <c r="E4330" s="178"/>
      <c r="F4330" s="178"/>
      <c r="G4330" s="340"/>
      <c r="H4330" s="340"/>
      <c r="I4330" s="179"/>
      <c r="J4330" s="344"/>
      <c r="K4330" s="345"/>
      <c r="L4330" s="346"/>
      <c r="M4330" s="347"/>
      <c r="N4330" s="347"/>
      <c r="O4330" s="132"/>
    </row>
    <row r="4331" spans="2:15" ht="26.25" customHeight="1" x14ac:dyDescent="0.25">
      <c r="B4331" s="130"/>
      <c r="C4331" s="135"/>
      <c r="D4331" s="177"/>
      <c r="E4331" s="178"/>
      <c r="F4331" s="178"/>
      <c r="G4331" s="340"/>
      <c r="H4331" s="340"/>
      <c r="I4331" s="179"/>
      <c r="J4331" s="344"/>
      <c r="K4331" s="345"/>
      <c r="L4331" s="346"/>
      <c r="M4331" s="347"/>
      <c r="N4331" s="347"/>
      <c r="O4331" s="132"/>
    </row>
    <row r="4332" spans="2:15" ht="26.25" customHeight="1" x14ac:dyDescent="0.25">
      <c r="B4332" s="130"/>
      <c r="C4332" s="135"/>
      <c r="D4332" s="177"/>
      <c r="E4332" s="178"/>
      <c r="F4332" s="178"/>
      <c r="G4332" s="340"/>
      <c r="H4332" s="340"/>
      <c r="I4332" s="179"/>
      <c r="J4332" s="344"/>
      <c r="K4332" s="345"/>
      <c r="L4332" s="346"/>
      <c r="M4332" s="347"/>
      <c r="N4332" s="347"/>
      <c r="O4332" s="132"/>
    </row>
    <row r="4333" spans="2:15" ht="26.25" customHeight="1" x14ac:dyDescent="0.25">
      <c r="B4333" s="130"/>
      <c r="C4333" s="135"/>
      <c r="D4333" s="177"/>
      <c r="E4333" s="178"/>
      <c r="F4333" s="178"/>
      <c r="G4333" s="340"/>
      <c r="H4333" s="340"/>
      <c r="I4333" s="179"/>
      <c r="J4333" s="344"/>
      <c r="K4333" s="345"/>
      <c r="L4333" s="346"/>
      <c r="M4333" s="347"/>
      <c r="N4333" s="347"/>
      <c r="O4333" s="132"/>
    </row>
    <row r="4334" spans="2:15" ht="26.25" customHeight="1" x14ac:dyDescent="0.25">
      <c r="B4334" s="130"/>
      <c r="C4334" s="135"/>
      <c r="D4334" s="177"/>
      <c r="E4334" s="178"/>
      <c r="F4334" s="178"/>
      <c r="G4334" s="340"/>
      <c r="H4334" s="340"/>
      <c r="I4334" s="179"/>
      <c r="J4334" s="344"/>
      <c r="K4334" s="345"/>
      <c r="L4334" s="346"/>
      <c r="M4334" s="347"/>
      <c r="N4334" s="347"/>
      <c r="O4334" s="132"/>
    </row>
    <row r="4335" spans="2:15" ht="26.25" customHeight="1" x14ac:dyDescent="0.25">
      <c r="B4335" s="130"/>
      <c r="C4335" s="135"/>
      <c r="D4335" s="177"/>
      <c r="E4335" s="178"/>
      <c r="F4335" s="178"/>
      <c r="G4335" s="340"/>
      <c r="H4335" s="340"/>
      <c r="I4335" s="179"/>
      <c r="J4335" s="344"/>
      <c r="K4335" s="345"/>
      <c r="L4335" s="346"/>
      <c r="M4335" s="347"/>
      <c r="N4335" s="347"/>
      <c r="O4335" s="132"/>
    </row>
    <row r="4336" spans="2:15" ht="26.25" customHeight="1" x14ac:dyDescent="0.25">
      <c r="B4336" s="130"/>
      <c r="C4336" s="135"/>
      <c r="D4336" s="177"/>
      <c r="E4336" s="178"/>
      <c r="F4336" s="178"/>
      <c r="G4336" s="340"/>
      <c r="H4336" s="340"/>
      <c r="I4336" s="179"/>
      <c r="J4336" s="344"/>
      <c r="K4336" s="345"/>
      <c r="L4336" s="346"/>
      <c r="M4336" s="347"/>
      <c r="N4336" s="347"/>
      <c r="O4336" s="132"/>
    </row>
    <row r="4337" spans="2:15" ht="26.25" customHeight="1" x14ac:dyDescent="0.25">
      <c r="B4337" s="130"/>
      <c r="C4337" s="135"/>
      <c r="D4337" s="177"/>
      <c r="E4337" s="178"/>
      <c r="F4337" s="178"/>
      <c r="G4337" s="340"/>
      <c r="H4337" s="340"/>
      <c r="I4337" s="179"/>
      <c r="J4337" s="344"/>
      <c r="K4337" s="345"/>
      <c r="L4337" s="346"/>
      <c r="M4337" s="347"/>
      <c r="N4337" s="347"/>
      <c r="O4337" s="132"/>
    </row>
    <row r="4338" spans="2:15" ht="26.25" customHeight="1" x14ac:dyDescent="0.25">
      <c r="B4338" s="130"/>
      <c r="C4338" s="135"/>
      <c r="D4338" s="177"/>
      <c r="E4338" s="178"/>
      <c r="F4338" s="178"/>
      <c r="G4338" s="340"/>
      <c r="H4338" s="340"/>
      <c r="I4338" s="179"/>
      <c r="J4338" s="344"/>
      <c r="K4338" s="345"/>
      <c r="L4338" s="346"/>
      <c r="M4338" s="347"/>
      <c r="N4338" s="347"/>
      <c r="O4338" s="132"/>
    </row>
    <row r="4339" spans="2:15" ht="26.25" customHeight="1" x14ac:dyDescent="0.25">
      <c r="B4339" s="130"/>
      <c r="C4339" s="135"/>
      <c r="D4339" s="177"/>
      <c r="E4339" s="178"/>
      <c r="F4339" s="178"/>
      <c r="G4339" s="340"/>
      <c r="H4339" s="340"/>
      <c r="I4339" s="179"/>
      <c r="J4339" s="344"/>
      <c r="K4339" s="345"/>
      <c r="L4339" s="346"/>
      <c r="M4339" s="347"/>
      <c r="N4339" s="347"/>
      <c r="O4339" s="132"/>
    </row>
    <row r="4340" spans="2:15" ht="26.25" customHeight="1" x14ac:dyDescent="0.25">
      <c r="B4340" s="130"/>
      <c r="C4340" s="135"/>
      <c r="D4340" s="177"/>
      <c r="E4340" s="178"/>
      <c r="F4340" s="178"/>
      <c r="G4340" s="340"/>
      <c r="H4340" s="340"/>
      <c r="I4340" s="179"/>
      <c r="J4340" s="344"/>
      <c r="K4340" s="345"/>
      <c r="L4340" s="346"/>
      <c r="M4340" s="347"/>
      <c r="N4340" s="347"/>
      <c r="O4340" s="132"/>
    </row>
    <row r="4341" spans="2:15" ht="26.25" customHeight="1" x14ac:dyDescent="0.25">
      <c r="B4341" s="130"/>
      <c r="C4341" s="135"/>
      <c r="D4341" s="177"/>
      <c r="E4341" s="178"/>
      <c r="F4341" s="178"/>
      <c r="G4341" s="340"/>
      <c r="H4341" s="340"/>
      <c r="I4341" s="179"/>
      <c r="J4341" s="344"/>
      <c r="K4341" s="345"/>
      <c r="L4341" s="346"/>
      <c r="M4341" s="347"/>
      <c r="N4341" s="347"/>
      <c r="O4341" s="132"/>
    </row>
    <row r="4342" spans="2:15" ht="26.25" customHeight="1" x14ac:dyDescent="0.25">
      <c r="B4342" s="130"/>
      <c r="C4342" s="135"/>
      <c r="D4342" s="177"/>
      <c r="E4342" s="178"/>
      <c r="F4342" s="178"/>
      <c r="G4342" s="340"/>
      <c r="H4342" s="340"/>
      <c r="I4342" s="179"/>
      <c r="J4342" s="344"/>
      <c r="K4342" s="345"/>
      <c r="L4342" s="346"/>
      <c r="M4342" s="347"/>
      <c r="N4342" s="347"/>
      <c r="O4342" s="132"/>
    </row>
    <row r="4343" spans="2:15" ht="26.25" customHeight="1" x14ac:dyDescent="0.25">
      <c r="B4343" s="130"/>
      <c r="C4343" s="135"/>
      <c r="D4343" s="177"/>
      <c r="E4343" s="178"/>
      <c r="F4343" s="178"/>
      <c r="G4343" s="340"/>
      <c r="H4343" s="340"/>
      <c r="I4343" s="179"/>
      <c r="J4343" s="344"/>
      <c r="K4343" s="345"/>
      <c r="L4343" s="346"/>
      <c r="M4343" s="347"/>
      <c r="N4343" s="347"/>
      <c r="O4343" s="132"/>
    </row>
    <row r="4344" spans="2:15" ht="26.25" customHeight="1" x14ac:dyDescent="0.25">
      <c r="B4344" s="130"/>
      <c r="C4344" s="135"/>
      <c r="D4344" s="177"/>
      <c r="E4344" s="178"/>
      <c r="F4344" s="178"/>
      <c r="G4344" s="340"/>
      <c r="H4344" s="340"/>
      <c r="I4344" s="179"/>
      <c r="J4344" s="344"/>
      <c r="K4344" s="345"/>
      <c r="L4344" s="346"/>
      <c r="M4344" s="347"/>
      <c r="N4344" s="347"/>
      <c r="O4344" s="132"/>
    </row>
    <row r="4345" spans="2:15" ht="26.25" customHeight="1" x14ac:dyDescent="0.25">
      <c r="B4345" s="130"/>
      <c r="C4345" s="135"/>
      <c r="D4345" s="177"/>
      <c r="E4345" s="178"/>
      <c r="F4345" s="178"/>
      <c r="G4345" s="340"/>
      <c r="H4345" s="340"/>
      <c r="I4345" s="179"/>
      <c r="J4345" s="344"/>
      <c r="K4345" s="345"/>
      <c r="L4345" s="346"/>
      <c r="M4345" s="347"/>
      <c r="N4345" s="347"/>
      <c r="O4345" s="132"/>
    </row>
    <row r="4346" spans="2:15" ht="26.25" customHeight="1" x14ac:dyDescent="0.25">
      <c r="B4346" s="130"/>
      <c r="C4346" s="135"/>
      <c r="D4346" s="177"/>
      <c r="E4346" s="178"/>
      <c r="F4346" s="178"/>
      <c r="G4346" s="340"/>
      <c r="H4346" s="340"/>
      <c r="I4346" s="179"/>
      <c r="J4346" s="344"/>
      <c r="K4346" s="345"/>
      <c r="L4346" s="346"/>
      <c r="M4346" s="347"/>
      <c r="N4346" s="347"/>
      <c r="O4346" s="132"/>
    </row>
    <row r="4347" spans="2:15" ht="26.25" customHeight="1" x14ac:dyDescent="0.25">
      <c r="B4347" s="130"/>
      <c r="C4347" s="135"/>
      <c r="D4347" s="177"/>
      <c r="E4347" s="178"/>
      <c r="F4347" s="178"/>
      <c r="G4347" s="340"/>
      <c r="H4347" s="340"/>
      <c r="I4347" s="179"/>
      <c r="J4347" s="344"/>
      <c r="K4347" s="345"/>
      <c r="L4347" s="346"/>
      <c r="M4347" s="347"/>
      <c r="N4347" s="347"/>
      <c r="O4347" s="132"/>
    </row>
    <row r="4348" spans="2:15" ht="26.25" customHeight="1" x14ac:dyDescent="0.25">
      <c r="B4348" s="130"/>
      <c r="C4348" s="135"/>
      <c r="D4348" s="177"/>
      <c r="E4348" s="178"/>
      <c r="F4348" s="178"/>
      <c r="G4348" s="340"/>
      <c r="H4348" s="340"/>
      <c r="I4348" s="179"/>
      <c r="J4348" s="344"/>
      <c r="K4348" s="345"/>
      <c r="L4348" s="346"/>
      <c r="M4348" s="347"/>
      <c r="N4348" s="347"/>
      <c r="O4348" s="132"/>
    </row>
    <row r="4349" spans="2:15" ht="26.25" customHeight="1" x14ac:dyDescent="0.25">
      <c r="B4349" s="130"/>
      <c r="C4349" s="135"/>
      <c r="D4349" s="177"/>
      <c r="E4349" s="178"/>
      <c r="F4349" s="178"/>
      <c r="G4349" s="340"/>
      <c r="H4349" s="340"/>
      <c r="I4349" s="179"/>
      <c r="J4349" s="344"/>
      <c r="K4349" s="345"/>
      <c r="L4349" s="346"/>
      <c r="M4349" s="347"/>
      <c r="N4349" s="347"/>
      <c r="O4349" s="132"/>
    </row>
    <row r="4350" spans="2:15" ht="26.25" customHeight="1" x14ac:dyDescent="0.25">
      <c r="B4350" s="130"/>
      <c r="C4350" s="135"/>
      <c r="D4350" s="177"/>
      <c r="E4350" s="178"/>
      <c r="F4350" s="178"/>
      <c r="G4350" s="340"/>
      <c r="H4350" s="340"/>
      <c r="I4350" s="179"/>
      <c r="J4350" s="344"/>
      <c r="K4350" s="345"/>
      <c r="L4350" s="346"/>
      <c r="M4350" s="347"/>
      <c r="N4350" s="347"/>
      <c r="O4350" s="132"/>
    </row>
    <row r="4351" spans="2:15" ht="26.25" customHeight="1" x14ac:dyDescent="0.25">
      <c r="B4351" s="130"/>
      <c r="C4351" s="135"/>
      <c r="D4351" s="177"/>
      <c r="E4351" s="178"/>
      <c r="F4351" s="178"/>
      <c r="G4351" s="340"/>
      <c r="H4351" s="340"/>
      <c r="I4351" s="179"/>
      <c r="J4351" s="344"/>
      <c r="K4351" s="345"/>
      <c r="L4351" s="346"/>
      <c r="M4351" s="347"/>
      <c r="N4351" s="347"/>
      <c r="O4351" s="132"/>
    </row>
    <row r="4352" spans="2:15" ht="26.25" customHeight="1" x14ac:dyDescent="0.25">
      <c r="B4352" s="130"/>
      <c r="C4352" s="135"/>
      <c r="D4352" s="177"/>
      <c r="E4352" s="178"/>
      <c r="F4352" s="178"/>
      <c r="G4352" s="340"/>
      <c r="H4352" s="340"/>
      <c r="I4352" s="179"/>
      <c r="J4352" s="344"/>
      <c r="K4352" s="345"/>
      <c r="L4352" s="346"/>
      <c r="M4352" s="347"/>
      <c r="N4352" s="347"/>
      <c r="O4352" s="132"/>
    </row>
    <row r="4353" spans="2:15" ht="26.25" customHeight="1" x14ac:dyDescent="0.25">
      <c r="B4353" s="130"/>
      <c r="C4353" s="135"/>
      <c r="D4353" s="177"/>
      <c r="E4353" s="178"/>
      <c r="F4353" s="178"/>
      <c r="G4353" s="340"/>
      <c r="H4353" s="340"/>
      <c r="I4353" s="179"/>
      <c r="J4353" s="344"/>
      <c r="K4353" s="345"/>
      <c r="L4353" s="346"/>
      <c r="M4353" s="347"/>
      <c r="N4353" s="347"/>
      <c r="O4353" s="132"/>
    </row>
    <row r="4354" spans="2:15" ht="26.25" customHeight="1" x14ac:dyDescent="0.25">
      <c r="B4354" s="130"/>
      <c r="C4354" s="135"/>
      <c r="D4354" s="177"/>
      <c r="E4354" s="178"/>
      <c r="F4354" s="178"/>
      <c r="G4354" s="340"/>
      <c r="H4354" s="340"/>
      <c r="I4354" s="179"/>
      <c r="J4354" s="344"/>
      <c r="K4354" s="345"/>
      <c r="L4354" s="346"/>
      <c r="M4354" s="347"/>
      <c r="N4354" s="347"/>
      <c r="O4354" s="132"/>
    </row>
    <row r="4355" spans="2:15" ht="26.25" customHeight="1" x14ac:dyDescent="0.25">
      <c r="B4355" s="130"/>
      <c r="C4355" s="135"/>
      <c r="D4355" s="177"/>
      <c r="E4355" s="178"/>
      <c r="F4355" s="178"/>
      <c r="G4355" s="340"/>
      <c r="H4355" s="340"/>
      <c r="I4355" s="179"/>
      <c r="J4355" s="344"/>
      <c r="K4355" s="345"/>
      <c r="L4355" s="346"/>
      <c r="M4355" s="347"/>
      <c r="N4355" s="347"/>
      <c r="O4355" s="132"/>
    </row>
    <row r="4356" spans="2:15" ht="26.25" customHeight="1" x14ac:dyDescent="0.25">
      <c r="B4356" s="130"/>
      <c r="C4356" s="135"/>
      <c r="D4356" s="177"/>
      <c r="E4356" s="178"/>
      <c r="F4356" s="178"/>
      <c r="G4356" s="340"/>
      <c r="H4356" s="340"/>
      <c r="I4356" s="179"/>
      <c r="J4356" s="344"/>
      <c r="K4356" s="345"/>
      <c r="L4356" s="346"/>
      <c r="M4356" s="347"/>
      <c r="N4356" s="347"/>
      <c r="O4356" s="132"/>
    </row>
    <row r="4357" spans="2:15" ht="26.25" customHeight="1" x14ac:dyDescent="0.25">
      <c r="B4357" s="130"/>
      <c r="C4357" s="135"/>
      <c r="D4357" s="177"/>
      <c r="E4357" s="178"/>
      <c r="F4357" s="178"/>
      <c r="G4357" s="340"/>
      <c r="H4357" s="340"/>
      <c r="I4357" s="179"/>
      <c r="J4357" s="344"/>
      <c r="K4357" s="345"/>
      <c r="L4357" s="346"/>
      <c r="M4357" s="347"/>
      <c r="N4357" s="347"/>
      <c r="O4357" s="132"/>
    </row>
    <row r="4358" spans="2:15" ht="26.25" customHeight="1" x14ac:dyDescent="0.25">
      <c r="B4358" s="130"/>
      <c r="C4358" s="135"/>
      <c r="D4358" s="177"/>
      <c r="E4358" s="178"/>
      <c r="F4358" s="178"/>
      <c r="G4358" s="340"/>
      <c r="H4358" s="340"/>
      <c r="I4358" s="179"/>
      <c r="J4358" s="344"/>
      <c r="K4358" s="345"/>
      <c r="L4358" s="346"/>
      <c r="M4358" s="347"/>
      <c r="N4358" s="347"/>
      <c r="O4358" s="132"/>
    </row>
    <row r="4359" spans="2:15" ht="26.25" customHeight="1" x14ac:dyDescent="0.25">
      <c r="B4359" s="130"/>
      <c r="C4359" s="135"/>
      <c r="D4359" s="177"/>
      <c r="E4359" s="178"/>
      <c r="F4359" s="178"/>
      <c r="G4359" s="340"/>
      <c r="H4359" s="340"/>
      <c r="I4359" s="179"/>
      <c r="J4359" s="344"/>
      <c r="K4359" s="345"/>
      <c r="L4359" s="346"/>
      <c r="M4359" s="347"/>
      <c r="N4359" s="347"/>
      <c r="O4359" s="132"/>
    </row>
    <row r="4360" spans="2:15" ht="26.25" customHeight="1" x14ac:dyDescent="0.25">
      <c r="B4360" s="130"/>
      <c r="C4360" s="135"/>
      <c r="D4360" s="177"/>
      <c r="E4360" s="178"/>
      <c r="F4360" s="178"/>
      <c r="G4360" s="340"/>
      <c r="H4360" s="340"/>
      <c r="I4360" s="179"/>
      <c r="J4360" s="344"/>
      <c r="K4360" s="345"/>
      <c r="L4360" s="346"/>
      <c r="M4360" s="347"/>
      <c r="N4360" s="347"/>
      <c r="O4360" s="132"/>
    </row>
    <row r="4361" spans="2:15" ht="26.25" customHeight="1" x14ac:dyDescent="0.25">
      <c r="B4361" s="130"/>
      <c r="C4361" s="135"/>
      <c r="D4361" s="177"/>
      <c r="E4361" s="178"/>
      <c r="F4361" s="178"/>
      <c r="G4361" s="340"/>
      <c r="H4361" s="340"/>
      <c r="I4361" s="179"/>
      <c r="J4361" s="344"/>
      <c r="K4361" s="345"/>
      <c r="L4361" s="346"/>
      <c r="M4361" s="347"/>
      <c r="N4361" s="347"/>
      <c r="O4361" s="132"/>
    </row>
    <row r="4362" spans="2:15" ht="26.25" customHeight="1" x14ac:dyDescent="0.25">
      <c r="B4362" s="130"/>
      <c r="C4362" s="135"/>
      <c r="D4362" s="177"/>
      <c r="E4362" s="178"/>
      <c r="F4362" s="178"/>
      <c r="G4362" s="340"/>
      <c r="H4362" s="340"/>
      <c r="I4362" s="179"/>
      <c r="J4362" s="344"/>
      <c r="K4362" s="345"/>
      <c r="L4362" s="346"/>
      <c r="M4362" s="347"/>
      <c r="N4362" s="347"/>
      <c r="O4362" s="132"/>
    </row>
    <row r="4363" spans="2:15" ht="26.25" customHeight="1" x14ac:dyDescent="0.25">
      <c r="B4363" s="130"/>
      <c r="C4363" s="135"/>
      <c r="D4363" s="177"/>
      <c r="E4363" s="178"/>
      <c r="F4363" s="178"/>
      <c r="G4363" s="340"/>
      <c r="H4363" s="340"/>
      <c r="I4363" s="179"/>
      <c r="J4363" s="344"/>
      <c r="K4363" s="345"/>
      <c r="L4363" s="346"/>
      <c r="M4363" s="347"/>
      <c r="N4363" s="347"/>
      <c r="O4363" s="132"/>
    </row>
    <row r="4364" spans="2:15" ht="26.25" customHeight="1" x14ac:dyDescent="0.25">
      <c r="B4364" s="130"/>
      <c r="C4364" s="135"/>
      <c r="D4364" s="177"/>
      <c r="E4364" s="178"/>
      <c r="F4364" s="178"/>
      <c r="G4364" s="340"/>
      <c r="H4364" s="340"/>
      <c r="I4364" s="179"/>
      <c r="J4364" s="344"/>
      <c r="K4364" s="345"/>
      <c r="L4364" s="346"/>
      <c r="M4364" s="347"/>
      <c r="N4364" s="347"/>
      <c r="O4364" s="132"/>
    </row>
    <row r="4365" spans="2:15" ht="26.25" customHeight="1" x14ac:dyDescent="0.25">
      <c r="B4365" s="130"/>
      <c r="C4365" s="135"/>
      <c r="D4365" s="177"/>
      <c r="E4365" s="178"/>
      <c r="F4365" s="178"/>
      <c r="G4365" s="340"/>
      <c r="H4365" s="340"/>
      <c r="I4365" s="179"/>
      <c r="J4365" s="344"/>
      <c r="K4365" s="345"/>
      <c r="L4365" s="346"/>
      <c r="M4365" s="347"/>
      <c r="N4365" s="347"/>
      <c r="O4365" s="132"/>
    </row>
    <row r="4366" spans="2:15" ht="26.25" customHeight="1" x14ac:dyDescent="0.25">
      <c r="B4366" s="130"/>
      <c r="C4366" s="135"/>
      <c r="D4366" s="177"/>
      <c r="E4366" s="178"/>
      <c r="F4366" s="178"/>
      <c r="G4366" s="340"/>
      <c r="H4366" s="340"/>
      <c r="I4366" s="179"/>
      <c r="J4366" s="344"/>
      <c r="K4366" s="345"/>
      <c r="L4366" s="346"/>
      <c r="M4366" s="347"/>
      <c r="N4366" s="347"/>
      <c r="O4366" s="132"/>
    </row>
    <row r="4367" spans="2:15" ht="26.25" customHeight="1" x14ac:dyDescent="0.25">
      <c r="B4367" s="130"/>
      <c r="C4367" s="135"/>
      <c r="D4367" s="177"/>
      <c r="E4367" s="178"/>
      <c r="F4367" s="178"/>
      <c r="G4367" s="340"/>
      <c r="H4367" s="340"/>
      <c r="I4367" s="179"/>
      <c r="J4367" s="344"/>
      <c r="K4367" s="345"/>
      <c r="L4367" s="346"/>
      <c r="M4367" s="347"/>
      <c r="N4367" s="347"/>
      <c r="O4367" s="132"/>
    </row>
    <row r="4368" spans="2:15" ht="26.25" customHeight="1" x14ac:dyDescent="0.25">
      <c r="B4368" s="130"/>
      <c r="C4368" s="135"/>
      <c r="D4368" s="177"/>
      <c r="E4368" s="178"/>
      <c r="F4368" s="178"/>
      <c r="G4368" s="340"/>
      <c r="H4368" s="340"/>
      <c r="I4368" s="179"/>
      <c r="J4368" s="344"/>
      <c r="K4368" s="345"/>
      <c r="L4368" s="346"/>
      <c r="M4368" s="347"/>
      <c r="N4368" s="347"/>
      <c r="O4368" s="132"/>
    </row>
    <row r="4369" spans="2:15" ht="26.25" customHeight="1" x14ac:dyDescent="0.25">
      <c r="B4369" s="130"/>
      <c r="C4369" s="135"/>
      <c r="D4369" s="177"/>
      <c r="E4369" s="178"/>
      <c r="F4369" s="178"/>
      <c r="G4369" s="340"/>
      <c r="H4369" s="340"/>
      <c r="I4369" s="179"/>
      <c r="J4369" s="344"/>
      <c r="K4369" s="345"/>
      <c r="L4369" s="346"/>
      <c r="M4369" s="347"/>
      <c r="N4369" s="347"/>
      <c r="O4369" s="132"/>
    </row>
    <row r="4370" spans="2:15" ht="26.25" customHeight="1" x14ac:dyDescent="0.25">
      <c r="B4370" s="130"/>
      <c r="C4370" s="135"/>
      <c r="D4370" s="177"/>
      <c r="E4370" s="178"/>
      <c r="F4370" s="178"/>
      <c r="G4370" s="340"/>
      <c r="H4370" s="340"/>
      <c r="I4370" s="179"/>
      <c r="J4370" s="344"/>
      <c r="K4370" s="345"/>
      <c r="L4370" s="346"/>
      <c r="M4370" s="347"/>
      <c r="N4370" s="347"/>
      <c r="O4370" s="132"/>
    </row>
    <row r="4371" spans="2:15" ht="26.25" customHeight="1" x14ac:dyDescent="0.25">
      <c r="B4371" s="130"/>
      <c r="C4371" s="135"/>
      <c r="D4371" s="177"/>
      <c r="E4371" s="178"/>
      <c r="F4371" s="178"/>
      <c r="G4371" s="340"/>
      <c r="H4371" s="340"/>
      <c r="I4371" s="179"/>
      <c r="J4371" s="344"/>
      <c r="K4371" s="345"/>
      <c r="L4371" s="346"/>
      <c r="M4371" s="347"/>
      <c r="N4371" s="347"/>
      <c r="O4371" s="132"/>
    </row>
    <row r="4372" spans="2:15" ht="26.25" customHeight="1" x14ac:dyDescent="0.25">
      <c r="B4372" s="130"/>
      <c r="C4372" s="135"/>
      <c r="D4372" s="177"/>
      <c r="E4372" s="178"/>
      <c r="F4372" s="178"/>
      <c r="G4372" s="340"/>
      <c r="H4372" s="340"/>
      <c r="I4372" s="179"/>
      <c r="J4372" s="344"/>
      <c r="K4372" s="345"/>
      <c r="L4372" s="346"/>
      <c r="M4372" s="347"/>
      <c r="N4372" s="347"/>
      <c r="O4372" s="132"/>
    </row>
    <row r="4373" spans="2:15" ht="26.25" customHeight="1" x14ac:dyDescent="0.25">
      <c r="B4373" s="130"/>
      <c r="C4373" s="135"/>
      <c r="D4373" s="177"/>
      <c r="E4373" s="178"/>
      <c r="F4373" s="178"/>
      <c r="G4373" s="340"/>
      <c r="H4373" s="340"/>
      <c r="I4373" s="179"/>
      <c r="J4373" s="344"/>
      <c r="K4373" s="345"/>
      <c r="L4373" s="346"/>
      <c r="M4373" s="347"/>
      <c r="N4373" s="347"/>
      <c r="O4373" s="132"/>
    </row>
    <row r="4374" spans="2:15" ht="26.25" customHeight="1" x14ac:dyDescent="0.25">
      <c r="B4374" s="130"/>
      <c r="C4374" s="135"/>
      <c r="D4374" s="177"/>
      <c r="E4374" s="178"/>
      <c r="F4374" s="178"/>
      <c r="G4374" s="340"/>
      <c r="H4374" s="340"/>
      <c r="I4374" s="179"/>
      <c r="J4374" s="344"/>
      <c r="K4374" s="345"/>
      <c r="L4374" s="346"/>
      <c r="M4374" s="347"/>
      <c r="N4374" s="347"/>
      <c r="O4374" s="132"/>
    </row>
    <row r="4375" spans="2:15" ht="26.25" customHeight="1" x14ac:dyDescent="0.25">
      <c r="B4375" s="130"/>
      <c r="C4375" s="135"/>
      <c r="D4375" s="177"/>
      <c r="E4375" s="178"/>
      <c r="F4375" s="178"/>
      <c r="G4375" s="340"/>
      <c r="H4375" s="340"/>
      <c r="I4375" s="179"/>
      <c r="J4375" s="344"/>
      <c r="K4375" s="345"/>
      <c r="L4375" s="346"/>
      <c r="M4375" s="347"/>
      <c r="N4375" s="347"/>
      <c r="O4375" s="132"/>
    </row>
    <row r="4376" spans="2:15" ht="26.25" customHeight="1" x14ac:dyDescent="0.25">
      <c r="B4376" s="130"/>
      <c r="C4376" s="135"/>
      <c r="D4376" s="177"/>
      <c r="E4376" s="178"/>
      <c r="F4376" s="178"/>
      <c r="G4376" s="340"/>
      <c r="H4376" s="340"/>
      <c r="I4376" s="179"/>
      <c r="J4376" s="344"/>
      <c r="K4376" s="345"/>
      <c r="L4376" s="346"/>
      <c r="M4376" s="347"/>
      <c r="N4376" s="347"/>
      <c r="O4376" s="132"/>
    </row>
    <row r="4377" spans="2:15" ht="26.25" customHeight="1" x14ac:dyDescent="0.25">
      <c r="B4377" s="130"/>
      <c r="C4377" s="135"/>
      <c r="D4377" s="177"/>
      <c r="E4377" s="178"/>
      <c r="F4377" s="178"/>
      <c r="G4377" s="340"/>
      <c r="H4377" s="340"/>
      <c r="I4377" s="179"/>
      <c r="J4377" s="344"/>
      <c r="K4377" s="345"/>
      <c r="L4377" s="346"/>
      <c r="M4377" s="347"/>
      <c r="N4377" s="347"/>
      <c r="O4377" s="132"/>
    </row>
    <row r="4378" spans="2:15" ht="26.25" customHeight="1" x14ac:dyDescent="0.25">
      <c r="B4378" s="130"/>
      <c r="C4378" s="135"/>
      <c r="D4378" s="177"/>
      <c r="E4378" s="178"/>
      <c r="F4378" s="178"/>
      <c r="G4378" s="340"/>
      <c r="H4378" s="340"/>
      <c r="I4378" s="179"/>
      <c r="J4378" s="344"/>
      <c r="K4378" s="345"/>
      <c r="L4378" s="346"/>
      <c r="M4378" s="347"/>
      <c r="N4378" s="347"/>
      <c r="O4378" s="132"/>
    </row>
    <row r="4379" spans="2:15" ht="26.25" customHeight="1" x14ac:dyDescent="0.25">
      <c r="B4379" s="130"/>
      <c r="C4379" s="135"/>
      <c r="D4379" s="177"/>
      <c r="E4379" s="178"/>
      <c r="F4379" s="178"/>
      <c r="G4379" s="340"/>
      <c r="H4379" s="340"/>
      <c r="I4379" s="179"/>
      <c r="J4379" s="344"/>
      <c r="K4379" s="345"/>
      <c r="L4379" s="346"/>
      <c r="M4379" s="347"/>
      <c r="N4379" s="347"/>
      <c r="O4379" s="132"/>
    </row>
    <row r="4380" spans="2:15" ht="26.25" customHeight="1" x14ac:dyDescent="0.25">
      <c r="B4380" s="130"/>
      <c r="C4380" s="135"/>
      <c r="D4380" s="177"/>
      <c r="E4380" s="178"/>
      <c r="F4380" s="178"/>
      <c r="G4380" s="340"/>
      <c r="H4380" s="340"/>
      <c r="I4380" s="179"/>
      <c r="J4380" s="344"/>
      <c r="K4380" s="345"/>
      <c r="L4380" s="346"/>
      <c r="M4380" s="347"/>
      <c r="N4380" s="347"/>
      <c r="O4380" s="132"/>
    </row>
    <row r="4381" spans="2:15" ht="26.25" customHeight="1" x14ac:dyDescent="0.25">
      <c r="B4381" s="130"/>
      <c r="C4381" s="135"/>
      <c r="D4381" s="177"/>
      <c r="E4381" s="178"/>
      <c r="F4381" s="178"/>
      <c r="G4381" s="340"/>
      <c r="H4381" s="340"/>
      <c r="I4381" s="179"/>
      <c r="J4381" s="344"/>
      <c r="K4381" s="345"/>
      <c r="L4381" s="346"/>
      <c r="M4381" s="347"/>
      <c r="N4381" s="347"/>
      <c r="O4381" s="132"/>
    </row>
    <row r="4382" spans="2:15" ht="26.25" customHeight="1" x14ac:dyDescent="0.25">
      <c r="B4382" s="130"/>
      <c r="C4382" s="135"/>
      <c r="D4382" s="177"/>
      <c r="E4382" s="178"/>
      <c r="F4382" s="178"/>
      <c r="G4382" s="340"/>
      <c r="H4382" s="340"/>
      <c r="I4382" s="179"/>
      <c r="J4382" s="344"/>
      <c r="K4382" s="345"/>
      <c r="L4382" s="346"/>
      <c r="M4382" s="347"/>
      <c r="N4382" s="347"/>
      <c r="O4382" s="132"/>
    </row>
    <row r="4383" spans="2:15" ht="26.25" customHeight="1" x14ac:dyDescent="0.25">
      <c r="B4383" s="130"/>
      <c r="C4383" s="135"/>
      <c r="D4383" s="177"/>
      <c r="E4383" s="178"/>
      <c r="F4383" s="178"/>
      <c r="G4383" s="340"/>
      <c r="H4383" s="340"/>
      <c r="I4383" s="179"/>
      <c r="J4383" s="344"/>
      <c r="K4383" s="345"/>
      <c r="L4383" s="346"/>
      <c r="M4383" s="347"/>
      <c r="N4383" s="347"/>
      <c r="O4383" s="132"/>
    </row>
    <row r="4384" spans="2:15" ht="26.25" customHeight="1" x14ac:dyDescent="0.25">
      <c r="B4384" s="130"/>
      <c r="C4384" s="135"/>
      <c r="D4384" s="177"/>
      <c r="E4384" s="178"/>
      <c r="F4384" s="178"/>
      <c r="G4384" s="340"/>
      <c r="H4384" s="340"/>
      <c r="I4384" s="179"/>
      <c r="J4384" s="344"/>
      <c r="K4384" s="345"/>
      <c r="L4384" s="346"/>
      <c r="M4384" s="347"/>
      <c r="N4384" s="347"/>
      <c r="O4384" s="132"/>
    </row>
    <row r="4385" spans="2:15" ht="26.25" customHeight="1" x14ac:dyDescent="0.25">
      <c r="B4385" s="130"/>
      <c r="C4385" s="135"/>
      <c r="D4385" s="177"/>
      <c r="E4385" s="178"/>
      <c r="F4385" s="178"/>
      <c r="G4385" s="340"/>
      <c r="H4385" s="340"/>
      <c r="I4385" s="179"/>
      <c r="J4385" s="344"/>
      <c r="K4385" s="345"/>
      <c r="L4385" s="346"/>
      <c r="M4385" s="347"/>
      <c r="N4385" s="347"/>
      <c r="O4385" s="132"/>
    </row>
    <row r="4386" spans="2:15" ht="26.25" customHeight="1" x14ac:dyDescent="0.25">
      <c r="B4386" s="130"/>
      <c r="C4386" s="135"/>
      <c r="D4386" s="177"/>
      <c r="E4386" s="178"/>
      <c r="F4386" s="178"/>
      <c r="G4386" s="340"/>
      <c r="H4386" s="340"/>
      <c r="I4386" s="179"/>
      <c r="J4386" s="344"/>
      <c r="K4386" s="345"/>
      <c r="L4386" s="346"/>
      <c r="M4386" s="347"/>
      <c r="N4386" s="347"/>
      <c r="O4386" s="132"/>
    </row>
    <row r="4387" spans="2:15" ht="26.25" customHeight="1" x14ac:dyDescent="0.25">
      <c r="B4387" s="130"/>
      <c r="C4387" s="135"/>
      <c r="D4387" s="177"/>
      <c r="E4387" s="178"/>
      <c r="F4387" s="178"/>
      <c r="G4387" s="340"/>
      <c r="H4387" s="340"/>
      <c r="I4387" s="179"/>
      <c r="J4387" s="344"/>
      <c r="K4387" s="345"/>
      <c r="L4387" s="346"/>
      <c r="M4387" s="347"/>
      <c r="N4387" s="347"/>
      <c r="O4387" s="132"/>
    </row>
    <row r="4388" spans="2:15" ht="26.25" customHeight="1" x14ac:dyDescent="0.25">
      <c r="B4388" s="130"/>
      <c r="C4388" s="135"/>
      <c r="D4388" s="177"/>
      <c r="E4388" s="178"/>
      <c r="F4388" s="178"/>
      <c r="G4388" s="340"/>
      <c r="H4388" s="340"/>
      <c r="I4388" s="179"/>
      <c r="J4388" s="344"/>
      <c r="K4388" s="345"/>
      <c r="L4388" s="346"/>
      <c r="M4388" s="347"/>
      <c r="N4388" s="347"/>
      <c r="O4388" s="132"/>
    </row>
    <row r="4389" spans="2:15" ht="26.25" customHeight="1" x14ac:dyDescent="0.25">
      <c r="B4389" s="130"/>
      <c r="C4389" s="135"/>
      <c r="D4389" s="177"/>
      <c r="E4389" s="178"/>
      <c r="F4389" s="178"/>
      <c r="G4389" s="340"/>
      <c r="H4389" s="340"/>
      <c r="I4389" s="179"/>
      <c r="J4389" s="344"/>
      <c r="K4389" s="345"/>
      <c r="L4389" s="346"/>
      <c r="M4389" s="347"/>
      <c r="N4389" s="347"/>
      <c r="O4389" s="132"/>
    </row>
    <row r="4390" spans="2:15" ht="26.25" customHeight="1" x14ac:dyDescent="0.25">
      <c r="B4390" s="130"/>
      <c r="C4390" s="135"/>
      <c r="D4390" s="177"/>
      <c r="E4390" s="178"/>
      <c r="F4390" s="178"/>
      <c r="G4390" s="340"/>
      <c r="H4390" s="340"/>
      <c r="I4390" s="179"/>
      <c r="J4390" s="344"/>
      <c r="K4390" s="345"/>
      <c r="L4390" s="346"/>
      <c r="M4390" s="347"/>
      <c r="N4390" s="347"/>
      <c r="O4390" s="132"/>
    </row>
    <row r="4391" spans="2:15" ht="26.25" customHeight="1" x14ac:dyDescent="0.25">
      <c r="B4391" s="130"/>
      <c r="C4391" s="135"/>
      <c r="D4391" s="177"/>
      <c r="E4391" s="178"/>
      <c r="F4391" s="178"/>
      <c r="G4391" s="340"/>
      <c r="H4391" s="340"/>
      <c r="I4391" s="179"/>
      <c r="J4391" s="344"/>
      <c r="K4391" s="345"/>
      <c r="L4391" s="346"/>
      <c r="M4391" s="347"/>
      <c r="N4391" s="347"/>
      <c r="O4391" s="132"/>
    </row>
    <row r="4392" spans="2:15" ht="26.25" customHeight="1" x14ac:dyDescent="0.25">
      <c r="B4392" s="130"/>
      <c r="C4392" s="135"/>
      <c r="D4392" s="177"/>
      <c r="E4392" s="178"/>
      <c r="F4392" s="178"/>
      <c r="G4392" s="340"/>
      <c r="H4392" s="340"/>
      <c r="I4392" s="179"/>
      <c r="J4392" s="344"/>
      <c r="K4392" s="345"/>
      <c r="L4392" s="346"/>
      <c r="M4392" s="347"/>
      <c r="N4392" s="347"/>
      <c r="O4392" s="132"/>
    </row>
    <row r="4393" spans="2:15" ht="26.25" customHeight="1" x14ac:dyDescent="0.25">
      <c r="B4393" s="130"/>
      <c r="C4393" s="135"/>
      <c r="D4393" s="177"/>
      <c r="E4393" s="178"/>
      <c r="F4393" s="178"/>
      <c r="G4393" s="340"/>
      <c r="H4393" s="340"/>
      <c r="I4393" s="179"/>
      <c r="J4393" s="344"/>
      <c r="K4393" s="345"/>
      <c r="L4393" s="346"/>
      <c r="M4393" s="347"/>
      <c r="N4393" s="347"/>
      <c r="O4393" s="132"/>
    </row>
    <row r="4394" spans="2:15" ht="26.25" customHeight="1" x14ac:dyDescent="0.25">
      <c r="B4394" s="130"/>
      <c r="C4394" s="135"/>
      <c r="D4394" s="177"/>
      <c r="E4394" s="178"/>
      <c r="F4394" s="178"/>
      <c r="G4394" s="340"/>
      <c r="H4394" s="340"/>
      <c r="I4394" s="179"/>
      <c r="J4394" s="344"/>
      <c r="K4394" s="345"/>
      <c r="L4394" s="346"/>
      <c r="M4394" s="347"/>
      <c r="N4394" s="347"/>
      <c r="O4394" s="132"/>
    </row>
    <row r="4395" spans="2:15" ht="26.25" customHeight="1" x14ac:dyDescent="0.25">
      <c r="B4395" s="130"/>
      <c r="C4395" s="135"/>
      <c r="D4395" s="177"/>
      <c r="E4395" s="178"/>
      <c r="F4395" s="178"/>
      <c r="G4395" s="340"/>
      <c r="H4395" s="340"/>
      <c r="I4395" s="179"/>
      <c r="J4395" s="344"/>
      <c r="K4395" s="345"/>
      <c r="L4395" s="346"/>
      <c r="M4395" s="347"/>
      <c r="N4395" s="347"/>
      <c r="O4395" s="132"/>
    </row>
    <row r="4396" spans="2:15" ht="26.25" customHeight="1" x14ac:dyDescent="0.25">
      <c r="B4396" s="130"/>
      <c r="C4396" s="135"/>
      <c r="D4396" s="177"/>
      <c r="E4396" s="178"/>
      <c r="F4396" s="178"/>
      <c r="G4396" s="340"/>
      <c r="H4396" s="340"/>
      <c r="I4396" s="179"/>
      <c r="J4396" s="344"/>
      <c r="K4396" s="345"/>
      <c r="L4396" s="346"/>
      <c r="M4396" s="347"/>
      <c r="N4396" s="347"/>
      <c r="O4396" s="132"/>
    </row>
    <row r="4397" spans="2:15" ht="26.25" customHeight="1" x14ac:dyDescent="0.25">
      <c r="B4397" s="130"/>
      <c r="C4397" s="135"/>
      <c r="D4397" s="177"/>
      <c r="E4397" s="178"/>
      <c r="F4397" s="178"/>
      <c r="G4397" s="340"/>
      <c r="H4397" s="340"/>
      <c r="I4397" s="179"/>
      <c r="J4397" s="344"/>
      <c r="K4397" s="345"/>
      <c r="L4397" s="346"/>
      <c r="M4397" s="347"/>
      <c r="N4397" s="347"/>
      <c r="O4397" s="132"/>
    </row>
    <row r="4398" spans="2:15" ht="26.25" customHeight="1" x14ac:dyDescent="0.25">
      <c r="B4398" s="130"/>
      <c r="C4398" s="135"/>
      <c r="D4398" s="177"/>
      <c r="E4398" s="178"/>
      <c r="F4398" s="178"/>
      <c r="G4398" s="340"/>
      <c r="H4398" s="340"/>
      <c r="I4398" s="179"/>
      <c r="J4398" s="344"/>
      <c r="K4398" s="345"/>
      <c r="L4398" s="346"/>
      <c r="M4398" s="347"/>
      <c r="N4398" s="347"/>
      <c r="O4398" s="132"/>
    </row>
    <row r="4399" spans="2:15" ht="26.25" customHeight="1" x14ac:dyDescent="0.25">
      <c r="B4399" s="130"/>
      <c r="C4399" s="135"/>
      <c r="D4399" s="177"/>
      <c r="E4399" s="178"/>
      <c r="F4399" s="178"/>
      <c r="G4399" s="340"/>
      <c r="H4399" s="340"/>
      <c r="I4399" s="179"/>
      <c r="J4399" s="344"/>
      <c r="K4399" s="345"/>
      <c r="L4399" s="346"/>
      <c r="M4399" s="347"/>
      <c r="N4399" s="347"/>
      <c r="O4399" s="132"/>
    </row>
    <row r="4400" spans="2:15" ht="26.25" customHeight="1" x14ac:dyDescent="0.25">
      <c r="B4400" s="130"/>
      <c r="C4400" s="135"/>
      <c r="D4400" s="177"/>
      <c r="E4400" s="178"/>
      <c r="F4400" s="178"/>
      <c r="G4400" s="340"/>
      <c r="H4400" s="340"/>
      <c r="I4400" s="179"/>
      <c r="J4400" s="344"/>
      <c r="K4400" s="345"/>
      <c r="L4400" s="346"/>
      <c r="M4400" s="347"/>
      <c r="N4400" s="347"/>
      <c r="O4400" s="132"/>
    </row>
    <row r="4401" spans="2:15" ht="26.25" customHeight="1" x14ac:dyDescent="0.25">
      <c r="B4401" s="130"/>
      <c r="C4401" s="135"/>
      <c r="D4401" s="177"/>
      <c r="E4401" s="178"/>
      <c r="F4401" s="178"/>
      <c r="G4401" s="340"/>
      <c r="H4401" s="340"/>
      <c r="I4401" s="179"/>
      <c r="J4401" s="344"/>
      <c r="K4401" s="345"/>
      <c r="L4401" s="346"/>
      <c r="M4401" s="347"/>
      <c r="N4401" s="347"/>
      <c r="O4401" s="132"/>
    </row>
    <row r="4402" spans="2:15" ht="26.25" customHeight="1" x14ac:dyDescent="0.25">
      <c r="B4402" s="130"/>
      <c r="C4402" s="135"/>
      <c r="D4402" s="177"/>
      <c r="E4402" s="178"/>
      <c r="F4402" s="178"/>
      <c r="G4402" s="340"/>
      <c r="H4402" s="340"/>
      <c r="I4402" s="179"/>
      <c r="J4402" s="344"/>
      <c r="K4402" s="345"/>
      <c r="L4402" s="346"/>
      <c r="M4402" s="347"/>
      <c r="N4402" s="347"/>
      <c r="O4402" s="132"/>
    </row>
    <row r="4403" spans="2:15" ht="26.25" customHeight="1" x14ac:dyDescent="0.25">
      <c r="B4403" s="130"/>
      <c r="C4403" s="135"/>
      <c r="D4403" s="177"/>
      <c r="E4403" s="178"/>
      <c r="F4403" s="178"/>
      <c r="G4403" s="340"/>
      <c r="H4403" s="340"/>
      <c r="I4403" s="179"/>
      <c r="J4403" s="344"/>
      <c r="K4403" s="345"/>
      <c r="L4403" s="346"/>
      <c r="M4403" s="347"/>
      <c r="N4403" s="347"/>
      <c r="O4403" s="132"/>
    </row>
    <row r="4404" spans="2:15" ht="26.25" customHeight="1" x14ac:dyDescent="0.25">
      <c r="B4404" s="130"/>
      <c r="C4404" s="135"/>
      <c r="D4404" s="177"/>
      <c r="E4404" s="178"/>
      <c r="F4404" s="178"/>
      <c r="G4404" s="340"/>
      <c r="H4404" s="340"/>
      <c r="I4404" s="179"/>
      <c r="J4404" s="344"/>
      <c r="K4404" s="345"/>
      <c r="L4404" s="346"/>
      <c r="M4404" s="347"/>
      <c r="N4404" s="347"/>
      <c r="O4404" s="132"/>
    </row>
    <row r="4405" spans="2:15" ht="26.25" customHeight="1" x14ac:dyDescent="0.25">
      <c r="B4405" s="130"/>
      <c r="C4405" s="135"/>
      <c r="D4405" s="177"/>
      <c r="E4405" s="178"/>
      <c r="F4405" s="178"/>
      <c r="G4405" s="340"/>
      <c r="H4405" s="340"/>
      <c r="I4405" s="179"/>
      <c r="J4405" s="344"/>
      <c r="K4405" s="345"/>
      <c r="L4405" s="346"/>
      <c r="M4405" s="347"/>
      <c r="N4405" s="347"/>
      <c r="O4405" s="132"/>
    </row>
    <row r="4406" spans="2:15" ht="26.25" customHeight="1" x14ac:dyDescent="0.25">
      <c r="B4406" s="130"/>
      <c r="C4406" s="135"/>
      <c r="D4406" s="177"/>
      <c r="E4406" s="178"/>
      <c r="F4406" s="178"/>
      <c r="G4406" s="340"/>
      <c r="H4406" s="340"/>
      <c r="I4406" s="179"/>
      <c r="J4406" s="344"/>
      <c r="K4406" s="345"/>
      <c r="L4406" s="346"/>
      <c r="M4406" s="347"/>
      <c r="N4406" s="347"/>
      <c r="O4406" s="132"/>
    </row>
    <row r="4407" spans="2:15" ht="26.25" customHeight="1" x14ac:dyDescent="0.25">
      <c r="B4407" s="130"/>
      <c r="C4407" s="135"/>
      <c r="D4407" s="177"/>
      <c r="E4407" s="178"/>
      <c r="F4407" s="178"/>
      <c r="G4407" s="340"/>
      <c r="H4407" s="340"/>
      <c r="I4407" s="179"/>
      <c r="J4407" s="344"/>
      <c r="K4407" s="345"/>
      <c r="L4407" s="346"/>
      <c r="M4407" s="347"/>
      <c r="N4407" s="347"/>
      <c r="O4407" s="132"/>
    </row>
    <row r="4408" spans="2:15" ht="26.25" customHeight="1" x14ac:dyDescent="0.25">
      <c r="B4408" s="130"/>
      <c r="C4408" s="135"/>
      <c r="D4408" s="177"/>
      <c r="E4408" s="178"/>
      <c r="F4408" s="178"/>
      <c r="G4408" s="340"/>
      <c r="H4408" s="340"/>
      <c r="I4408" s="179"/>
      <c r="J4408" s="344"/>
      <c r="K4408" s="345"/>
      <c r="L4408" s="346"/>
      <c r="M4408" s="347"/>
      <c r="N4408" s="347"/>
      <c r="O4408" s="132"/>
    </row>
    <row r="4409" spans="2:15" ht="26.25" customHeight="1" x14ac:dyDescent="0.25">
      <c r="B4409" s="130"/>
      <c r="C4409" s="135"/>
      <c r="D4409" s="177"/>
      <c r="E4409" s="178"/>
      <c r="F4409" s="178"/>
      <c r="G4409" s="340"/>
      <c r="H4409" s="340"/>
      <c r="I4409" s="179"/>
      <c r="J4409" s="344"/>
      <c r="K4409" s="345"/>
      <c r="L4409" s="346"/>
      <c r="M4409" s="347"/>
      <c r="N4409" s="347"/>
      <c r="O4409" s="132"/>
    </row>
    <row r="4410" spans="2:15" ht="26.25" customHeight="1" x14ac:dyDescent="0.25">
      <c r="B4410" s="130"/>
      <c r="C4410" s="135"/>
      <c r="D4410" s="177"/>
      <c r="E4410" s="178"/>
      <c r="F4410" s="178"/>
      <c r="G4410" s="340"/>
      <c r="H4410" s="340"/>
      <c r="I4410" s="179"/>
      <c r="J4410" s="344"/>
      <c r="K4410" s="345"/>
      <c r="L4410" s="346"/>
      <c r="M4410" s="347"/>
      <c r="N4410" s="347"/>
      <c r="O4410" s="132"/>
    </row>
    <row r="4411" spans="2:15" ht="26.25" customHeight="1" x14ac:dyDescent="0.25">
      <c r="B4411" s="130"/>
      <c r="C4411" s="135"/>
      <c r="D4411" s="177"/>
      <c r="E4411" s="178"/>
      <c r="F4411" s="178"/>
      <c r="G4411" s="340"/>
      <c r="H4411" s="340"/>
      <c r="I4411" s="179"/>
      <c r="J4411" s="344"/>
      <c r="K4411" s="345"/>
      <c r="L4411" s="346"/>
      <c r="M4411" s="347"/>
      <c r="N4411" s="347"/>
      <c r="O4411" s="132"/>
    </row>
    <row r="4412" spans="2:15" ht="26.25" customHeight="1" x14ac:dyDescent="0.25">
      <c r="B4412" s="130"/>
      <c r="C4412" s="135"/>
      <c r="D4412" s="177"/>
      <c r="E4412" s="178"/>
      <c r="F4412" s="178"/>
      <c r="G4412" s="340"/>
      <c r="H4412" s="340"/>
      <c r="I4412" s="179"/>
      <c r="J4412" s="344"/>
      <c r="K4412" s="345"/>
      <c r="L4412" s="346"/>
      <c r="M4412" s="347"/>
      <c r="N4412" s="347"/>
      <c r="O4412" s="132"/>
    </row>
    <row r="4413" spans="2:15" ht="26.25" customHeight="1" x14ac:dyDescent="0.25">
      <c r="B4413" s="130"/>
      <c r="C4413" s="135"/>
      <c r="D4413" s="177"/>
      <c r="E4413" s="178"/>
      <c r="F4413" s="178"/>
      <c r="G4413" s="340"/>
      <c r="H4413" s="340"/>
      <c r="I4413" s="179"/>
      <c r="J4413" s="344"/>
      <c r="K4413" s="345"/>
      <c r="L4413" s="346"/>
      <c r="M4413" s="347"/>
      <c r="N4413" s="347"/>
      <c r="O4413" s="132"/>
    </row>
    <row r="4414" spans="2:15" ht="26.25" customHeight="1" x14ac:dyDescent="0.25">
      <c r="B4414" s="130"/>
      <c r="C4414" s="135"/>
      <c r="D4414" s="177"/>
      <c r="E4414" s="178"/>
      <c r="F4414" s="178"/>
      <c r="G4414" s="340"/>
      <c r="H4414" s="340"/>
      <c r="I4414" s="179"/>
      <c r="J4414" s="344"/>
      <c r="K4414" s="345"/>
      <c r="L4414" s="346"/>
      <c r="M4414" s="347"/>
      <c r="N4414" s="347"/>
      <c r="O4414" s="132"/>
    </row>
    <row r="4415" spans="2:15" ht="26.25" customHeight="1" x14ac:dyDescent="0.25">
      <c r="B4415" s="130"/>
      <c r="C4415" s="135"/>
      <c r="D4415" s="177"/>
      <c r="E4415" s="178"/>
      <c r="F4415" s="178"/>
      <c r="G4415" s="340"/>
      <c r="H4415" s="340"/>
      <c r="I4415" s="179"/>
      <c r="J4415" s="344"/>
      <c r="K4415" s="345"/>
      <c r="L4415" s="346"/>
      <c r="M4415" s="347"/>
      <c r="N4415" s="347"/>
      <c r="O4415" s="132"/>
    </row>
    <row r="4416" spans="2:15" ht="26.25" customHeight="1" x14ac:dyDescent="0.25">
      <c r="B4416" s="130"/>
      <c r="C4416" s="135"/>
      <c r="D4416" s="177"/>
      <c r="E4416" s="178"/>
      <c r="F4416" s="178"/>
      <c r="G4416" s="340"/>
      <c r="H4416" s="340"/>
      <c r="I4416" s="179"/>
      <c r="J4416" s="344"/>
      <c r="K4416" s="345"/>
      <c r="L4416" s="346"/>
      <c r="M4416" s="347"/>
      <c r="N4416" s="347"/>
      <c r="O4416" s="132"/>
    </row>
    <row r="4417" spans="2:15" ht="26.25" customHeight="1" x14ac:dyDescent="0.25">
      <c r="B4417" s="130"/>
      <c r="C4417" s="135"/>
      <c r="D4417" s="177"/>
      <c r="E4417" s="178"/>
      <c r="F4417" s="178"/>
      <c r="G4417" s="340"/>
      <c r="H4417" s="340"/>
      <c r="I4417" s="179"/>
      <c r="J4417" s="344"/>
      <c r="K4417" s="345"/>
      <c r="L4417" s="346"/>
      <c r="M4417" s="347"/>
      <c r="N4417" s="347"/>
      <c r="O4417" s="132"/>
    </row>
    <row r="4418" spans="2:15" ht="26.25" customHeight="1" x14ac:dyDescent="0.25">
      <c r="B4418" s="130"/>
      <c r="C4418" s="135"/>
      <c r="D4418" s="177"/>
      <c r="E4418" s="178"/>
      <c r="F4418" s="178"/>
      <c r="G4418" s="340"/>
      <c r="H4418" s="340"/>
      <c r="I4418" s="179"/>
      <c r="J4418" s="344"/>
      <c r="K4418" s="345"/>
      <c r="L4418" s="346"/>
      <c r="M4418" s="347"/>
      <c r="N4418" s="347"/>
      <c r="O4418" s="132"/>
    </row>
    <row r="4419" spans="2:15" ht="26.25" customHeight="1" x14ac:dyDescent="0.25">
      <c r="B4419" s="130"/>
      <c r="C4419" s="135"/>
      <c r="D4419" s="177"/>
      <c r="E4419" s="178"/>
      <c r="F4419" s="178"/>
      <c r="G4419" s="340"/>
      <c r="H4419" s="340"/>
      <c r="I4419" s="179"/>
      <c r="J4419" s="344"/>
      <c r="K4419" s="345"/>
      <c r="L4419" s="346"/>
      <c r="M4419" s="347"/>
      <c r="N4419" s="347"/>
      <c r="O4419" s="132"/>
    </row>
    <row r="4420" spans="2:15" ht="26.25" customHeight="1" x14ac:dyDescent="0.25">
      <c r="B4420" s="130"/>
      <c r="C4420" s="135"/>
      <c r="D4420" s="177"/>
      <c r="E4420" s="178"/>
      <c r="F4420" s="178"/>
      <c r="G4420" s="340"/>
      <c r="H4420" s="340"/>
      <c r="I4420" s="179"/>
      <c r="J4420" s="344"/>
      <c r="K4420" s="345"/>
      <c r="L4420" s="346"/>
      <c r="M4420" s="347"/>
      <c r="N4420" s="347"/>
      <c r="O4420" s="132"/>
    </row>
    <row r="4421" spans="2:15" ht="26.25" customHeight="1" x14ac:dyDescent="0.25">
      <c r="B4421" s="130"/>
      <c r="C4421" s="135"/>
      <c r="D4421" s="177"/>
      <c r="E4421" s="178"/>
      <c r="F4421" s="178"/>
      <c r="G4421" s="340"/>
      <c r="H4421" s="340"/>
      <c r="I4421" s="179"/>
      <c r="J4421" s="344"/>
      <c r="K4421" s="345"/>
      <c r="L4421" s="346"/>
      <c r="M4421" s="347"/>
      <c r="N4421" s="347"/>
      <c r="O4421" s="132"/>
    </row>
    <row r="4422" spans="2:15" ht="26.25" customHeight="1" x14ac:dyDescent="0.25">
      <c r="B4422" s="130"/>
      <c r="C4422" s="135"/>
      <c r="D4422" s="177"/>
      <c r="E4422" s="178"/>
      <c r="F4422" s="178"/>
      <c r="G4422" s="340"/>
      <c r="H4422" s="340"/>
      <c r="I4422" s="179"/>
      <c r="J4422" s="344"/>
      <c r="K4422" s="345"/>
      <c r="L4422" s="346"/>
      <c r="M4422" s="347"/>
      <c r="N4422" s="347"/>
      <c r="O4422" s="132"/>
    </row>
    <row r="4423" spans="2:15" ht="26.25" customHeight="1" x14ac:dyDescent="0.25">
      <c r="B4423" s="130"/>
      <c r="C4423" s="135"/>
      <c r="D4423" s="177"/>
      <c r="E4423" s="178"/>
      <c r="F4423" s="178"/>
      <c r="G4423" s="340"/>
      <c r="H4423" s="340"/>
      <c r="I4423" s="179"/>
      <c r="J4423" s="344"/>
      <c r="K4423" s="345"/>
      <c r="L4423" s="346"/>
      <c r="M4423" s="347"/>
      <c r="N4423" s="347"/>
      <c r="O4423" s="132"/>
    </row>
    <row r="4424" spans="2:15" ht="26.25" customHeight="1" x14ac:dyDescent="0.25">
      <c r="B4424" s="130"/>
      <c r="C4424" s="135"/>
      <c r="D4424" s="177"/>
      <c r="E4424" s="178"/>
      <c r="F4424" s="178"/>
      <c r="G4424" s="340"/>
      <c r="H4424" s="340"/>
      <c r="I4424" s="179"/>
      <c r="J4424" s="344"/>
      <c r="K4424" s="345"/>
      <c r="L4424" s="346"/>
      <c r="M4424" s="347"/>
      <c r="N4424" s="347"/>
      <c r="O4424" s="132"/>
    </row>
    <row r="4425" spans="2:15" ht="26.25" customHeight="1" x14ac:dyDescent="0.25">
      <c r="B4425" s="130"/>
      <c r="C4425" s="135"/>
      <c r="D4425" s="177"/>
      <c r="E4425" s="178"/>
      <c r="F4425" s="178"/>
      <c r="G4425" s="340"/>
      <c r="H4425" s="340"/>
      <c r="I4425" s="179"/>
      <c r="J4425" s="344"/>
      <c r="K4425" s="345"/>
      <c r="L4425" s="346"/>
      <c r="M4425" s="347"/>
      <c r="N4425" s="347"/>
      <c r="O4425" s="132"/>
    </row>
    <row r="4426" spans="2:15" ht="26.25" customHeight="1" x14ac:dyDescent="0.25">
      <c r="B4426" s="130"/>
      <c r="C4426" s="135"/>
      <c r="D4426" s="177"/>
      <c r="E4426" s="178"/>
      <c r="F4426" s="178"/>
      <c r="G4426" s="340"/>
      <c r="H4426" s="340"/>
      <c r="I4426" s="179"/>
      <c r="J4426" s="344"/>
      <c r="K4426" s="345"/>
      <c r="L4426" s="346"/>
      <c r="M4426" s="347"/>
      <c r="N4426" s="347"/>
      <c r="O4426" s="132"/>
    </row>
    <row r="4427" spans="2:15" ht="26.25" customHeight="1" x14ac:dyDescent="0.25">
      <c r="B4427" s="130"/>
      <c r="C4427" s="135"/>
      <c r="D4427" s="177"/>
      <c r="E4427" s="178"/>
      <c r="F4427" s="178"/>
      <c r="G4427" s="340"/>
      <c r="H4427" s="340"/>
      <c r="I4427" s="179"/>
      <c r="J4427" s="344"/>
      <c r="K4427" s="345"/>
      <c r="L4427" s="346"/>
      <c r="M4427" s="347"/>
      <c r="N4427" s="347"/>
      <c r="O4427" s="132"/>
    </row>
    <row r="4428" spans="2:15" ht="26.25" customHeight="1" x14ac:dyDescent="0.25">
      <c r="B4428" s="130"/>
      <c r="C4428" s="135"/>
      <c r="D4428" s="177"/>
      <c r="E4428" s="178"/>
      <c r="F4428" s="178"/>
      <c r="G4428" s="340"/>
      <c r="H4428" s="340"/>
      <c r="I4428" s="179"/>
      <c r="J4428" s="344"/>
      <c r="K4428" s="345"/>
      <c r="L4428" s="346"/>
      <c r="M4428" s="347"/>
      <c r="N4428" s="347"/>
      <c r="O4428" s="132"/>
    </row>
    <row r="4429" spans="2:15" ht="26.25" customHeight="1" x14ac:dyDescent="0.25">
      <c r="B4429" s="130"/>
      <c r="C4429" s="135"/>
      <c r="D4429" s="177"/>
      <c r="E4429" s="178"/>
      <c r="F4429" s="178"/>
      <c r="G4429" s="340"/>
      <c r="H4429" s="340"/>
      <c r="I4429" s="179"/>
      <c r="J4429" s="344"/>
      <c r="K4429" s="345"/>
      <c r="L4429" s="346"/>
      <c r="M4429" s="347"/>
      <c r="N4429" s="347"/>
      <c r="O4429" s="132"/>
    </row>
    <row r="4430" spans="2:15" ht="26.25" customHeight="1" x14ac:dyDescent="0.25">
      <c r="B4430" s="130"/>
      <c r="C4430" s="135"/>
      <c r="D4430" s="177"/>
      <c r="E4430" s="178"/>
      <c r="F4430" s="178"/>
      <c r="G4430" s="340"/>
      <c r="H4430" s="340"/>
      <c r="I4430" s="179"/>
      <c r="J4430" s="344"/>
      <c r="K4430" s="345"/>
      <c r="L4430" s="346"/>
      <c r="M4430" s="347"/>
      <c r="N4430" s="347"/>
      <c r="O4430" s="132"/>
    </row>
    <row r="4431" spans="2:15" ht="26.25" customHeight="1" x14ac:dyDescent="0.25">
      <c r="B4431" s="130"/>
      <c r="C4431" s="135"/>
      <c r="D4431" s="177"/>
      <c r="E4431" s="178"/>
      <c r="F4431" s="178"/>
      <c r="G4431" s="340"/>
      <c r="H4431" s="340"/>
      <c r="I4431" s="179"/>
      <c r="J4431" s="344"/>
      <c r="K4431" s="345"/>
      <c r="L4431" s="346"/>
      <c r="M4431" s="347"/>
      <c r="N4431" s="347"/>
      <c r="O4431" s="132"/>
    </row>
    <row r="4432" spans="2:15" ht="26.25" customHeight="1" x14ac:dyDescent="0.25">
      <c r="B4432" s="130"/>
      <c r="C4432" s="135"/>
      <c r="D4432" s="177"/>
      <c r="E4432" s="178"/>
      <c r="F4432" s="178"/>
      <c r="G4432" s="340"/>
      <c r="H4432" s="340"/>
      <c r="I4432" s="179"/>
      <c r="J4432" s="344"/>
      <c r="K4432" s="345"/>
      <c r="L4432" s="346"/>
      <c r="M4432" s="347"/>
      <c r="N4432" s="347"/>
      <c r="O4432" s="132"/>
    </row>
    <row r="4433" spans="2:15" ht="26.25" customHeight="1" x14ac:dyDescent="0.25">
      <c r="B4433" s="130"/>
      <c r="C4433" s="135"/>
      <c r="D4433" s="177"/>
      <c r="E4433" s="178"/>
      <c r="F4433" s="178"/>
      <c r="G4433" s="340"/>
      <c r="H4433" s="340"/>
      <c r="I4433" s="179"/>
      <c r="J4433" s="344"/>
      <c r="K4433" s="345"/>
      <c r="L4433" s="346"/>
      <c r="M4433" s="347"/>
      <c r="N4433" s="347"/>
      <c r="O4433" s="132"/>
    </row>
    <row r="4434" spans="2:15" ht="26.25" customHeight="1" x14ac:dyDescent="0.25">
      <c r="B4434" s="130"/>
      <c r="C4434" s="135"/>
      <c r="D4434" s="177"/>
      <c r="E4434" s="178"/>
      <c r="F4434" s="178"/>
      <c r="G4434" s="340"/>
      <c r="H4434" s="340"/>
      <c r="I4434" s="179"/>
      <c r="J4434" s="344"/>
      <c r="K4434" s="345"/>
      <c r="L4434" s="346"/>
      <c r="M4434" s="347"/>
      <c r="N4434" s="347"/>
      <c r="O4434" s="132"/>
    </row>
    <row r="4435" spans="2:15" ht="26.25" customHeight="1" x14ac:dyDescent="0.25">
      <c r="B4435" s="130"/>
      <c r="C4435" s="135"/>
      <c r="D4435" s="177"/>
      <c r="E4435" s="178"/>
      <c r="F4435" s="178"/>
      <c r="G4435" s="340"/>
      <c r="H4435" s="340"/>
      <c r="I4435" s="179"/>
      <c r="J4435" s="344"/>
      <c r="K4435" s="345"/>
      <c r="L4435" s="346"/>
      <c r="M4435" s="347"/>
      <c r="N4435" s="347"/>
      <c r="O4435" s="132"/>
    </row>
    <row r="4436" spans="2:15" ht="26.25" customHeight="1" x14ac:dyDescent="0.25">
      <c r="B4436" s="130"/>
      <c r="C4436" s="135"/>
      <c r="D4436" s="177"/>
      <c r="E4436" s="178"/>
      <c r="F4436" s="178"/>
      <c r="G4436" s="340"/>
      <c r="H4436" s="340"/>
      <c r="I4436" s="179"/>
      <c r="J4436" s="344"/>
      <c r="K4436" s="345"/>
      <c r="L4436" s="346"/>
      <c r="M4436" s="347"/>
      <c r="N4436" s="347"/>
      <c r="O4436" s="132"/>
    </row>
    <row r="4437" spans="2:15" ht="26.25" customHeight="1" x14ac:dyDescent="0.25">
      <c r="B4437" s="130"/>
      <c r="C4437" s="135"/>
      <c r="D4437" s="177"/>
      <c r="E4437" s="178"/>
      <c r="F4437" s="178"/>
      <c r="G4437" s="340"/>
      <c r="H4437" s="340"/>
      <c r="I4437" s="179"/>
      <c r="J4437" s="344"/>
      <c r="K4437" s="345"/>
      <c r="L4437" s="346"/>
      <c r="M4437" s="347"/>
      <c r="N4437" s="347"/>
      <c r="O4437" s="132"/>
    </row>
    <row r="4438" spans="2:15" ht="26.25" customHeight="1" x14ac:dyDescent="0.25">
      <c r="B4438" s="130"/>
      <c r="C4438" s="135"/>
      <c r="D4438" s="177"/>
      <c r="E4438" s="178"/>
      <c r="F4438" s="178"/>
      <c r="G4438" s="340"/>
      <c r="H4438" s="340"/>
      <c r="I4438" s="179"/>
      <c r="J4438" s="344"/>
      <c r="K4438" s="345"/>
      <c r="L4438" s="346"/>
      <c r="M4438" s="347"/>
      <c r="N4438" s="347"/>
      <c r="O4438" s="132"/>
    </row>
    <row r="4439" spans="2:15" ht="26.25" customHeight="1" x14ac:dyDescent="0.25">
      <c r="B4439" s="130"/>
      <c r="C4439" s="135"/>
      <c r="D4439" s="177"/>
      <c r="E4439" s="178"/>
      <c r="F4439" s="178"/>
      <c r="G4439" s="340"/>
      <c r="H4439" s="340"/>
      <c r="I4439" s="179"/>
      <c r="J4439" s="344"/>
      <c r="K4439" s="345"/>
      <c r="L4439" s="346"/>
      <c r="M4439" s="347"/>
      <c r="N4439" s="347"/>
      <c r="O4439" s="132"/>
    </row>
    <row r="4440" spans="2:15" ht="26.25" customHeight="1" x14ac:dyDescent="0.25">
      <c r="B4440" s="130"/>
      <c r="C4440" s="135"/>
      <c r="D4440" s="177"/>
      <c r="E4440" s="178"/>
      <c r="F4440" s="178"/>
      <c r="G4440" s="340"/>
      <c r="H4440" s="340"/>
      <c r="I4440" s="179"/>
      <c r="J4440" s="344"/>
      <c r="K4440" s="345"/>
      <c r="L4440" s="346"/>
      <c r="M4440" s="347"/>
      <c r="N4440" s="347"/>
      <c r="O4440" s="132"/>
    </row>
    <row r="4441" spans="2:15" ht="26.25" customHeight="1" x14ac:dyDescent="0.25">
      <c r="B4441" s="130"/>
      <c r="C4441" s="135"/>
      <c r="D4441" s="177"/>
      <c r="E4441" s="178"/>
      <c r="F4441" s="178"/>
      <c r="G4441" s="340"/>
      <c r="H4441" s="340"/>
      <c r="I4441" s="179"/>
      <c r="J4441" s="344"/>
      <c r="K4441" s="345"/>
      <c r="L4441" s="346"/>
      <c r="M4441" s="347"/>
      <c r="N4441" s="347"/>
      <c r="O4441" s="132"/>
    </row>
    <row r="4442" spans="2:15" ht="26.25" customHeight="1" x14ac:dyDescent="0.25">
      <c r="B4442" s="130"/>
      <c r="C4442" s="135"/>
      <c r="D4442" s="177"/>
      <c r="E4442" s="178"/>
      <c r="F4442" s="178"/>
      <c r="G4442" s="340"/>
      <c r="H4442" s="340"/>
      <c r="I4442" s="179"/>
      <c r="J4442" s="344"/>
      <c r="K4442" s="345"/>
      <c r="L4442" s="346"/>
      <c r="M4442" s="347"/>
      <c r="N4442" s="347"/>
      <c r="O4442" s="132"/>
    </row>
    <row r="4443" spans="2:15" ht="26.25" customHeight="1" x14ac:dyDescent="0.25">
      <c r="B4443" s="130"/>
      <c r="C4443" s="135"/>
      <c r="D4443" s="177"/>
      <c r="E4443" s="178"/>
      <c r="F4443" s="178"/>
      <c r="G4443" s="340"/>
      <c r="H4443" s="340"/>
      <c r="I4443" s="179"/>
      <c r="J4443" s="344"/>
      <c r="K4443" s="345"/>
      <c r="L4443" s="346"/>
      <c r="M4443" s="347"/>
      <c r="N4443" s="347"/>
      <c r="O4443" s="132"/>
    </row>
    <row r="4444" spans="2:15" ht="26.25" customHeight="1" x14ac:dyDescent="0.25">
      <c r="B4444" s="130"/>
      <c r="C4444" s="135"/>
      <c r="D4444" s="177"/>
      <c r="E4444" s="178"/>
      <c r="F4444" s="178"/>
      <c r="G4444" s="340"/>
      <c r="H4444" s="340"/>
      <c r="I4444" s="179"/>
      <c r="J4444" s="344"/>
      <c r="K4444" s="345"/>
      <c r="L4444" s="346"/>
      <c r="M4444" s="347"/>
      <c r="N4444" s="347"/>
      <c r="O4444" s="132"/>
    </row>
    <row r="4445" spans="2:15" ht="26.25" customHeight="1" x14ac:dyDescent="0.25">
      <c r="B4445" s="130"/>
      <c r="C4445" s="135"/>
      <c r="D4445" s="177"/>
      <c r="E4445" s="178"/>
      <c r="F4445" s="178"/>
      <c r="G4445" s="340"/>
      <c r="H4445" s="340"/>
      <c r="I4445" s="179"/>
      <c r="J4445" s="344"/>
      <c r="K4445" s="345"/>
      <c r="L4445" s="346"/>
      <c r="M4445" s="347"/>
      <c r="N4445" s="347"/>
      <c r="O4445" s="132"/>
    </row>
    <row r="4446" spans="2:15" ht="26.25" customHeight="1" x14ac:dyDescent="0.25">
      <c r="B4446" s="130"/>
      <c r="C4446" s="135"/>
      <c r="D4446" s="177"/>
      <c r="E4446" s="178"/>
      <c r="F4446" s="178"/>
      <c r="G4446" s="340"/>
      <c r="H4446" s="340"/>
      <c r="I4446" s="179"/>
      <c r="J4446" s="344"/>
      <c r="K4446" s="345"/>
      <c r="L4446" s="346"/>
      <c r="M4446" s="347"/>
      <c r="N4446" s="347"/>
      <c r="O4446" s="132"/>
    </row>
    <row r="4447" spans="2:15" ht="26.25" customHeight="1" x14ac:dyDescent="0.25">
      <c r="B4447" s="130"/>
      <c r="C4447" s="135"/>
      <c r="D4447" s="177"/>
      <c r="E4447" s="178"/>
      <c r="F4447" s="178"/>
      <c r="G4447" s="340"/>
      <c r="H4447" s="340"/>
      <c r="I4447" s="179"/>
      <c r="J4447" s="344"/>
      <c r="K4447" s="345"/>
      <c r="L4447" s="346"/>
      <c r="M4447" s="347"/>
      <c r="N4447" s="347"/>
      <c r="O4447" s="132"/>
    </row>
    <row r="4448" spans="2:15" ht="26.25" customHeight="1" x14ac:dyDescent="0.25">
      <c r="B4448" s="130"/>
      <c r="C4448" s="135"/>
      <c r="D4448" s="177"/>
      <c r="E4448" s="178"/>
      <c r="F4448" s="178"/>
      <c r="G4448" s="340"/>
      <c r="H4448" s="340"/>
      <c r="I4448" s="179"/>
      <c r="J4448" s="344"/>
      <c r="K4448" s="345"/>
      <c r="L4448" s="346"/>
      <c r="M4448" s="347"/>
      <c r="N4448" s="347"/>
      <c r="O4448" s="132"/>
    </row>
    <row r="4449" spans="2:15" ht="26.25" customHeight="1" x14ac:dyDescent="0.25">
      <c r="B4449" s="130"/>
      <c r="C4449" s="135"/>
      <c r="D4449" s="177"/>
      <c r="E4449" s="178"/>
      <c r="F4449" s="178"/>
      <c r="G4449" s="340"/>
      <c r="H4449" s="340"/>
      <c r="I4449" s="179"/>
      <c r="J4449" s="344"/>
      <c r="K4449" s="345"/>
      <c r="L4449" s="346"/>
      <c r="M4449" s="347"/>
      <c r="N4449" s="347"/>
      <c r="O4449" s="132"/>
    </row>
    <row r="4450" spans="2:15" ht="26.25" customHeight="1" x14ac:dyDescent="0.25">
      <c r="B4450" s="130"/>
      <c r="C4450" s="135"/>
      <c r="D4450" s="177"/>
      <c r="E4450" s="178"/>
      <c r="F4450" s="178"/>
      <c r="G4450" s="340"/>
      <c r="H4450" s="340"/>
      <c r="I4450" s="179"/>
      <c r="J4450" s="344"/>
      <c r="K4450" s="345"/>
      <c r="L4450" s="346"/>
      <c r="M4450" s="347"/>
      <c r="N4450" s="347"/>
      <c r="O4450" s="132"/>
    </row>
    <row r="4451" spans="2:15" ht="26.25" customHeight="1" x14ac:dyDescent="0.25">
      <c r="B4451" s="130"/>
      <c r="C4451" s="135"/>
      <c r="D4451" s="177"/>
      <c r="E4451" s="178"/>
      <c r="F4451" s="178"/>
      <c r="G4451" s="340"/>
      <c r="H4451" s="340"/>
      <c r="I4451" s="179"/>
      <c r="J4451" s="344"/>
      <c r="K4451" s="345"/>
      <c r="L4451" s="346"/>
      <c r="M4451" s="347"/>
      <c r="N4451" s="347"/>
      <c r="O4451" s="132"/>
    </row>
    <row r="4452" spans="2:15" ht="26.25" customHeight="1" x14ac:dyDescent="0.25">
      <c r="B4452" s="130"/>
      <c r="C4452" s="135"/>
      <c r="D4452" s="177"/>
      <c r="E4452" s="178"/>
      <c r="F4452" s="178"/>
      <c r="G4452" s="340"/>
      <c r="H4452" s="340"/>
      <c r="I4452" s="179"/>
      <c r="J4452" s="344"/>
      <c r="K4452" s="345"/>
      <c r="L4452" s="346"/>
      <c r="M4452" s="347"/>
      <c r="N4452" s="347"/>
      <c r="O4452" s="132"/>
    </row>
    <row r="4453" spans="2:15" ht="26.25" customHeight="1" x14ac:dyDescent="0.25">
      <c r="B4453" s="130"/>
      <c r="C4453" s="135"/>
      <c r="D4453" s="177"/>
      <c r="E4453" s="178"/>
      <c r="F4453" s="178"/>
      <c r="G4453" s="340"/>
      <c r="H4453" s="340"/>
      <c r="I4453" s="179"/>
      <c r="J4453" s="344"/>
      <c r="K4453" s="345"/>
      <c r="L4453" s="346"/>
      <c r="M4453" s="347"/>
      <c r="N4453" s="347"/>
      <c r="O4453" s="132"/>
    </row>
    <row r="4454" spans="2:15" ht="26.25" customHeight="1" x14ac:dyDescent="0.25">
      <c r="B4454" s="130"/>
      <c r="C4454" s="135"/>
      <c r="D4454" s="177"/>
      <c r="E4454" s="178"/>
      <c r="F4454" s="178"/>
      <c r="G4454" s="340"/>
      <c r="H4454" s="340"/>
      <c r="I4454" s="179"/>
      <c r="J4454" s="344"/>
      <c r="K4454" s="345"/>
      <c r="L4454" s="346"/>
      <c r="M4454" s="347"/>
      <c r="N4454" s="347"/>
      <c r="O4454" s="132"/>
    </row>
    <row r="4455" spans="2:15" ht="26.25" customHeight="1" x14ac:dyDescent="0.25">
      <c r="B4455" s="130"/>
      <c r="C4455" s="135"/>
      <c r="D4455" s="177"/>
      <c r="E4455" s="178"/>
      <c r="F4455" s="178"/>
      <c r="G4455" s="340"/>
      <c r="H4455" s="340"/>
      <c r="I4455" s="179"/>
      <c r="J4455" s="344"/>
      <c r="K4455" s="345"/>
      <c r="L4455" s="346"/>
      <c r="M4455" s="347"/>
      <c r="N4455" s="347"/>
      <c r="O4455" s="132"/>
    </row>
    <row r="4456" spans="2:15" ht="26.25" customHeight="1" x14ac:dyDescent="0.25">
      <c r="B4456" s="130"/>
      <c r="C4456" s="135"/>
      <c r="D4456" s="177"/>
      <c r="E4456" s="178"/>
      <c r="F4456" s="178"/>
      <c r="G4456" s="340"/>
      <c r="H4456" s="340"/>
      <c r="I4456" s="179"/>
      <c r="J4456" s="344"/>
      <c r="K4456" s="345"/>
      <c r="L4456" s="346"/>
      <c r="M4456" s="347"/>
      <c r="N4456" s="347"/>
      <c r="O4456" s="132"/>
    </row>
    <row r="4457" spans="2:15" ht="26.25" customHeight="1" x14ac:dyDescent="0.25">
      <c r="B4457" s="130"/>
      <c r="C4457" s="135"/>
      <c r="D4457" s="177"/>
      <c r="E4457" s="178"/>
      <c r="F4457" s="178"/>
      <c r="G4457" s="340"/>
      <c r="H4457" s="340"/>
      <c r="I4457" s="179"/>
      <c r="J4457" s="344"/>
      <c r="K4457" s="345"/>
      <c r="L4457" s="346"/>
      <c r="M4457" s="347"/>
      <c r="N4457" s="347"/>
      <c r="O4457" s="132"/>
    </row>
    <row r="4458" spans="2:15" ht="26.25" customHeight="1" x14ac:dyDescent="0.25">
      <c r="B4458" s="130"/>
      <c r="C4458" s="135"/>
      <c r="D4458" s="177"/>
      <c r="E4458" s="178"/>
      <c r="F4458" s="178"/>
      <c r="G4458" s="340"/>
      <c r="H4458" s="340"/>
      <c r="I4458" s="179"/>
      <c r="J4458" s="344"/>
      <c r="K4458" s="345"/>
      <c r="L4458" s="346"/>
      <c r="M4458" s="347"/>
      <c r="N4458" s="347"/>
      <c r="O4458" s="132"/>
    </row>
    <row r="4459" spans="2:15" ht="26.25" customHeight="1" x14ac:dyDescent="0.25">
      <c r="B4459" s="130"/>
      <c r="C4459" s="135"/>
      <c r="D4459" s="177"/>
      <c r="E4459" s="178"/>
      <c r="F4459" s="178"/>
      <c r="G4459" s="340"/>
      <c r="H4459" s="340"/>
      <c r="I4459" s="179"/>
      <c r="J4459" s="344"/>
      <c r="K4459" s="345"/>
      <c r="L4459" s="346"/>
      <c r="M4459" s="347"/>
      <c r="N4459" s="347"/>
      <c r="O4459" s="132"/>
    </row>
    <row r="4460" spans="2:15" ht="26.25" customHeight="1" x14ac:dyDescent="0.25">
      <c r="B4460" s="130"/>
      <c r="C4460" s="135"/>
      <c r="D4460" s="177"/>
      <c r="E4460" s="178"/>
      <c r="F4460" s="178"/>
      <c r="G4460" s="340"/>
      <c r="H4460" s="340"/>
      <c r="I4460" s="179"/>
      <c r="J4460" s="344"/>
      <c r="K4460" s="345"/>
      <c r="L4460" s="346"/>
      <c r="M4460" s="347"/>
      <c r="N4460" s="347"/>
      <c r="O4460" s="132"/>
    </row>
    <row r="4461" spans="2:15" ht="26.25" customHeight="1" x14ac:dyDescent="0.25">
      <c r="B4461" s="130"/>
      <c r="C4461" s="135"/>
      <c r="D4461" s="177"/>
      <c r="E4461" s="178"/>
      <c r="F4461" s="178"/>
      <c r="G4461" s="340"/>
      <c r="H4461" s="340"/>
      <c r="I4461" s="179"/>
      <c r="J4461" s="344"/>
      <c r="K4461" s="345"/>
      <c r="L4461" s="346"/>
      <c r="M4461" s="347"/>
      <c r="N4461" s="347"/>
      <c r="O4461" s="132"/>
    </row>
    <row r="4462" spans="2:15" ht="26.25" customHeight="1" x14ac:dyDescent="0.25">
      <c r="B4462" s="130"/>
      <c r="C4462" s="135"/>
      <c r="D4462" s="177"/>
      <c r="E4462" s="178"/>
      <c r="F4462" s="178"/>
      <c r="G4462" s="340"/>
      <c r="H4462" s="340"/>
      <c r="I4462" s="179"/>
      <c r="J4462" s="344"/>
      <c r="K4462" s="345"/>
      <c r="L4462" s="346"/>
      <c r="M4462" s="347"/>
      <c r="N4462" s="347"/>
      <c r="O4462" s="132"/>
    </row>
    <row r="4463" spans="2:15" ht="26.25" customHeight="1" x14ac:dyDescent="0.25">
      <c r="B4463" s="130"/>
      <c r="C4463" s="135"/>
      <c r="D4463" s="177"/>
      <c r="E4463" s="178"/>
      <c r="F4463" s="178"/>
      <c r="G4463" s="340"/>
      <c r="H4463" s="340"/>
      <c r="I4463" s="179"/>
      <c r="J4463" s="344"/>
      <c r="K4463" s="345"/>
      <c r="L4463" s="346"/>
      <c r="M4463" s="347"/>
      <c r="N4463" s="347"/>
      <c r="O4463" s="132"/>
    </row>
    <row r="4464" spans="2:15" ht="26.25" customHeight="1" x14ac:dyDescent="0.25">
      <c r="B4464" s="130"/>
      <c r="C4464" s="135"/>
      <c r="D4464" s="177"/>
      <c r="E4464" s="178"/>
      <c r="F4464" s="178"/>
      <c r="G4464" s="340"/>
      <c r="H4464" s="340"/>
      <c r="I4464" s="179"/>
      <c r="J4464" s="344"/>
      <c r="K4464" s="345"/>
      <c r="L4464" s="346"/>
      <c r="M4464" s="347"/>
      <c r="N4464" s="347"/>
      <c r="O4464" s="132"/>
    </row>
    <row r="4465" spans="2:15" ht="26.25" customHeight="1" x14ac:dyDescent="0.25">
      <c r="B4465" s="130"/>
      <c r="C4465" s="135"/>
      <c r="D4465" s="177"/>
      <c r="E4465" s="178"/>
      <c r="F4465" s="178"/>
      <c r="G4465" s="340"/>
      <c r="H4465" s="340"/>
      <c r="I4465" s="179"/>
      <c r="J4465" s="344"/>
      <c r="K4465" s="345"/>
      <c r="L4465" s="346"/>
      <c r="M4465" s="347"/>
      <c r="N4465" s="347"/>
      <c r="O4465" s="132"/>
    </row>
    <row r="4466" spans="2:15" ht="26.25" customHeight="1" x14ac:dyDescent="0.25">
      <c r="B4466" s="130"/>
      <c r="C4466" s="135"/>
      <c r="D4466" s="177"/>
      <c r="E4466" s="178"/>
      <c r="F4466" s="178"/>
      <c r="G4466" s="340"/>
      <c r="H4466" s="340"/>
      <c r="I4466" s="179"/>
      <c r="J4466" s="344"/>
      <c r="K4466" s="345"/>
      <c r="L4466" s="346"/>
      <c r="M4466" s="347"/>
      <c r="N4466" s="347"/>
      <c r="O4466" s="132"/>
    </row>
    <row r="4467" spans="2:15" ht="26.25" customHeight="1" x14ac:dyDescent="0.25">
      <c r="B4467" s="130"/>
      <c r="C4467" s="135"/>
      <c r="D4467" s="177"/>
      <c r="E4467" s="178"/>
      <c r="F4467" s="178"/>
      <c r="G4467" s="340"/>
      <c r="H4467" s="340"/>
      <c r="I4467" s="179"/>
      <c r="J4467" s="344"/>
      <c r="K4467" s="345"/>
      <c r="L4467" s="346"/>
      <c r="M4467" s="347"/>
      <c r="N4467" s="347"/>
      <c r="O4467" s="132"/>
    </row>
    <row r="4468" spans="2:15" ht="26.25" customHeight="1" x14ac:dyDescent="0.25">
      <c r="B4468" s="130"/>
      <c r="C4468" s="135"/>
      <c r="D4468" s="177"/>
      <c r="E4468" s="178"/>
      <c r="F4468" s="178"/>
      <c r="G4468" s="340"/>
      <c r="H4468" s="340"/>
      <c r="I4468" s="179"/>
      <c r="J4468" s="344"/>
      <c r="K4468" s="345"/>
      <c r="L4468" s="346"/>
      <c r="M4468" s="347"/>
      <c r="N4468" s="347"/>
      <c r="O4468" s="132"/>
    </row>
    <row r="4469" spans="2:15" ht="26.25" customHeight="1" x14ac:dyDescent="0.25">
      <c r="B4469" s="130"/>
      <c r="C4469" s="135"/>
      <c r="D4469" s="177"/>
      <c r="E4469" s="178"/>
      <c r="F4469" s="178"/>
      <c r="G4469" s="340"/>
      <c r="H4469" s="340"/>
      <c r="I4469" s="179"/>
      <c r="J4469" s="344"/>
      <c r="K4469" s="345"/>
      <c r="L4469" s="346"/>
      <c r="M4469" s="347"/>
      <c r="N4469" s="347"/>
      <c r="O4469" s="132"/>
    </row>
    <row r="4470" spans="2:15" ht="26.25" customHeight="1" x14ac:dyDescent="0.25">
      <c r="B4470" s="130"/>
      <c r="C4470" s="135"/>
      <c r="D4470" s="177"/>
      <c r="E4470" s="178"/>
      <c r="F4470" s="178"/>
      <c r="G4470" s="340"/>
      <c r="H4470" s="340"/>
      <c r="I4470" s="179"/>
      <c r="J4470" s="344"/>
      <c r="K4470" s="345"/>
      <c r="L4470" s="346"/>
      <c r="M4470" s="347"/>
      <c r="N4470" s="347"/>
      <c r="O4470" s="132"/>
    </row>
    <row r="4471" spans="2:15" ht="26.25" customHeight="1" x14ac:dyDescent="0.25">
      <c r="B4471" s="130"/>
      <c r="C4471" s="135"/>
      <c r="D4471" s="177"/>
      <c r="E4471" s="178"/>
      <c r="F4471" s="178"/>
      <c r="G4471" s="340"/>
      <c r="H4471" s="340"/>
      <c r="I4471" s="179"/>
      <c r="J4471" s="344"/>
      <c r="K4471" s="345"/>
      <c r="L4471" s="346"/>
      <c r="M4471" s="347"/>
      <c r="N4471" s="347"/>
      <c r="O4471" s="132"/>
    </row>
    <row r="4472" spans="2:15" ht="26.25" customHeight="1" x14ac:dyDescent="0.25">
      <c r="B4472" s="130"/>
      <c r="C4472" s="135"/>
      <c r="D4472" s="177"/>
      <c r="E4472" s="178"/>
      <c r="F4472" s="178"/>
      <c r="G4472" s="340"/>
      <c r="H4472" s="340"/>
      <c r="I4472" s="179"/>
      <c r="J4472" s="344"/>
      <c r="K4472" s="345"/>
      <c r="L4472" s="346"/>
      <c r="M4472" s="347"/>
      <c r="N4472" s="347"/>
      <c r="O4472" s="132"/>
    </row>
    <row r="4473" spans="2:15" ht="26.25" customHeight="1" x14ac:dyDescent="0.25">
      <c r="B4473" s="130"/>
      <c r="C4473" s="135"/>
      <c r="D4473" s="177"/>
      <c r="E4473" s="178"/>
      <c r="F4473" s="178"/>
      <c r="G4473" s="340"/>
      <c r="H4473" s="340"/>
      <c r="I4473" s="179"/>
      <c r="J4473" s="344"/>
      <c r="K4473" s="345"/>
      <c r="L4473" s="346"/>
      <c r="M4473" s="347"/>
      <c r="N4473" s="347"/>
      <c r="O4473" s="132"/>
    </row>
    <row r="4474" spans="2:15" ht="26.25" customHeight="1" x14ac:dyDescent="0.25">
      <c r="B4474" s="130"/>
      <c r="C4474" s="135"/>
      <c r="D4474" s="177"/>
      <c r="E4474" s="178"/>
      <c r="F4474" s="178"/>
      <c r="G4474" s="340"/>
      <c r="H4474" s="340"/>
      <c r="I4474" s="179"/>
      <c r="J4474" s="344"/>
      <c r="K4474" s="345"/>
      <c r="L4474" s="346"/>
      <c r="M4474" s="347"/>
      <c r="N4474" s="347"/>
      <c r="O4474" s="132"/>
    </row>
    <row r="4475" spans="2:15" ht="26.25" customHeight="1" x14ac:dyDescent="0.25">
      <c r="B4475" s="130"/>
      <c r="C4475" s="135"/>
      <c r="D4475" s="177"/>
      <c r="E4475" s="178"/>
      <c r="F4475" s="178"/>
      <c r="G4475" s="340"/>
      <c r="H4475" s="340"/>
      <c r="I4475" s="179"/>
      <c r="J4475" s="344"/>
      <c r="K4475" s="345"/>
      <c r="L4475" s="346"/>
      <c r="M4475" s="347"/>
      <c r="N4475" s="347"/>
      <c r="O4475" s="132"/>
    </row>
    <row r="4476" spans="2:15" ht="26.25" customHeight="1" x14ac:dyDescent="0.25">
      <c r="B4476" s="130"/>
      <c r="C4476" s="135"/>
      <c r="D4476" s="177"/>
      <c r="E4476" s="178"/>
      <c r="F4476" s="178"/>
      <c r="G4476" s="340"/>
      <c r="H4476" s="340"/>
      <c r="I4476" s="179"/>
      <c r="J4476" s="344"/>
      <c r="K4476" s="345"/>
      <c r="L4476" s="346"/>
      <c r="M4476" s="347"/>
      <c r="N4476" s="347"/>
      <c r="O4476" s="132"/>
    </row>
    <row r="4477" spans="2:15" ht="26.25" customHeight="1" x14ac:dyDescent="0.25">
      <c r="B4477" s="130"/>
      <c r="C4477" s="135"/>
      <c r="D4477" s="177"/>
      <c r="E4477" s="178"/>
      <c r="F4477" s="178"/>
      <c r="G4477" s="340"/>
      <c r="H4477" s="340"/>
      <c r="I4477" s="179"/>
      <c r="J4477" s="344"/>
      <c r="K4477" s="345"/>
      <c r="L4477" s="346"/>
      <c r="M4477" s="347"/>
      <c r="N4477" s="347"/>
      <c r="O4477" s="132"/>
    </row>
    <row r="4478" spans="2:15" ht="26.25" customHeight="1" x14ac:dyDescent="0.25">
      <c r="B4478" s="130"/>
      <c r="C4478" s="135"/>
      <c r="D4478" s="177"/>
      <c r="E4478" s="178"/>
      <c r="F4478" s="178"/>
      <c r="G4478" s="340"/>
      <c r="H4478" s="340"/>
      <c r="I4478" s="179"/>
      <c r="J4478" s="344"/>
      <c r="K4478" s="345"/>
      <c r="L4478" s="346"/>
      <c r="M4478" s="347"/>
      <c r="N4478" s="347"/>
      <c r="O4478" s="132"/>
    </row>
    <row r="4479" spans="2:15" ht="26.25" customHeight="1" x14ac:dyDescent="0.25">
      <c r="B4479" s="130"/>
      <c r="C4479" s="135"/>
      <c r="D4479" s="177"/>
      <c r="E4479" s="178"/>
      <c r="F4479" s="178"/>
      <c r="G4479" s="340"/>
      <c r="H4479" s="340"/>
      <c r="I4479" s="179"/>
      <c r="J4479" s="344"/>
      <c r="K4479" s="345"/>
      <c r="L4479" s="346"/>
      <c r="M4479" s="347"/>
      <c r="N4479" s="347"/>
      <c r="O4479" s="132"/>
    </row>
    <row r="4480" spans="2:15" ht="26.25" customHeight="1" x14ac:dyDescent="0.25">
      <c r="B4480" s="130"/>
      <c r="C4480" s="135"/>
      <c r="D4480" s="177"/>
      <c r="E4480" s="178"/>
      <c r="F4480" s="178"/>
      <c r="G4480" s="340"/>
      <c r="H4480" s="340"/>
      <c r="I4480" s="179"/>
      <c r="J4480" s="344"/>
      <c r="K4480" s="345"/>
      <c r="L4480" s="346"/>
      <c r="M4480" s="347"/>
      <c r="N4480" s="347"/>
      <c r="O4480" s="132"/>
    </row>
    <row r="4481" spans="2:15" ht="26.25" customHeight="1" x14ac:dyDescent="0.25">
      <c r="B4481" s="130"/>
      <c r="C4481" s="135"/>
      <c r="D4481" s="177"/>
      <c r="E4481" s="178"/>
      <c r="F4481" s="178"/>
      <c r="G4481" s="340"/>
      <c r="H4481" s="340"/>
      <c r="I4481" s="179"/>
      <c r="J4481" s="344"/>
      <c r="K4481" s="345"/>
      <c r="L4481" s="346"/>
      <c r="M4481" s="347"/>
      <c r="N4481" s="347"/>
      <c r="O4481" s="132"/>
    </row>
    <row r="4482" spans="2:15" ht="26.25" customHeight="1" x14ac:dyDescent="0.25">
      <c r="B4482" s="130"/>
      <c r="C4482" s="135"/>
      <c r="D4482" s="177"/>
      <c r="E4482" s="178"/>
      <c r="F4482" s="178"/>
      <c r="G4482" s="340"/>
      <c r="H4482" s="340"/>
      <c r="I4482" s="179"/>
      <c r="J4482" s="344"/>
      <c r="K4482" s="345"/>
      <c r="L4482" s="346"/>
      <c r="M4482" s="347"/>
      <c r="N4482" s="347"/>
      <c r="O4482" s="132"/>
    </row>
    <row r="4483" spans="2:15" ht="26.25" customHeight="1" x14ac:dyDescent="0.25">
      <c r="B4483" s="130"/>
      <c r="C4483" s="135"/>
      <c r="D4483" s="177"/>
      <c r="E4483" s="178"/>
      <c r="F4483" s="178"/>
      <c r="G4483" s="340"/>
      <c r="H4483" s="340"/>
      <c r="I4483" s="179"/>
      <c r="J4483" s="344"/>
      <c r="K4483" s="345"/>
      <c r="L4483" s="346"/>
      <c r="M4483" s="347"/>
      <c r="N4483" s="347"/>
      <c r="O4483" s="132"/>
    </row>
    <row r="4484" spans="2:15" ht="26.25" customHeight="1" x14ac:dyDescent="0.25">
      <c r="B4484" s="130"/>
      <c r="C4484" s="135"/>
      <c r="D4484" s="177"/>
      <c r="E4484" s="178"/>
      <c r="F4484" s="178"/>
      <c r="G4484" s="340"/>
      <c r="H4484" s="340"/>
      <c r="I4484" s="179"/>
      <c r="J4484" s="344"/>
      <c r="K4484" s="345"/>
      <c r="L4484" s="346"/>
      <c r="M4484" s="347"/>
      <c r="N4484" s="347"/>
      <c r="O4484" s="132"/>
    </row>
    <row r="4485" spans="2:15" ht="26.25" customHeight="1" x14ac:dyDescent="0.25">
      <c r="B4485" s="130"/>
      <c r="C4485" s="135"/>
      <c r="D4485" s="177"/>
      <c r="E4485" s="178"/>
      <c r="F4485" s="178"/>
      <c r="G4485" s="340"/>
      <c r="H4485" s="340"/>
      <c r="I4485" s="179"/>
      <c r="J4485" s="344"/>
      <c r="K4485" s="345"/>
      <c r="L4485" s="346"/>
      <c r="M4485" s="347"/>
      <c r="N4485" s="347"/>
      <c r="O4485" s="132"/>
    </row>
    <row r="4486" spans="2:15" ht="26.25" customHeight="1" x14ac:dyDescent="0.25">
      <c r="B4486" s="130"/>
      <c r="C4486" s="135"/>
      <c r="D4486" s="177"/>
      <c r="E4486" s="178"/>
      <c r="F4486" s="178"/>
      <c r="G4486" s="340"/>
      <c r="H4486" s="340"/>
      <c r="I4486" s="179"/>
      <c r="J4486" s="344"/>
      <c r="K4486" s="345"/>
      <c r="L4486" s="346"/>
      <c r="M4486" s="347"/>
      <c r="N4486" s="347"/>
      <c r="O4486" s="132"/>
    </row>
    <row r="4487" spans="2:15" ht="26.25" customHeight="1" x14ac:dyDescent="0.25">
      <c r="B4487" s="130"/>
      <c r="C4487" s="135"/>
      <c r="D4487" s="177"/>
      <c r="E4487" s="178"/>
      <c r="F4487" s="178"/>
      <c r="G4487" s="340"/>
      <c r="H4487" s="340"/>
      <c r="I4487" s="179"/>
      <c r="J4487" s="344"/>
      <c r="K4487" s="345"/>
      <c r="L4487" s="346"/>
      <c r="M4487" s="347"/>
      <c r="N4487" s="347"/>
      <c r="O4487" s="132"/>
    </row>
    <row r="4488" spans="2:15" ht="26.25" customHeight="1" x14ac:dyDescent="0.25">
      <c r="B4488" s="130"/>
      <c r="C4488" s="135"/>
      <c r="D4488" s="177"/>
      <c r="E4488" s="178"/>
      <c r="F4488" s="178"/>
      <c r="G4488" s="340"/>
      <c r="H4488" s="340"/>
      <c r="I4488" s="179"/>
      <c r="J4488" s="344"/>
      <c r="K4488" s="345"/>
      <c r="L4488" s="346"/>
      <c r="M4488" s="347"/>
      <c r="N4488" s="347"/>
      <c r="O4488" s="132"/>
    </row>
    <row r="4489" spans="2:15" ht="26.25" customHeight="1" x14ac:dyDescent="0.25">
      <c r="B4489" s="130"/>
      <c r="C4489" s="135"/>
      <c r="D4489" s="177"/>
      <c r="E4489" s="178"/>
      <c r="F4489" s="178"/>
      <c r="G4489" s="340"/>
      <c r="H4489" s="340"/>
      <c r="I4489" s="179"/>
      <c r="J4489" s="344"/>
      <c r="K4489" s="345"/>
      <c r="L4489" s="346"/>
      <c r="M4489" s="347"/>
      <c r="N4489" s="347"/>
      <c r="O4489" s="132"/>
    </row>
    <row r="4490" spans="2:15" ht="26.25" customHeight="1" x14ac:dyDescent="0.25">
      <c r="B4490" s="130"/>
      <c r="C4490" s="135"/>
      <c r="D4490" s="177"/>
      <c r="E4490" s="178"/>
      <c r="F4490" s="178"/>
      <c r="G4490" s="340"/>
      <c r="H4490" s="340"/>
      <c r="I4490" s="179"/>
      <c r="J4490" s="344"/>
      <c r="K4490" s="345"/>
      <c r="L4490" s="346"/>
      <c r="M4490" s="347"/>
      <c r="N4490" s="347"/>
      <c r="O4490" s="132"/>
    </row>
    <row r="4491" spans="2:15" ht="26.25" customHeight="1" x14ac:dyDescent="0.25">
      <c r="B4491" s="130"/>
      <c r="C4491" s="135"/>
      <c r="D4491" s="177"/>
      <c r="E4491" s="178"/>
      <c r="F4491" s="178"/>
      <c r="G4491" s="340"/>
      <c r="H4491" s="340"/>
      <c r="I4491" s="179"/>
      <c r="J4491" s="344"/>
      <c r="K4491" s="345"/>
      <c r="L4491" s="346"/>
      <c r="M4491" s="347"/>
      <c r="N4491" s="347"/>
      <c r="O4491" s="132"/>
    </row>
    <row r="4492" spans="2:15" ht="26.25" customHeight="1" x14ac:dyDescent="0.25">
      <c r="B4492" s="130"/>
      <c r="C4492" s="135"/>
      <c r="D4492" s="177"/>
      <c r="E4492" s="178"/>
      <c r="F4492" s="178"/>
      <c r="G4492" s="340"/>
      <c r="H4492" s="340"/>
      <c r="I4492" s="179"/>
      <c r="J4492" s="344"/>
      <c r="K4492" s="345"/>
      <c r="L4492" s="346"/>
      <c r="M4492" s="347"/>
      <c r="N4492" s="347"/>
      <c r="O4492" s="132"/>
    </row>
    <row r="4493" spans="2:15" ht="26.25" customHeight="1" x14ac:dyDescent="0.25">
      <c r="B4493" s="130"/>
      <c r="C4493" s="135"/>
      <c r="D4493" s="177"/>
      <c r="E4493" s="178"/>
      <c r="F4493" s="178"/>
      <c r="G4493" s="340"/>
      <c r="H4493" s="340"/>
      <c r="I4493" s="179"/>
      <c r="J4493" s="344"/>
      <c r="K4493" s="345"/>
      <c r="L4493" s="346"/>
      <c r="M4493" s="347"/>
      <c r="N4493" s="347"/>
      <c r="O4493" s="132"/>
    </row>
    <row r="4494" spans="2:15" ht="26.25" customHeight="1" x14ac:dyDescent="0.25">
      <c r="B4494" s="130"/>
      <c r="C4494" s="135"/>
      <c r="D4494" s="177"/>
      <c r="E4494" s="178"/>
      <c r="F4494" s="178"/>
      <c r="G4494" s="340"/>
      <c r="H4494" s="340"/>
      <c r="I4494" s="179"/>
      <c r="J4494" s="344"/>
      <c r="K4494" s="345"/>
      <c r="L4494" s="346"/>
      <c r="M4494" s="347"/>
      <c r="N4494" s="347"/>
      <c r="O4494" s="132"/>
    </row>
    <row r="4495" spans="2:15" ht="26.25" customHeight="1" x14ac:dyDescent="0.25">
      <c r="B4495" s="130"/>
      <c r="C4495" s="135"/>
      <c r="D4495" s="177"/>
      <c r="E4495" s="178"/>
      <c r="F4495" s="178"/>
      <c r="G4495" s="340"/>
      <c r="H4495" s="340"/>
      <c r="I4495" s="179"/>
      <c r="J4495" s="344"/>
      <c r="K4495" s="345"/>
      <c r="L4495" s="346"/>
      <c r="M4495" s="347"/>
      <c r="N4495" s="347"/>
      <c r="O4495" s="132"/>
    </row>
    <row r="4496" spans="2:15" ht="26.25" customHeight="1" x14ac:dyDescent="0.25">
      <c r="B4496" s="130"/>
      <c r="C4496" s="135"/>
      <c r="D4496" s="177"/>
      <c r="E4496" s="178"/>
      <c r="F4496" s="178"/>
      <c r="G4496" s="340"/>
      <c r="H4496" s="340"/>
      <c r="I4496" s="179"/>
      <c r="J4496" s="344"/>
      <c r="K4496" s="345"/>
      <c r="L4496" s="346"/>
      <c r="M4496" s="347"/>
      <c r="N4496" s="347"/>
      <c r="O4496" s="132"/>
    </row>
    <row r="4497" spans="2:15" ht="26.25" customHeight="1" x14ac:dyDescent="0.25">
      <c r="B4497" s="130"/>
      <c r="C4497" s="135"/>
      <c r="D4497" s="177"/>
      <c r="E4497" s="178"/>
      <c r="F4497" s="178"/>
      <c r="G4497" s="340"/>
      <c r="H4497" s="340"/>
      <c r="I4497" s="179"/>
      <c r="J4497" s="344"/>
      <c r="K4497" s="345"/>
      <c r="L4497" s="346"/>
      <c r="M4497" s="347"/>
      <c r="N4497" s="347"/>
      <c r="O4497" s="132"/>
    </row>
    <row r="4498" spans="2:15" ht="26.25" customHeight="1" x14ac:dyDescent="0.25">
      <c r="B4498" s="130"/>
      <c r="C4498" s="135"/>
      <c r="D4498" s="177"/>
      <c r="E4498" s="178"/>
      <c r="F4498" s="178"/>
      <c r="G4498" s="340"/>
      <c r="H4498" s="340"/>
      <c r="I4498" s="179"/>
      <c r="J4498" s="344"/>
      <c r="K4498" s="345"/>
      <c r="L4498" s="346"/>
      <c r="M4498" s="347"/>
      <c r="N4498" s="347"/>
      <c r="O4498" s="132"/>
    </row>
    <row r="4499" spans="2:15" ht="26.25" customHeight="1" x14ac:dyDescent="0.25">
      <c r="B4499" s="130"/>
      <c r="C4499" s="135"/>
      <c r="D4499" s="177"/>
      <c r="E4499" s="178"/>
      <c r="F4499" s="178"/>
      <c r="G4499" s="340"/>
      <c r="H4499" s="340"/>
      <c r="I4499" s="179"/>
      <c r="J4499" s="344"/>
      <c r="K4499" s="345"/>
      <c r="L4499" s="346"/>
      <c r="M4499" s="347"/>
      <c r="N4499" s="347"/>
      <c r="O4499" s="132"/>
    </row>
    <row r="4500" spans="2:15" ht="26.25" customHeight="1" x14ac:dyDescent="0.25">
      <c r="B4500" s="130"/>
      <c r="C4500" s="135"/>
      <c r="D4500" s="177"/>
      <c r="E4500" s="178"/>
      <c r="F4500" s="178"/>
      <c r="G4500" s="340"/>
      <c r="H4500" s="340"/>
      <c r="I4500" s="179"/>
      <c r="J4500" s="344"/>
      <c r="K4500" s="345"/>
      <c r="L4500" s="346"/>
      <c r="M4500" s="347"/>
      <c r="N4500" s="347"/>
      <c r="O4500" s="132"/>
    </row>
    <row r="4501" spans="2:15" ht="26.25" customHeight="1" x14ac:dyDescent="0.25">
      <c r="B4501" s="130"/>
      <c r="C4501" s="135"/>
      <c r="D4501" s="177"/>
      <c r="E4501" s="178"/>
      <c r="F4501" s="178"/>
      <c r="G4501" s="340"/>
      <c r="H4501" s="340"/>
      <c r="I4501" s="179"/>
      <c r="J4501" s="344"/>
      <c r="K4501" s="345"/>
      <c r="L4501" s="346"/>
      <c r="M4501" s="347"/>
      <c r="N4501" s="347"/>
      <c r="O4501" s="132"/>
    </row>
    <row r="4502" spans="2:15" ht="26.25" customHeight="1" x14ac:dyDescent="0.25">
      <c r="B4502" s="130"/>
      <c r="C4502" s="135"/>
      <c r="D4502" s="177"/>
      <c r="E4502" s="178"/>
      <c r="F4502" s="178"/>
      <c r="G4502" s="340"/>
      <c r="H4502" s="340"/>
      <c r="I4502" s="179"/>
      <c r="J4502" s="344"/>
      <c r="K4502" s="345"/>
      <c r="L4502" s="346"/>
      <c r="M4502" s="347"/>
      <c r="N4502" s="347"/>
      <c r="O4502" s="132"/>
    </row>
    <row r="4503" spans="2:15" ht="26.25" customHeight="1" x14ac:dyDescent="0.25">
      <c r="B4503" s="130"/>
      <c r="C4503" s="135"/>
      <c r="D4503" s="177"/>
      <c r="E4503" s="178"/>
      <c r="F4503" s="178"/>
      <c r="G4503" s="340"/>
      <c r="H4503" s="340"/>
      <c r="I4503" s="179"/>
      <c r="J4503" s="344"/>
      <c r="K4503" s="345"/>
      <c r="L4503" s="346"/>
      <c r="M4503" s="347"/>
      <c r="N4503" s="347"/>
      <c r="O4503" s="132"/>
    </row>
    <row r="4504" spans="2:15" ht="26.25" customHeight="1" x14ac:dyDescent="0.25">
      <c r="B4504" s="130"/>
      <c r="C4504" s="135"/>
      <c r="D4504" s="177"/>
      <c r="E4504" s="178"/>
      <c r="F4504" s="178"/>
      <c r="G4504" s="340"/>
      <c r="H4504" s="340"/>
      <c r="I4504" s="179"/>
      <c r="J4504" s="344"/>
      <c r="K4504" s="345"/>
      <c r="L4504" s="346"/>
      <c r="M4504" s="347"/>
      <c r="N4504" s="347"/>
      <c r="O4504" s="132"/>
    </row>
    <row r="4505" spans="2:15" ht="26.25" customHeight="1" x14ac:dyDescent="0.25">
      <c r="B4505" s="130"/>
      <c r="C4505" s="135"/>
      <c r="D4505" s="177"/>
      <c r="E4505" s="178"/>
      <c r="F4505" s="178"/>
      <c r="G4505" s="340"/>
      <c r="H4505" s="340"/>
      <c r="I4505" s="179"/>
      <c r="J4505" s="344"/>
      <c r="K4505" s="345"/>
      <c r="L4505" s="346"/>
      <c r="M4505" s="347"/>
      <c r="N4505" s="347"/>
      <c r="O4505" s="132"/>
    </row>
    <row r="4506" spans="2:15" ht="26.25" customHeight="1" x14ac:dyDescent="0.25">
      <c r="B4506" s="130"/>
      <c r="C4506" s="135"/>
      <c r="D4506" s="177"/>
      <c r="E4506" s="178"/>
      <c r="F4506" s="178"/>
      <c r="G4506" s="340"/>
      <c r="H4506" s="340"/>
      <c r="I4506" s="179"/>
      <c r="J4506" s="344"/>
      <c r="K4506" s="345"/>
      <c r="L4506" s="346"/>
      <c r="M4506" s="347"/>
      <c r="N4506" s="347"/>
      <c r="O4506" s="132"/>
    </row>
    <row r="4507" spans="2:15" ht="26.25" customHeight="1" x14ac:dyDescent="0.25">
      <c r="B4507" s="130"/>
      <c r="C4507" s="135"/>
      <c r="D4507" s="177"/>
      <c r="E4507" s="178"/>
      <c r="F4507" s="178"/>
      <c r="G4507" s="340"/>
      <c r="H4507" s="340"/>
      <c r="I4507" s="179"/>
      <c r="J4507" s="344"/>
      <c r="K4507" s="345"/>
      <c r="L4507" s="346"/>
      <c r="M4507" s="347"/>
      <c r="N4507" s="347"/>
      <c r="O4507" s="132"/>
    </row>
    <row r="4508" spans="2:15" ht="26.25" customHeight="1" x14ac:dyDescent="0.25">
      <c r="B4508" s="130"/>
      <c r="C4508" s="135"/>
      <c r="D4508" s="177"/>
      <c r="E4508" s="178"/>
      <c r="F4508" s="178"/>
      <c r="G4508" s="340"/>
      <c r="H4508" s="340"/>
      <c r="I4508" s="179"/>
      <c r="J4508" s="344"/>
      <c r="K4508" s="345"/>
      <c r="L4508" s="346"/>
      <c r="M4508" s="347"/>
      <c r="N4508" s="347"/>
      <c r="O4508" s="132"/>
    </row>
    <row r="4509" spans="2:15" ht="26.25" customHeight="1" x14ac:dyDescent="0.25">
      <c r="B4509" s="130"/>
      <c r="C4509" s="135"/>
      <c r="D4509" s="177"/>
      <c r="E4509" s="178"/>
      <c r="F4509" s="178"/>
      <c r="G4509" s="340"/>
      <c r="H4509" s="340"/>
      <c r="I4509" s="179"/>
      <c r="J4509" s="344"/>
      <c r="K4509" s="345"/>
      <c r="L4509" s="346"/>
      <c r="M4509" s="347"/>
      <c r="N4509" s="347"/>
      <c r="O4509" s="132"/>
    </row>
    <row r="4510" spans="2:15" ht="26.25" customHeight="1" x14ac:dyDescent="0.25">
      <c r="B4510" s="130"/>
      <c r="C4510" s="135"/>
      <c r="D4510" s="177"/>
      <c r="E4510" s="178"/>
      <c r="F4510" s="178"/>
      <c r="G4510" s="340"/>
      <c r="H4510" s="340"/>
      <c r="I4510" s="179"/>
      <c r="J4510" s="344"/>
      <c r="K4510" s="345"/>
      <c r="L4510" s="346"/>
      <c r="M4510" s="347"/>
      <c r="N4510" s="347"/>
      <c r="O4510" s="132"/>
    </row>
    <row r="4511" spans="2:15" ht="26.25" customHeight="1" x14ac:dyDescent="0.25">
      <c r="B4511" s="130"/>
      <c r="C4511" s="135"/>
      <c r="D4511" s="177"/>
      <c r="E4511" s="178"/>
      <c r="F4511" s="178"/>
      <c r="G4511" s="340"/>
      <c r="H4511" s="340"/>
      <c r="I4511" s="179"/>
      <c r="J4511" s="344"/>
      <c r="K4511" s="345"/>
      <c r="L4511" s="346"/>
      <c r="M4511" s="347"/>
      <c r="N4511" s="347"/>
      <c r="O4511" s="132"/>
    </row>
    <row r="4512" spans="2:15" ht="26.25" customHeight="1" x14ac:dyDescent="0.25">
      <c r="B4512" s="130"/>
      <c r="C4512" s="135"/>
      <c r="D4512" s="177"/>
      <c r="E4512" s="178"/>
      <c r="F4512" s="178"/>
      <c r="G4512" s="340"/>
      <c r="H4512" s="340"/>
      <c r="I4512" s="179"/>
      <c r="J4512" s="344"/>
      <c r="K4512" s="345"/>
      <c r="L4512" s="346"/>
      <c r="M4512" s="347"/>
      <c r="N4512" s="347"/>
      <c r="O4512" s="132"/>
    </row>
    <row r="4513" spans="2:15" ht="26.25" customHeight="1" x14ac:dyDescent="0.25">
      <c r="B4513" s="130"/>
      <c r="C4513" s="135"/>
      <c r="D4513" s="177"/>
      <c r="E4513" s="178"/>
      <c r="F4513" s="178"/>
      <c r="G4513" s="340"/>
      <c r="H4513" s="340"/>
      <c r="I4513" s="179"/>
      <c r="J4513" s="344"/>
      <c r="K4513" s="345"/>
      <c r="L4513" s="346"/>
      <c r="M4513" s="347"/>
      <c r="N4513" s="347"/>
      <c r="O4513" s="132"/>
    </row>
    <row r="4514" spans="2:15" ht="26.25" customHeight="1" x14ac:dyDescent="0.25">
      <c r="B4514" s="130"/>
      <c r="C4514" s="135"/>
      <c r="D4514" s="177"/>
      <c r="E4514" s="178"/>
      <c r="F4514" s="178"/>
      <c r="G4514" s="340"/>
      <c r="H4514" s="340"/>
      <c r="I4514" s="179"/>
      <c r="J4514" s="344"/>
      <c r="K4514" s="345"/>
      <c r="L4514" s="346"/>
      <c r="M4514" s="347"/>
      <c r="N4514" s="347"/>
      <c r="O4514" s="132"/>
    </row>
    <row r="4515" spans="2:15" ht="26.25" customHeight="1" x14ac:dyDescent="0.25">
      <c r="B4515" s="130"/>
      <c r="C4515" s="135"/>
      <c r="D4515" s="177"/>
      <c r="E4515" s="178"/>
      <c r="F4515" s="178"/>
      <c r="G4515" s="340"/>
      <c r="H4515" s="340"/>
      <c r="I4515" s="179"/>
      <c r="J4515" s="344"/>
      <c r="K4515" s="345"/>
      <c r="L4515" s="346"/>
      <c r="M4515" s="347"/>
      <c r="N4515" s="347"/>
      <c r="O4515" s="132"/>
    </row>
    <row r="4516" spans="2:15" ht="26.25" customHeight="1" x14ac:dyDescent="0.25">
      <c r="B4516" s="130"/>
      <c r="C4516" s="135"/>
      <c r="D4516" s="177"/>
      <c r="E4516" s="178"/>
      <c r="F4516" s="178"/>
      <c r="G4516" s="340"/>
      <c r="H4516" s="340"/>
      <c r="I4516" s="179"/>
      <c r="J4516" s="344"/>
      <c r="K4516" s="345"/>
      <c r="L4516" s="346"/>
      <c r="M4516" s="347"/>
      <c r="N4516" s="347"/>
      <c r="O4516" s="132"/>
    </row>
    <row r="4517" spans="2:15" ht="26.25" customHeight="1" x14ac:dyDescent="0.25">
      <c r="B4517" s="130"/>
      <c r="C4517" s="135"/>
      <c r="D4517" s="177"/>
      <c r="E4517" s="178"/>
      <c r="F4517" s="178"/>
      <c r="G4517" s="340"/>
      <c r="H4517" s="340"/>
      <c r="I4517" s="179"/>
      <c r="J4517" s="344"/>
      <c r="K4517" s="345"/>
      <c r="L4517" s="346"/>
      <c r="M4517" s="347"/>
      <c r="N4517" s="347"/>
      <c r="O4517" s="132"/>
    </row>
    <row r="4518" spans="2:15" ht="26.25" customHeight="1" x14ac:dyDescent="0.25">
      <c r="B4518" s="130"/>
      <c r="C4518" s="135"/>
      <c r="D4518" s="177"/>
      <c r="E4518" s="178"/>
      <c r="F4518" s="178"/>
      <c r="G4518" s="340"/>
      <c r="H4518" s="340"/>
      <c r="I4518" s="179"/>
      <c r="J4518" s="344"/>
      <c r="K4518" s="345"/>
      <c r="L4518" s="346"/>
      <c r="M4518" s="347"/>
      <c r="N4518" s="347"/>
      <c r="O4518" s="132"/>
    </row>
    <row r="4519" spans="2:15" ht="26.25" customHeight="1" x14ac:dyDescent="0.25">
      <c r="B4519" s="130"/>
      <c r="C4519" s="135"/>
      <c r="D4519" s="177"/>
      <c r="E4519" s="178"/>
      <c r="F4519" s="178"/>
      <c r="G4519" s="340"/>
      <c r="H4519" s="340"/>
      <c r="I4519" s="179"/>
      <c r="J4519" s="344"/>
      <c r="K4519" s="345"/>
      <c r="L4519" s="346"/>
      <c r="M4519" s="347"/>
      <c r="N4519" s="347"/>
      <c r="O4519" s="132"/>
    </row>
    <row r="4520" spans="2:15" ht="26.25" customHeight="1" x14ac:dyDescent="0.25">
      <c r="B4520" s="130"/>
      <c r="C4520" s="135"/>
      <c r="D4520" s="177"/>
      <c r="E4520" s="178"/>
      <c r="F4520" s="178"/>
      <c r="G4520" s="340"/>
      <c r="H4520" s="340"/>
      <c r="I4520" s="179"/>
      <c r="J4520" s="344"/>
      <c r="K4520" s="345"/>
      <c r="L4520" s="346"/>
      <c r="M4520" s="347"/>
      <c r="N4520" s="347"/>
      <c r="O4520" s="132"/>
    </row>
    <row r="4521" spans="2:15" ht="26.25" customHeight="1" x14ac:dyDescent="0.25">
      <c r="B4521" s="130"/>
      <c r="C4521" s="135"/>
      <c r="D4521" s="177"/>
      <c r="E4521" s="178"/>
      <c r="F4521" s="178"/>
      <c r="G4521" s="340"/>
      <c r="H4521" s="340"/>
      <c r="I4521" s="179"/>
      <c r="J4521" s="344"/>
      <c r="K4521" s="345"/>
      <c r="L4521" s="346"/>
      <c r="M4521" s="347"/>
      <c r="N4521" s="347"/>
      <c r="O4521" s="132"/>
    </row>
    <row r="4522" spans="2:15" ht="26.25" customHeight="1" x14ac:dyDescent="0.25">
      <c r="B4522" s="130"/>
      <c r="C4522" s="135"/>
      <c r="D4522" s="177"/>
      <c r="E4522" s="178"/>
      <c r="F4522" s="178"/>
      <c r="G4522" s="340"/>
      <c r="H4522" s="340"/>
      <c r="I4522" s="179"/>
      <c r="J4522" s="344"/>
      <c r="K4522" s="345"/>
      <c r="L4522" s="346"/>
      <c r="M4522" s="347"/>
      <c r="N4522" s="347"/>
      <c r="O4522" s="132"/>
    </row>
    <row r="4523" spans="2:15" ht="26.25" customHeight="1" x14ac:dyDescent="0.25">
      <c r="B4523" s="130"/>
      <c r="C4523" s="135"/>
      <c r="D4523" s="177"/>
      <c r="E4523" s="178"/>
      <c r="F4523" s="178"/>
      <c r="G4523" s="340"/>
      <c r="H4523" s="340"/>
      <c r="I4523" s="179"/>
      <c r="J4523" s="344"/>
      <c r="K4523" s="345"/>
      <c r="L4523" s="346"/>
      <c r="M4523" s="347"/>
      <c r="N4523" s="347"/>
      <c r="O4523" s="132"/>
    </row>
    <row r="4524" spans="2:15" ht="26.25" customHeight="1" x14ac:dyDescent="0.25">
      <c r="B4524" s="130"/>
      <c r="C4524" s="135"/>
      <c r="D4524" s="177"/>
      <c r="E4524" s="178"/>
      <c r="F4524" s="178"/>
      <c r="G4524" s="340"/>
      <c r="H4524" s="340"/>
      <c r="I4524" s="179"/>
      <c r="J4524" s="344"/>
      <c r="K4524" s="345"/>
      <c r="L4524" s="346"/>
      <c r="M4524" s="347"/>
      <c r="N4524" s="347"/>
      <c r="O4524" s="132"/>
    </row>
    <row r="4525" spans="2:15" ht="26.25" customHeight="1" x14ac:dyDescent="0.25">
      <c r="B4525" s="130"/>
      <c r="C4525" s="135"/>
      <c r="D4525" s="177"/>
      <c r="E4525" s="178"/>
      <c r="F4525" s="178"/>
      <c r="G4525" s="340"/>
      <c r="H4525" s="340"/>
      <c r="I4525" s="179"/>
      <c r="J4525" s="344"/>
      <c r="K4525" s="345"/>
      <c r="L4525" s="346"/>
      <c r="M4525" s="347"/>
      <c r="N4525" s="347"/>
      <c r="O4525" s="132"/>
    </row>
    <row r="4526" spans="2:15" ht="26.25" customHeight="1" x14ac:dyDescent="0.25">
      <c r="B4526" s="130"/>
      <c r="C4526" s="135"/>
      <c r="D4526" s="177"/>
      <c r="E4526" s="178"/>
      <c r="F4526" s="178"/>
      <c r="G4526" s="340"/>
      <c r="H4526" s="340"/>
      <c r="I4526" s="179"/>
      <c r="J4526" s="344"/>
      <c r="K4526" s="345"/>
      <c r="L4526" s="346"/>
      <c r="M4526" s="347"/>
      <c r="N4526" s="347"/>
      <c r="O4526" s="132"/>
    </row>
    <row r="4527" spans="2:15" ht="26.25" customHeight="1" x14ac:dyDescent="0.25">
      <c r="B4527" s="130"/>
      <c r="C4527" s="135"/>
      <c r="D4527" s="177"/>
      <c r="E4527" s="178"/>
      <c r="F4527" s="178"/>
      <c r="G4527" s="340"/>
      <c r="H4527" s="340"/>
      <c r="I4527" s="179"/>
      <c r="J4527" s="344"/>
      <c r="K4527" s="345"/>
      <c r="L4527" s="346"/>
      <c r="M4527" s="347"/>
      <c r="N4527" s="347"/>
      <c r="O4527" s="132"/>
    </row>
    <row r="4528" spans="2:15" ht="26.25" customHeight="1" x14ac:dyDescent="0.25">
      <c r="B4528" s="130"/>
      <c r="C4528" s="135"/>
      <c r="D4528" s="177"/>
      <c r="E4528" s="178"/>
      <c r="F4528" s="178"/>
      <c r="G4528" s="340"/>
      <c r="H4528" s="340"/>
      <c r="I4528" s="179"/>
      <c r="J4528" s="344"/>
      <c r="K4528" s="345"/>
      <c r="L4528" s="346"/>
      <c r="M4528" s="347"/>
      <c r="N4528" s="347"/>
      <c r="O4528" s="132"/>
    </row>
    <row r="4529" spans="2:15" ht="26.25" customHeight="1" x14ac:dyDescent="0.25">
      <c r="B4529" s="130"/>
      <c r="C4529" s="135"/>
      <c r="D4529" s="177"/>
      <c r="E4529" s="178"/>
      <c r="F4529" s="178"/>
      <c r="G4529" s="340"/>
      <c r="H4529" s="340"/>
      <c r="I4529" s="179"/>
      <c r="J4529" s="344"/>
      <c r="K4529" s="345"/>
      <c r="L4529" s="346"/>
      <c r="M4529" s="347"/>
      <c r="N4529" s="347"/>
      <c r="O4529" s="132"/>
    </row>
    <row r="4530" spans="2:15" ht="26.25" customHeight="1" x14ac:dyDescent="0.25">
      <c r="B4530" s="130"/>
      <c r="C4530" s="135"/>
      <c r="D4530" s="177"/>
      <c r="E4530" s="178"/>
      <c r="F4530" s="178"/>
      <c r="G4530" s="340"/>
      <c r="H4530" s="340"/>
      <c r="I4530" s="179"/>
      <c r="J4530" s="344"/>
      <c r="K4530" s="345"/>
      <c r="L4530" s="346"/>
      <c r="M4530" s="347"/>
      <c r="N4530" s="347"/>
      <c r="O4530" s="132"/>
    </row>
    <row r="4531" spans="2:15" ht="26.25" customHeight="1" x14ac:dyDescent="0.25">
      <c r="B4531" s="130"/>
      <c r="C4531" s="135"/>
      <c r="D4531" s="177"/>
      <c r="E4531" s="178"/>
      <c r="F4531" s="178"/>
      <c r="G4531" s="340"/>
      <c r="H4531" s="340"/>
      <c r="I4531" s="179"/>
      <c r="J4531" s="344"/>
      <c r="K4531" s="345"/>
      <c r="L4531" s="346"/>
      <c r="M4531" s="347"/>
      <c r="N4531" s="347"/>
      <c r="O4531" s="132"/>
    </row>
    <row r="4532" spans="2:15" ht="26.25" customHeight="1" x14ac:dyDescent="0.25">
      <c r="B4532" s="130"/>
      <c r="C4532" s="135"/>
      <c r="D4532" s="177"/>
      <c r="E4532" s="178"/>
      <c r="F4532" s="178"/>
      <c r="G4532" s="340"/>
      <c r="H4532" s="340"/>
      <c r="I4532" s="179"/>
      <c r="J4532" s="344"/>
      <c r="K4532" s="345"/>
      <c r="L4532" s="346"/>
      <c r="M4532" s="347"/>
      <c r="N4532" s="347"/>
      <c r="O4532" s="132"/>
    </row>
    <row r="4533" spans="2:15" ht="26.25" customHeight="1" x14ac:dyDescent="0.25">
      <c r="B4533" s="130"/>
      <c r="C4533" s="135"/>
      <c r="D4533" s="177"/>
      <c r="E4533" s="178"/>
      <c r="F4533" s="178"/>
      <c r="G4533" s="340"/>
      <c r="H4533" s="340"/>
      <c r="I4533" s="179"/>
      <c r="J4533" s="344"/>
      <c r="K4533" s="345"/>
      <c r="L4533" s="346"/>
      <c r="M4533" s="347"/>
      <c r="N4533" s="347"/>
      <c r="O4533" s="132"/>
    </row>
    <row r="4534" spans="2:15" ht="26.25" customHeight="1" x14ac:dyDescent="0.25">
      <c r="B4534" s="130"/>
      <c r="C4534" s="135"/>
      <c r="D4534" s="177"/>
      <c r="E4534" s="178"/>
      <c r="F4534" s="178"/>
      <c r="G4534" s="340"/>
      <c r="H4534" s="340"/>
      <c r="I4534" s="179"/>
      <c r="J4534" s="344"/>
      <c r="K4534" s="345"/>
      <c r="L4534" s="346"/>
      <c r="M4534" s="347"/>
      <c r="N4534" s="347"/>
      <c r="O4534" s="132"/>
    </row>
    <row r="4535" spans="2:15" ht="26.25" customHeight="1" x14ac:dyDescent="0.25">
      <c r="B4535" s="130"/>
      <c r="C4535" s="135"/>
      <c r="D4535" s="177"/>
      <c r="E4535" s="178"/>
      <c r="F4535" s="178"/>
      <c r="G4535" s="340"/>
      <c r="H4535" s="340"/>
      <c r="I4535" s="179"/>
      <c r="J4535" s="344"/>
      <c r="K4535" s="345"/>
      <c r="L4535" s="346"/>
      <c r="M4535" s="347"/>
      <c r="N4535" s="347"/>
      <c r="O4535" s="132"/>
    </row>
    <row r="4536" spans="2:15" ht="26.25" customHeight="1" x14ac:dyDescent="0.25">
      <c r="B4536" s="130"/>
      <c r="C4536" s="135"/>
      <c r="D4536" s="177"/>
      <c r="E4536" s="178"/>
      <c r="F4536" s="178"/>
      <c r="G4536" s="340"/>
      <c r="H4536" s="340"/>
      <c r="I4536" s="179"/>
      <c r="J4536" s="344"/>
      <c r="K4536" s="345"/>
      <c r="L4536" s="346"/>
      <c r="M4536" s="347"/>
      <c r="N4536" s="347"/>
      <c r="O4536" s="132"/>
    </row>
    <row r="4537" spans="2:15" ht="26.25" customHeight="1" x14ac:dyDescent="0.25">
      <c r="B4537" s="130"/>
      <c r="C4537" s="135"/>
      <c r="D4537" s="177"/>
      <c r="E4537" s="178"/>
      <c r="F4537" s="178"/>
      <c r="G4537" s="340"/>
      <c r="H4537" s="340"/>
      <c r="I4537" s="179"/>
      <c r="J4537" s="344"/>
      <c r="K4537" s="345"/>
      <c r="L4537" s="346"/>
      <c r="M4537" s="347"/>
      <c r="N4537" s="347"/>
      <c r="O4537" s="132"/>
    </row>
    <row r="4538" spans="2:15" ht="26.25" customHeight="1" x14ac:dyDescent="0.25">
      <c r="B4538" s="130"/>
      <c r="C4538" s="135"/>
      <c r="D4538" s="177"/>
      <c r="E4538" s="178"/>
      <c r="F4538" s="178"/>
      <c r="G4538" s="340"/>
      <c r="H4538" s="340"/>
      <c r="I4538" s="179"/>
      <c r="J4538" s="344"/>
      <c r="K4538" s="345"/>
      <c r="L4538" s="346"/>
      <c r="M4538" s="347"/>
      <c r="N4538" s="347"/>
      <c r="O4538" s="132"/>
    </row>
    <row r="4539" spans="2:15" ht="26.25" customHeight="1" x14ac:dyDescent="0.25">
      <c r="B4539" s="130"/>
      <c r="C4539" s="135"/>
      <c r="D4539" s="177"/>
      <c r="E4539" s="178"/>
      <c r="F4539" s="178"/>
      <c r="G4539" s="340"/>
      <c r="H4539" s="340"/>
      <c r="I4539" s="179"/>
      <c r="J4539" s="344"/>
      <c r="K4539" s="345"/>
      <c r="L4539" s="346"/>
      <c r="M4539" s="347"/>
      <c r="N4539" s="347"/>
      <c r="O4539" s="132"/>
    </row>
    <row r="4540" spans="2:15" ht="26.25" customHeight="1" x14ac:dyDescent="0.25">
      <c r="B4540" s="130"/>
      <c r="C4540" s="135"/>
      <c r="D4540" s="177"/>
      <c r="E4540" s="178"/>
      <c r="F4540" s="178"/>
      <c r="G4540" s="340"/>
      <c r="H4540" s="340"/>
      <c r="I4540" s="179"/>
      <c r="J4540" s="344"/>
      <c r="K4540" s="345"/>
      <c r="L4540" s="346"/>
      <c r="M4540" s="347"/>
      <c r="N4540" s="347"/>
      <c r="O4540" s="132"/>
    </row>
    <row r="4541" spans="2:15" ht="26.25" customHeight="1" x14ac:dyDescent="0.25">
      <c r="B4541" s="130"/>
      <c r="C4541" s="135"/>
      <c r="D4541" s="177"/>
      <c r="E4541" s="178"/>
      <c r="F4541" s="178"/>
      <c r="G4541" s="340"/>
      <c r="H4541" s="340"/>
      <c r="I4541" s="179"/>
      <c r="J4541" s="344"/>
      <c r="K4541" s="345"/>
      <c r="L4541" s="346"/>
      <c r="M4541" s="347"/>
      <c r="N4541" s="347"/>
      <c r="O4541" s="132"/>
    </row>
    <row r="4542" spans="2:15" ht="26.25" customHeight="1" x14ac:dyDescent="0.25">
      <c r="B4542" s="130"/>
      <c r="C4542" s="135"/>
      <c r="D4542" s="177"/>
      <c r="E4542" s="178"/>
      <c r="F4542" s="178"/>
      <c r="G4542" s="340"/>
      <c r="H4542" s="340"/>
      <c r="I4542" s="179"/>
      <c r="J4542" s="344"/>
      <c r="K4542" s="345"/>
      <c r="L4542" s="346"/>
      <c r="M4542" s="347"/>
      <c r="N4542" s="347"/>
      <c r="O4542" s="132"/>
    </row>
    <row r="4543" spans="2:15" ht="26.25" customHeight="1" x14ac:dyDescent="0.25">
      <c r="B4543" s="130"/>
      <c r="C4543" s="135"/>
      <c r="D4543" s="177"/>
      <c r="E4543" s="178"/>
      <c r="F4543" s="178"/>
      <c r="G4543" s="340"/>
      <c r="H4543" s="340"/>
      <c r="I4543" s="179"/>
      <c r="J4543" s="344"/>
      <c r="K4543" s="345"/>
      <c r="L4543" s="346"/>
      <c r="M4543" s="347"/>
      <c r="N4543" s="347"/>
      <c r="O4543" s="132"/>
    </row>
    <row r="4544" spans="2:15" ht="26.25" customHeight="1" x14ac:dyDescent="0.25">
      <c r="B4544" s="130"/>
      <c r="C4544" s="135"/>
      <c r="D4544" s="177"/>
      <c r="E4544" s="178"/>
      <c r="F4544" s="178"/>
      <c r="G4544" s="340"/>
      <c r="H4544" s="340"/>
      <c r="I4544" s="179"/>
      <c r="J4544" s="344"/>
      <c r="K4544" s="345"/>
      <c r="L4544" s="346"/>
      <c r="M4544" s="347"/>
      <c r="N4544" s="347"/>
      <c r="O4544" s="132"/>
    </row>
    <row r="4545" spans="2:15" ht="26.25" customHeight="1" x14ac:dyDescent="0.25">
      <c r="B4545" s="130"/>
      <c r="C4545" s="135"/>
      <c r="D4545" s="177"/>
      <c r="E4545" s="178"/>
      <c r="F4545" s="178"/>
      <c r="G4545" s="340"/>
      <c r="H4545" s="340"/>
      <c r="I4545" s="179"/>
      <c r="J4545" s="344"/>
      <c r="K4545" s="345"/>
      <c r="L4545" s="346"/>
      <c r="M4545" s="347"/>
      <c r="N4545" s="347"/>
      <c r="O4545" s="132"/>
    </row>
    <row r="4546" spans="2:15" ht="26.25" customHeight="1" x14ac:dyDescent="0.25">
      <c r="B4546" s="130"/>
      <c r="C4546" s="135"/>
      <c r="D4546" s="177"/>
      <c r="E4546" s="178"/>
      <c r="F4546" s="178"/>
      <c r="G4546" s="340"/>
      <c r="H4546" s="340"/>
      <c r="I4546" s="179"/>
      <c r="J4546" s="344"/>
      <c r="K4546" s="345"/>
      <c r="L4546" s="346"/>
      <c r="M4546" s="347"/>
      <c r="N4546" s="347"/>
      <c r="O4546" s="132"/>
    </row>
    <row r="4547" spans="2:15" ht="26.25" customHeight="1" x14ac:dyDescent="0.25">
      <c r="B4547" s="130"/>
      <c r="C4547" s="135"/>
      <c r="D4547" s="177"/>
      <c r="E4547" s="178"/>
      <c r="F4547" s="178"/>
      <c r="G4547" s="340"/>
      <c r="H4547" s="340"/>
      <c r="I4547" s="179"/>
      <c r="J4547" s="344"/>
      <c r="K4547" s="345"/>
      <c r="L4547" s="346"/>
      <c r="M4547" s="347"/>
      <c r="N4547" s="347"/>
      <c r="O4547" s="132"/>
    </row>
    <row r="4548" spans="2:15" ht="26.25" customHeight="1" x14ac:dyDescent="0.25">
      <c r="B4548" s="130"/>
      <c r="C4548" s="135"/>
      <c r="D4548" s="177"/>
      <c r="E4548" s="178"/>
      <c r="F4548" s="178"/>
      <c r="G4548" s="340"/>
      <c r="H4548" s="340"/>
      <c r="I4548" s="179"/>
      <c r="J4548" s="344"/>
      <c r="K4548" s="345"/>
      <c r="L4548" s="346"/>
      <c r="M4548" s="347"/>
      <c r="N4548" s="347"/>
      <c r="O4548" s="132"/>
    </row>
    <row r="4549" spans="2:15" ht="26.25" customHeight="1" x14ac:dyDescent="0.25">
      <c r="B4549" s="130"/>
      <c r="C4549" s="135"/>
      <c r="D4549" s="177"/>
      <c r="E4549" s="178"/>
      <c r="F4549" s="178"/>
      <c r="G4549" s="340"/>
      <c r="H4549" s="340"/>
      <c r="I4549" s="179"/>
      <c r="J4549" s="344"/>
      <c r="K4549" s="345"/>
      <c r="L4549" s="346"/>
      <c r="M4549" s="347"/>
      <c r="N4549" s="347"/>
      <c r="O4549" s="132"/>
    </row>
    <row r="4550" spans="2:15" ht="26.25" customHeight="1" x14ac:dyDescent="0.25">
      <c r="B4550" s="130"/>
      <c r="C4550" s="135"/>
      <c r="D4550" s="177"/>
      <c r="E4550" s="178"/>
      <c r="F4550" s="178"/>
      <c r="G4550" s="340"/>
      <c r="H4550" s="340"/>
      <c r="I4550" s="179"/>
      <c r="J4550" s="344"/>
      <c r="K4550" s="345"/>
      <c r="L4550" s="346"/>
      <c r="M4550" s="347"/>
      <c r="N4550" s="347"/>
      <c r="O4550" s="132"/>
    </row>
    <row r="4551" spans="2:15" ht="26.25" customHeight="1" x14ac:dyDescent="0.25">
      <c r="B4551" s="130"/>
      <c r="C4551" s="135"/>
      <c r="D4551" s="177"/>
      <c r="E4551" s="178"/>
      <c r="F4551" s="178"/>
      <c r="G4551" s="340"/>
      <c r="H4551" s="340"/>
      <c r="I4551" s="179"/>
      <c r="J4551" s="344"/>
      <c r="K4551" s="345"/>
      <c r="L4551" s="346"/>
      <c r="M4551" s="347"/>
      <c r="N4551" s="347"/>
      <c r="O4551" s="132"/>
    </row>
    <row r="4552" spans="2:15" ht="26.25" customHeight="1" x14ac:dyDescent="0.25">
      <c r="B4552" s="130"/>
      <c r="C4552" s="135"/>
      <c r="D4552" s="177"/>
      <c r="E4552" s="178"/>
      <c r="F4552" s="178"/>
      <c r="G4552" s="340"/>
      <c r="H4552" s="340"/>
      <c r="I4552" s="179"/>
      <c r="J4552" s="344"/>
      <c r="K4552" s="345"/>
      <c r="L4552" s="346"/>
      <c r="M4552" s="347"/>
      <c r="N4552" s="347"/>
      <c r="O4552" s="132"/>
    </row>
    <row r="4553" spans="2:15" ht="26.25" customHeight="1" x14ac:dyDescent="0.25">
      <c r="B4553" s="130"/>
      <c r="C4553" s="135"/>
      <c r="D4553" s="177"/>
      <c r="E4553" s="178"/>
      <c r="F4553" s="178"/>
      <c r="G4553" s="340"/>
      <c r="H4553" s="340"/>
      <c r="I4553" s="179"/>
      <c r="J4553" s="344"/>
      <c r="K4553" s="345"/>
      <c r="L4553" s="346"/>
      <c r="M4553" s="347"/>
      <c r="N4553" s="347"/>
      <c r="O4553" s="132"/>
    </row>
    <row r="4554" spans="2:15" ht="26.25" customHeight="1" x14ac:dyDescent="0.25">
      <c r="B4554" s="130"/>
      <c r="C4554" s="135"/>
      <c r="D4554" s="177"/>
      <c r="E4554" s="178"/>
      <c r="F4554" s="178"/>
      <c r="G4554" s="340"/>
      <c r="H4554" s="340"/>
      <c r="I4554" s="179"/>
      <c r="J4554" s="344"/>
      <c r="K4554" s="345"/>
      <c r="L4554" s="346"/>
      <c r="M4554" s="347"/>
      <c r="N4554" s="347"/>
      <c r="O4554" s="132"/>
    </row>
    <row r="4555" spans="2:15" ht="26.25" customHeight="1" x14ac:dyDescent="0.25">
      <c r="B4555" s="130"/>
      <c r="C4555" s="135"/>
      <c r="D4555" s="177"/>
      <c r="E4555" s="178"/>
      <c r="F4555" s="178"/>
      <c r="G4555" s="340"/>
      <c r="H4555" s="340"/>
      <c r="I4555" s="179"/>
      <c r="J4555" s="344"/>
      <c r="K4555" s="345"/>
      <c r="L4555" s="346"/>
      <c r="M4555" s="347"/>
      <c r="N4555" s="347"/>
      <c r="O4555" s="132"/>
    </row>
    <row r="4556" spans="2:15" ht="26.25" customHeight="1" x14ac:dyDescent="0.25">
      <c r="B4556" s="130"/>
      <c r="C4556" s="135"/>
      <c r="D4556" s="177"/>
      <c r="E4556" s="178"/>
      <c r="F4556" s="178"/>
      <c r="G4556" s="340"/>
      <c r="H4556" s="340"/>
      <c r="I4556" s="179"/>
      <c r="J4556" s="344"/>
      <c r="K4556" s="345"/>
      <c r="L4556" s="346"/>
      <c r="M4556" s="347"/>
      <c r="N4556" s="347"/>
      <c r="O4556" s="132"/>
    </row>
    <row r="4557" spans="2:15" ht="26.25" customHeight="1" x14ac:dyDescent="0.25">
      <c r="B4557" s="130"/>
      <c r="C4557" s="135"/>
      <c r="D4557" s="177"/>
      <c r="E4557" s="178"/>
      <c r="F4557" s="178"/>
      <c r="G4557" s="340"/>
      <c r="H4557" s="340"/>
      <c r="I4557" s="179"/>
      <c r="J4557" s="344"/>
      <c r="K4557" s="345"/>
      <c r="L4557" s="346"/>
      <c r="M4557" s="347"/>
      <c r="N4557" s="347"/>
      <c r="O4557" s="132"/>
    </row>
    <row r="4558" spans="2:15" ht="26.25" customHeight="1" x14ac:dyDescent="0.25">
      <c r="B4558" s="130"/>
      <c r="C4558" s="135"/>
      <c r="D4558" s="177"/>
      <c r="E4558" s="178"/>
      <c r="F4558" s="178"/>
      <c r="G4558" s="340"/>
      <c r="H4558" s="340"/>
      <c r="I4558" s="179"/>
      <c r="J4558" s="344"/>
      <c r="K4558" s="345"/>
      <c r="L4558" s="346"/>
      <c r="M4558" s="347"/>
      <c r="N4558" s="347"/>
      <c r="O4558" s="132"/>
    </row>
    <row r="4559" spans="2:15" ht="26.25" customHeight="1" x14ac:dyDescent="0.25">
      <c r="B4559" s="130"/>
      <c r="C4559" s="135"/>
      <c r="D4559" s="177"/>
      <c r="E4559" s="178"/>
      <c r="F4559" s="178"/>
      <c r="G4559" s="340"/>
      <c r="H4559" s="340"/>
      <c r="I4559" s="179"/>
      <c r="J4559" s="344"/>
      <c r="K4559" s="345"/>
      <c r="L4559" s="346"/>
      <c r="M4559" s="347"/>
      <c r="N4559" s="347"/>
      <c r="O4559" s="132"/>
    </row>
    <row r="4560" spans="2:15" ht="26.25" customHeight="1" x14ac:dyDescent="0.25">
      <c r="B4560" s="130"/>
      <c r="C4560" s="135"/>
      <c r="D4560" s="177"/>
      <c r="E4560" s="178"/>
      <c r="F4560" s="178"/>
      <c r="G4560" s="340"/>
      <c r="H4560" s="340"/>
      <c r="I4560" s="179"/>
      <c r="J4560" s="344"/>
      <c r="K4560" s="345"/>
      <c r="L4560" s="346"/>
      <c r="M4560" s="347"/>
      <c r="N4560" s="347"/>
      <c r="O4560" s="132"/>
    </row>
    <row r="4561" spans="2:15" ht="26.25" customHeight="1" x14ac:dyDescent="0.25">
      <c r="B4561" s="130"/>
      <c r="C4561" s="135"/>
      <c r="D4561" s="177"/>
      <c r="E4561" s="178"/>
      <c r="F4561" s="178"/>
      <c r="G4561" s="340"/>
      <c r="H4561" s="340"/>
      <c r="I4561" s="179"/>
      <c r="J4561" s="344"/>
      <c r="K4561" s="345"/>
      <c r="L4561" s="346"/>
      <c r="M4561" s="347"/>
      <c r="N4561" s="347"/>
      <c r="O4561" s="132"/>
    </row>
    <row r="4562" spans="2:15" ht="26.25" customHeight="1" x14ac:dyDescent="0.25">
      <c r="B4562" s="130"/>
      <c r="C4562" s="135"/>
      <c r="D4562" s="177"/>
      <c r="E4562" s="178"/>
      <c r="F4562" s="178"/>
      <c r="G4562" s="340"/>
      <c r="H4562" s="340"/>
      <c r="I4562" s="179"/>
      <c r="J4562" s="344"/>
      <c r="K4562" s="345"/>
      <c r="L4562" s="346"/>
      <c r="M4562" s="347"/>
      <c r="N4562" s="347"/>
      <c r="O4562" s="132"/>
    </row>
    <row r="4563" spans="2:15" ht="26.25" customHeight="1" x14ac:dyDescent="0.25">
      <c r="B4563" s="130"/>
      <c r="C4563" s="135"/>
      <c r="D4563" s="177"/>
      <c r="E4563" s="178"/>
      <c r="F4563" s="178"/>
      <c r="G4563" s="340"/>
      <c r="H4563" s="340"/>
      <c r="I4563" s="179"/>
      <c r="J4563" s="344"/>
      <c r="K4563" s="345"/>
      <c r="L4563" s="346"/>
      <c r="M4563" s="347"/>
      <c r="N4563" s="347"/>
      <c r="O4563" s="132"/>
    </row>
    <row r="4564" spans="2:15" ht="26.25" customHeight="1" x14ac:dyDescent="0.25">
      <c r="B4564" s="130"/>
      <c r="C4564" s="135"/>
      <c r="D4564" s="177"/>
      <c r="E4564" s="178"/>
      <c r="F4564" s="178"/>
      <c r="G4564" s="340"/>
      <c r="H4564" s="340"/>
      <c r="I4564" s="179"/>
      <c r="J4564" s="344"/>
      <c r="K4564" s="345"/>
      <c r="L4564" s="346"/>
      <c r="M4564" s="347"/>
      <c r="N4564" s="347"/>
      <c r="O4564" s="132"/>
    </row>
    <row r="4565" spans="2:15" ht="26.25" customHeight="1" x14ac:dyDescent="0.25">
      <c r="B4565" s="130"/>
      <c r="C4565" s="135"/>
      <c r="D4565" s="177"/>
      <c r="E4565" s="178"/>
      <c r="F4565" s="178"/>
      <c r="G4565" s="340"/>
      <c r="H4565" s="340"/>
      <c r="I4565" s="179"/>
      <c r="J4565" s="344"/>
      <c r="K4565" s="345"/>
      <c r="L4565" s="346"/>
      <c r="M4565" s="347"/>
      <c r="N4565" s="347"/>
      <c r="O4565" s="132"/>
    </row>
    <row r="4566" spans="2:15" ht="26.25" customHeight="1" x14ac:dyDescent="0.25">
      <c r="B4566" s="130"/>
      <c r="C4566" s="135"/>
      <c r="D4566" s="177"/>
      <c r="E4566" s="178"/>
      <c r="F4566" s="178"/>
      <c r="G4566" s="340"/>
      <c r="H4566" s="340"/>
      <c r="I4566" s="179"/>
      <c r="J4566" s="344"/>
      <c r="K4566" s="345"/>
      <c r="L4566" s="346"/>
      <c r="M4566" s="347"/>
      <c r="N4566" s="347"/>
      <c r="O4566" s="132"/>
    </row>
    <row r="4567" spans="2:15" ht="26.25" customHeight="1" x14ac:dyDescent="0.25">
      <c r="B4567" s="130"/>
      <c r="C4567" s="135"/>
      <c r="D4567" s="177"/>
      <c r="E4567" s="178"/>
      <c r="F4567" s="178"/>
      <c r="G4567" s="340"/>
      <c r="H4567" s="340"/>
      <c r="I4567" s="179"/>
      <c r="J4567" s="344"/>
      <c r="K4567" s="345"/>
      <c r="L4567" s="346"/>
      <c r="M4567" s="347"/>
      <c r="N4567" s="347"/>
      <c r="O4567" s="132"/>
    </row>
    <row r="4568" spans="2:15" ht="26.25" customHeight="1" x14ac:dyDescent="0.25">
      <c r="B4568" s="130"/>
      <c r="C4568" s="135"/>
      <c r="D4568" s="177"/>
      <c r="E4568" s="178"/>
      <c r="F4568" s="178"/>
      <c r="G4568" s="340"/>
      <c r="H4568" s="340"/>
      <c r="I4568" s="179"/>
      <c r="J4568" s="344"/>
      <c r="K4568" s="345"/>
      <c r="L4568" s="346"/>
      <c r="M4568" s="347"/>
      <c r="N4568" s="347"/>
      <c r="O4568" s="132"/>
    </row>
    <row r="4569" spans="2:15" ht="26.25" customHeight="1" x14ac:dyDescent="0.25">
      <c r="B4569" s="130"/>
      <c r="C4569" s="135"/>
      <c r="D4569" s="177"/>
      <c r="E4569" s="178"/>
      <c r="F4569" s="178"/>
      <c r="G4569" s="340"/>
      <c r="H4569" s="340"/>
      <c r="I4569" s="179"/>
      <c r="J4569" s="344"/>
      <c r="K4569" s="345"/>
      <c r="L4569" s="346"/>
      <c r="M4569" s="347"/>
      <c r="N4569" s="347"/>
      <c r="O4569" s="132"/>
    </row>
    <row r="4570" spans="2:15" ht="26.25" customHeight="1" x14ac:dyDescent="0.25">
      <c r="B4570" s="130"/>
      <c r="C4570" s="135"/>
      <c r="D4570" s="177"/>
      <c r="E4570" s="178"/>
      <c r="F4570" s="178"/>
      <c r="G4570" s="340"/>
      <c r="H4570" s="340"/>
      <c r="I4570" s="179"/>
      <c r="J4570" s="344"/>
      <c r="K4570" s="345"/>
      <c r="L4570" s="346"/>
      <c r="M4570" s="347"/>
      <c r="N4570" s="347"/>
      <c r="O4570" s="132"/>
    </row>
    <row r="4571" spans="2:15" ht="26.25" customHeight="1" x14ac:dyDescent="0.25">
      <c r="B4571" s="130"/>
      <c r="C4571" s="135"/>
      <c r="D4571" s="177"/>
      <c r="E4571" s="178"/>
      <c r="F4571" s="178"/>
      <c r="G4571" s="340"/>
      <c r="H4571" s="340"/>
      <c r="I4571" s="179"/>
      <c r="J4571" s="344"/>
      <c r="K4571" s="345"/>
      <c r="L4571" s="346"/>
      <c r="M4571" s="347"/>
      <c r="N4571" s="347"/>
      <c r="O4571" s="132"/>
    </row>
    <row r="4572" spans="2:15" ht="26.25" customHeight="1" x14ac:dyDescent="0.25">
      <c r="B4572" s="130"/>
      <c r="C4572" s="135"/>
      <c r="D4572" s="177"/>
      <c r="E4572" s="178"/>
      <c r="F4572" s="178"/>
      <c r="G4572" s="340"/>
      <c r="H4572" s="340"/>
      <c r="I4572" s="179"/>
      <c r="J4572" s="344"/>
      <c r="K4572" s="345"/>
      <c r="L4572" s="346"/>
      <c r="M4572" s="347"/>
      <c r="N4572" s="347"/>
      <c r="O4572" s="132"/>
    </row>
    <row r="4573" spans="2:15" ht="26.25" customHeight="1" x14ac:dyDescent="0.25">
      <c r="B4573" s="130"/>
      <c r="C4573" s="135"/>
      <c r="D4573" s="177"/>
      <c r="E4573" s="178"/>
      <c r="F4573" s="178"/>
      <c r="G4573" s="340"/>
      <c r="H4573" s="340"/>
      <c r="I4573" s="179"/>
      <c r="J4573" s="344"/>
      <c r="K4573" s="345"/>
      <c r="L4573" s="346"/>
      <c r="M4573" s="347"/>
      <c r="N4573" s="347"/>
      <c r="O4573" s="132"/>
    </row>
    <row r="4574" spans="2:15" ht="26.25" customHeight="1" x14ac:dyDescent="0.25">
      <c r="B4574" s="130"/>
      <c r="C4574" s="135"/>
      <c r="D4574" s="177"/>
      <c r="E4574" s="178"/>
      <c r="F4574" s="178"/>
      <c r="G4574" s="340"/>
      <c r="H4574" s="340"/>
      <c r="I4574" s="179"/>
      <c r="J4574" s="344"/>
      <c r="K4574" s="345"/>
      <c r="L4574" s="346"/>
      <c r="M4574" s="347"/>
      <c r="N4574" s="347"/>
      <c r="O4574" s="132"/>
    </row>
    <row r="4575" spans="2:15" ht="26.25" customHeight="1" x14ac:dyDescent="0.25">
      <c r="B4575" s="130"/>
      <c r="C4575" s="135"/>
      <c r="D4575" s="177"/>
      <c r="E4575" s="178"/>
      <c r="F4575" s="178"/>
      <c r="G4575" s="340"/>
      <c r="H4575" s="340"/>
      <c r="I4575" s="179"/>
      <c r="J4575" s="344"/>
      <c r="K4575" s="345"/>
      <c r="L4575" s="346"/>
      <c r="M4575" s="347"/>
      <c r="N4575" s="347"/>
      <c r="O4575" s="132"/>
    </row>
    <row r="4576" spans="2:15" ht="26.25" customHeight="1" x14ac:dyDescent="0.25">
      <c r="B4576" s="130"/>
      <c r="C4576" s="135"/>
      <c r="D4576" s="177"/>
      <c r="E4576" s="178"/>
      <c r="F4576" s="178"/>
      <c r="G4576" s="340"/>
      <c r="H4576" s="340"/>
      <c r="I4576" s="179"/>
      <c r="J4576" s="344"/>
      <c r="K4576" s="345"/>
      <c r="L4576" s="346"/>
      <c r="M4576" s="347"/>
      <c r="N4576" s="347"/>
      <c r="O4576" s="132"/>
    </row>
    <row r="4577" spans="2:15" ht="26.25" customHeight="1" x14ac:dyDescent="0.25">
      <c r="B4577" s="130"/>
      <c r="C4577" s="135"/>
      <c r="D4577" s="177"/>
      <c r="E4577" s="178"/>
      <c r="F4577" s="178"/>
      <c r="G4577" s="340"/>
      <c r="H4577" s="340"/>
      <c r="I4577" s="179"/>
      <c r="J4577" s="344"/>
      <c r="K4577" s="345"/>
      <c r="L4577" s="346"/>
      <c r="M4577" s="347"/>
      <c r="N4577" s="347"/>
      <c r="O4577" s="132"/>
    </row>
    <row r="4578" spans="2:15" ht="26.25" customHeight="1" x14ac:dyDescent="0.25">
      <c r="B4578" s="130"/>
      <c r="C4578" s="135"/>
      <c r="D4578" s="177"/>
      <c r="E4578" s="178"/>
      <c r="F4578" s="178"/>
      <c r="G4578" s="340"/>
      <c r="H4578" s="340"/>
      <c r="I4578" s="179"/>
      <c r="J4578" s="344"/>
      <c r="K4578" s="345"/>
      <c r="L4578" s="346"/>
      <c r="M4578" s="347"/>
      <c r="N4578" s="347"/>
      <c r="O4578" s="132"/>
    </row>
    <row r="4579" spans="2:15" ht="26.25" customHeight="1" x14ac:dyDescent="0.25">
      <c r="B4579" s="130"/>
      <c r="C4579" s="135"/>
      <c r="D4579" s="177"/>
      <c r="E4579" s="178"/>
      <c r="F4579" s="178"/>
      <c r="G4579" s="340"/>
      <c r="H4579" s="340"/>
      <c r="I4579" s="179"/>
      <c r="J4579" s="344"/>
      <c r="K4579" s="345"/>
      <c r="L4579" s="346"/>
      <c r="M4579" s="347"/>
      <c r="N4579" s="347"/>
      <c r="O4579" s="132"/>
    </row>
    <row r="4580" spans="2:15" ht="26.25" customHeight="1" x14ac:dyDescent="0.25">
      <c r="B4580" s="130"/>
      <c r="C4580" s="135"/>
      <c r="D4580" s="177"/>
      <c r="E4580" s="178"/>
      <c r="F4580" s="178"/>
      <c r="G4580" s="340"/>
      <c r="H4580" s="340"/>
      <c r="I4580" s="179"/>
      <c r="J4580" s="344"/>
      <c r="K4580" s="345"/>
      <c r="L4580" s="346"/>
      <c r="M4580" s="347"/>
      <c r="N4580" s="347"/>
      <c r="O4580" s="132"/>
    </row>
    <row r="4581" spans="2:15" ht="26.25" customHeight="1" x14ac:dyDescent="0.25">
      <c r="B4581" s="130"/>
      <c r="C4581" s="135"/>
      <c r="D4581" s="177"/>
      <c r="E4581" s="178"/>
      <c r="F4581" s="178"/>
      <c r="G4581" s="340"/>
      <c r="H4581" s="340"/>
      <c r="I4581" s="179"/>
      <c r="J4581" s="344"/>
      <c r="K4581" s="345"/>
      <c r="L4581" s="346"/>
      <c r="M4581" s="347"/>
      <c r="N4581" s="347"/>
      <c r="O4581" s="132"/>
    </row>
    <row r="4582" spans="2:15" ht="26.25" customHeight="1" x14ac:dyDescent="0.25">
      <c r="B4582" s="130"/>
      <c r="C4582" s="135"/>
      <c r="D4582" s="177"/>
      <c r="E4582" s="178"/>
      <c r="F4582" s="178"/>
      <c r="G4582" s="340"/>
      <c r="H4582" s="340"/>
      <c r="I4582" s="179"/>
      <c r="J4582" s="344"/>
      <c r="K4582" s="345"/>
      <c r="L4582" s="346"/>
      <c r="M4582" s="347"/>
      <c r="N4582" s="347"/>
      <c r="O4582" s="132"/>
    </row>
    <row r="4583" spans="2:15" ht="26.25" customHeight="1" x14ac:dyDescent="0.25">
      <c r="B4583" s="130"/>
      <c r="C4583" s="135"/>
      <c r="D4583" s="177"/>
      <c r="E4583" s="178"/>
      <c r="F4583" s="178"/>
      <c r="G4583" s="340"/>
      <c r="H4583" s="340"/>
      <c r="I4583" s="179"/>
      <c r="J4583" s="344"/>
      <c r="K4583" s="345"/>
      <c r="L4583" s="346"/>
      <c r="M4583" s="347"/>
      <c r="N4583" s="347"/>
      <c r="O4583" s="132"/>
    </row>
    <row r="4584" spans="2:15" ht="26.25" customHeight="1" x14ac:dyDescent="0.25">
      <c r="B4584" s="130"/>
      <c r="C4584" s="135"/>
      <c r="D4584" s="177"/>
      <c r="E4584" s="178"/>
      <c r="F4584" s="178"/>
      <c r="G4584" s="340"/>
      <c r="H4584" s="340"/>
      <c r="I4584" s="179"/>
      <c r="J4584" s="344"/>
      <c r="K4584" s="345"/>
      <c r="L4584" s="346"/>
      <c r="M4584" s="347"/>
      <c r="N4584" s="347"/>
      <c r="O4584" s="132"/>
    </row>
    <row r="4585" spans="2:15" ht="26.25" customHeight="1" x14ac:dyDescent="0.25">
      <c r="B4585" s="130"/>
      <c r="C4585" s="135"/>
      <c r="D4585" s="177"/>
      <c r="E4585" s="178"/>
      <c r="F4585" s="178"/>
      <c r="G4585" s="340"/>
      <c r="H4585" s="340"/>
      <c r="I4585" s="179"/>
      <c r="J4585" s="344"/>
      <c r="K4585" s="345"/>
      <c r="L4585" s="346"/>
      <c r="M4585" s="347"/>
      <c r="N4585" s="347"/>
      <c r="O4585" s="132"/>
    </row>
    <row r="4586" spans="2:15" ht="26.25" customHeight="1" x14ac:dyDescent="0.25">
      <c r="B4586" s="130"/>
      <c r="C4586" s="135"/>
      <c r="D4586" s="177"/>
      <c r="E4586" s="178"/>
      <c r="F4586" s="178"/>
      <c r="G4586" s="340"/>
      <c r="H4586" s="340"/>
      <c r="I4586" s="179"/>
      <c r="J4586" s="344"/>
      <c r="K4586" s="345"/>
      <c r="L4586" s="346"/>
      <c r="M4586" s="347"/>
      <c r="N4586" s="347"/>
      <c r="O4586" s="132"/>
    </row>
    <row r="4587" spans="2:15" ht="26.25" customHeight="1" x14ac:dyDescent="0.25">
      <c r="B4587" s="130"/>
      <c r="C4587" s="135"/>
      <c r="D4587" s="177"/>
      <c r="E4587" s="178"/>
      <c r="F4587" s="178"/>
      <c r="G4587" s="340"/>
      <c r="H4587" s="340"/>
      <c r="I4587" s="179"/>
      <c r="J4587" s="344"/>
      <c r="K4587" s="345"/>
      <c r="L4587" s="346"/>
      <c r="M4587" s="347"/>
      <c r="N4587" s="347"/>
      <c r="O4587" s="132"/>
    </row>
    <row r="4588" spans="2:15" ht="26.25" customHeight="1" x14ac:dyDescent="0.25">
      <c r="B4588" s="130"/>
      <c r="C4588" s="135"/>
      <c r="D4588" s="177"/>
      <c r="E4588" s="178"/>
      <c r="F4588" s="178"/>
      <c r="G4588" s="340"/>
      <c r="H4588" s="340"/>
      <c r="I4588" s="179"/>
      <c r="J4588" s="344"/>
      <c r="K4588" s="345"/>
      <c r="L4588" s="346"/>
      <c r="M4588" s="347"/>
      <c r="N4588" s="347"/>
      <c r="O4588" s="132"/>
    </row>
    <row r="4589" spans="2:15" ht="26.25" customHeight="1" x14ac:dyDescent="0.25">
      <c r="B4589" s="130"/>
      <c r="C4589" s="135"/>
      <c r="D4589" s="177"/>
      <c r="E4589" s="178"/>
      <c r="F4589" s="178"/>
      <c r="G4589" s="340"/>
      <c r="H4589" s="340"/>
      <c r="I4589" s="179"/>
      <c r="J4589" s="344"/>
      <c r="K4589" s="345"/>
      <c r="L4589" s="346"/>
      <c r="M4589" s="347"/>
      <c r="N4589" s="347"/>
      <c r="O4589" s="132"/>
    </row>
    <row r="4590" spans="2:15" ht="26.25" customHeight="1" x14ac:dyDescent="0.25">
      <c r="B4590" s="130"/>
      <c r="C4590" s="135"/>
      <c r="D4590" s="177"/>
      <c r="E4590" s="178"/>
      <c r="F4590" s="178"/>
      <c r="G4590" s="340"/>
      <c r="H4590" s="340"/>
      <c r="I4590" s="179"/>
      <c r="J4590" s="344"/>
      <c r="K4590" s="345"/>
      <c r="L4590" s="346"/>
      <c r="M4590" s="347"/>
      <c r="N4590" s="347"/>
      <c r="O4590" s="132"/>
    </row>
    <row r="4591" spans="2:15" ht="26.25" customHeight="1" x14ac:dyDescent="0.25">
      <c r="B4591" s="130"/>
      <c r="C4591" s="135"/>
      <c r="D4591" s="177"/>
      <c r="E4591" s="178"/>
      <c r="F4591" s="178"/>
      <c r="G4591" s="340"/>
      <c r="H4591" s="340"/>
      <c r="I4591" s="179"/>
      <c r="J4591" s="344"/>
      <c r="K4591" s="345"/>
      <c r="L4591" s="346"/>
      <c r="M4591" s="347"/>
      <c r="N4591" s="347"/>
      <c r="O4591" s="132"/>
    </row>
    <row r="4592" spans="2:15" ht="26.25" customHeight="1" x14ac:dyDescent="0.25">
      <c r="B4592" s="130"/>
      <c r="C4592" s="135"/>
      <c r="D4592" s="177"/>
      <c r="E4592" s="178"/>
      <c r="F4592" s="178"/>
      <c r="G4592" s="340"/>
      <c r="H4592" s="340"/>
      <c r="I4592" s="179"/>
      <c r="J4592" s="344"/>
      <c r="K4592" s="345"/>
      <c r="L4592" s="346"/>
      <c r="M4592" s="347"/>
      <c r="N4592" s="347"/>
      <c r="O4592" s="132"/>
    </row>
    <row r="4593" spans="2:15" ht="26.25" customHeight="1" x14ac:dyDescent="0.25">
      <c r="B4593" s="130"/>
      <c r="C4593" s="135"/>
      <c r="D4593" s="177"/>
      <c r="E4593" s="178"/>
      <c r="F4593" s="178"/>
      <c r="G4593" s="340"/>
      <c r="H4593" s="340"/>
      <c r="I4593" s="179"/>
      <c r="J4593" s="344"/>
      <c r="K4593" s="345"/>
      <c r="L4593" s="346"/>
      <c r="M4593" s="347"/>
      <c r="N4593" s="347"/>
      <c r="O4593" s="132"/>
    </row>
    <row r="4594" spans="2:15" ht="26.25" customHeight="1" x14ac:dyDescent="0.25">
      <c r="B4594" s="130"/>
      <c r="C4594" s="135"/>
      <c r="D4594" s="177"/>
      <c r="E4594" s="178"/>
      <c r="F4594" s="178"/>
      <c r="G4594" s="340"/>
      <c r="H4594" s="340"/>
      <c r="I4594" s="179"/>
      <c r="J4594" s="344"/>
      <c r="K4594" s="345"/>
      <c r="L4594" s="346"/>
      <c r="M4594" s="347"/>
      <c r="N4594" s="347"/>
      <c r="O4594" s="132"/>
    </row>
    <row r="4595" spans="2:15" ht="26.25" customHeight="1" x14ac:dyDescent="0.25">
      <c r="B4595" s="130"/>
      <c r="C4595" s="135"/>
      <c r="D4595" s="177"/>
      <c r="E4595" s="178"/>
      <c r="F4595" s="178"/>
      <c r="G4595" s="340"/>
      <c r="H4595" s="340"/>
      <c r="I4595" s="179"/>
      <c r="J4595" s="344"/>
      <c r="K4595" s="345"/>
      <c r="L4595" s="346"/>
      <c r="M4595" s="347"/>
      <c r="N4595" s="347"/>
      <c r="O4595" s="132"/>
    </row>
    <row r="4596" spans="2:15" ht="26.25" customHeight="1" x14ac:dyDescent="0.25">
      <c r="B4596" s="130"/>
      <c r="C4596" s="135"/>
      <c r="D4596" s="177"/>
      <c r="E4596" s="178"/>
      <c r="F4596" s="178"/>
      <c r="G4596" s="340"/>
      <c r="H4596" s="340"/>
      <c r="I4596" s="179"/>
      <c r="J4596" s="344"/>
      <c r="K4596" s="345"/>
      <c r="L4596" s="346"/>
      <c r="M4596" s="347"/>
      <c r="N4596" s="347"/>
      <c r="O4596" s="132"/>
    </row>
    <row r="4597" spans="2:15" ht="26.25" customHeight="1" x14ac:dyDescent="0.25">
      <c r="B4597" s="130"/>
      <c r="C4597" s="135"/>
      <c r="D4597" s="177"/>
      <c r="E4597" s="178"/>
      <c r="F4597" s="178"/>
      <c r="G4597" s="340"/>
      <c r="H4597" s="340"/>
      <c r="I4597" s="179"/>
      <c r="J4597" s="344"/>
      <c r="K4597" s="345"/>
      <c r="L4597" s="346"/>
      <c r="M4597" s="347"/>
      <c r="N4597" s="347"/>
      <c r="O4597" s="132"/>
    </row>
    <row r="4598" spans="2:15" ht="26.25" customHeight="1" x14ac:dyDescent="0.25">
      <c r="B4598" s="130"/>
      <c r="C4598" s="135"/>
      <c r="D4598" s="177"/>
      <c r="E4598" s="178"/>
      <c r="F4598" s="178"/>
      <c r="G4598" s="340"/>
      <c r="H4598" s="340"/>
      <c r="I4598" s="179"/>
      <c r="J4598" s="344"/>
      <c r="K4598" s="345"/>
      <c r="L4598" s="346"/>
      <c r="M4598" s="347"/>
      <c r="N4598" s="347"/>
      <c r="O4598" s="132"/>
    </row>
    <row r="4599" spans="2:15" ht="26.25" customHeight="1" x14ac:dyDescent="0.25">
      <c r="B4599" s="130"/>
      <c r="C4599" s="135"/>
      <c r="D4599" s="177"/>
      <c r="E4599" s="178"/>
      <c r="F4599" s="178"/>
      <c r="G4599" s="340"/>
      <c r="H4599" s="340"/>
      <c r="I4599" s="179"/>
      <c r="J4599" s="344"/>
      <c r="K4599" s="345"/>
      <c r="L4599" s="346"/>
      <c r="M4599" s="347"/>
      <c r="N4599" s="347"/>
      <c r="O4599" s="132"/>
    </row>
    <row r="4600" spans="2:15" ht="26.25" customHeight="1" x14ac:dyDescent="0.25">
      <c r="B4600" s="130"/>
      <c r="C4600" s="135"/>
      <c r="D4600" s="177"/>
      <c r="E4600" s="178"/>
      <c r="F4600" s="178"/>
      <c r="G4600" s="340"/>
      <c r="H4600" s="340"/>
      <c r="I4600" s="179"/>
      <c r="J4600" s="344"/>
      <c r="K4600" s="345"/>
      <c r="L4600" s="346"/>
      <c r="M4600" s="347"/>
      <c r="N4600" s="347"/>
      <c r="O4600" s="132"/>
    </row>
    <row r="4601" spans="2:15" ht="26.25" customHeight="1" x14ac:dyDescent="0.25">
      <c r="B4601" s="130"/>
      <c r="C4601" s="135"/>
      <c r="D4601" s="177"/>
      <c r="E4601" s="178"/>
      <c r="F4601" s="178"/>
      <c r="G4601" s="340"/>
      <c r="H4601" s="340"/>
      <c r="I4601" s="179"/>
      <c r="J4601" s="344"/>
      <c r="K4601" s="345"/>
      <c r="L4601" s="346"/>
      <c r="M4601" s="347"/>
      <c r="N4601" s="347"/>
      <c r="O4601" s="132"/>
    </row>
    <row r="4602" spans="2:15" ht="26.25" customHeight="1" x14ac:dyDescent="0.25">
      <c r="B4602" s="130"/>
      <c r="C4602" s="135"/>
      <c r="D4602" s="177"/>
      <c r="E4602" s="178"/>
      <c r="F4602" s="178"/>
      <c r="G4602" s="340"/>
      <c r="H4602" s="340"/>
      <c r="I4602" s="179"/>
      <c r="J4602" s="344"/>
      <c r="K4602" s="345"/>
      <c r="L4602" s="346"/>
      <c r="M4602" s="347"/>
      <c r="N4602" s="347"/>
      <c r="O4602" s="132"/>
    </row>
    <row r="4603" spans="2:15" ht="26.25" customHeight="1" x14ac:dyDescent="0.25">
      <c r="B4603" s="130"/>
      <c r="C4603" s="135"/>
      <c r="D4603" s="177"/>
      <c r="E4603" s="178"/>
      <c r="F4603" s="178"/>
      <c r="G4603" s="340"/>
      <c r="H4603" s="340"/>
      <c r="I4603" s="179"/>
      <c r="J4603" s="344"/>
      <c r="K4603" s="345"/>
      <c r="L4603" s="346"/>
      <c r="M4603" s="347"/>
      <c r="N4603" s="347"/>
      <c r="O4603" s="132"/>
    </row>
    <row r="4604" spans="2:15" ht="26.25" customHeight="1" x14ac:dyDescent="0.25">
      <c r="B4604" s="130"/>
      <c r="C4604" s="135"/>
      <c r="D4604" s="177"/>
      <c r="E4604" s="178"/>
      <c r="F4604" s="178"/>
      <c r="G4604" s="340"/>
      <c r="H4604" s="340"/>
      <c r="I4604" s="179"/>
      <c r="J4604" s="344"/>
      <c r="K4604" s="345"/>
      <c r="L4604" s="346"/>
      <c r="M4604" s="347"/>
      <c r="N4604" s="347"/>
      <c r="O4604" s="132"/>
    </row>
    <row r="4605" spans="2:15" ht="26.25" customHeight="1" x14ac:dyDescent="0.25">
      <c r="B4605" s="130"/>
      <c r="C4605" s="135"/>
      <c r="D4605" s="177"/>
      <c r="E4605" s="178"/>
      <c r="F4605" s="178"/>
      <c r="G4605" s="340"/>
      <c r="H4605" s="340"/>
      <c r="I4605" s="179"/>
      <c r="J4605" s="344"/>
      <c r="K4605" s="345"/>
      <c r="L4605" s="346"/>
      <c r="M4605" s="347"/>
      <c r="N4605" s="347"/>
      <c r="O4605" s="132"/>
    </row>
    <row r="4606" spans="2:15" ht="26.25" customHeight="1" x14ac:dyDescent="0.25">
      <c r="B4606" s="130"/>
      <c r="C4606" s="135"/>
      <c r="D4606" s="177"/>
      <c r="E4606" s="178"/>
      <c r="F4606" s="178"/>
      <c r="G4606" s="340"/>
      <c r="H4606" s="340"/>
      <c r="I4606" s="179"/>
      <c r="J4606" s="344"/>
      <c r="K4606" s="345"/>
      <c r="L4606" s="346"/>
      <c r="M4606" s="347"/>
      <c r="N4606" s="347"/>
      <c r="O4606" s="132"/>
    </row>
    <row r="4607" spans="2:15" ht="26.25" customHeight="1" x14ac:dyDescent="0.25">
      <c r="B4607" s="130"/>
      <c r="C4607" s="135"/>
      <c r="D4607" s="177"/>
      <c r="E4607" s="178"/>
      <c r="F4607" s="178"/>
      <c r="G4607" s="340"/>
      <c r="H4607" s="340"/>
      <c r="I4607" s="179"/>
      <c r="J4607" s="344"/>
      <c r="K4607" s="345"/>
      <c r="L4607" s="346"/>
      <c r="M4607" s="347"/>
      <c r="N4607" s="347"/>
      <c r="O4607" s="132"/>
    </row>
    <row r="4608" spans="2:15" ht="26.25" customHeight="1" x14ac:dyDescent="0.25">
      <c r="B4608" s="130"/>
      <c r="C4608" s="135"/>
      <c r="D4608" s="177"/>
      <c r="E4608" s="178"/>
      <c r="F4608" s="178"/>
      <c r="G4608" s="340"/>
      <c r="H4608" s="340"/>
      <c r="I4608" s="179"/>
      <c r="J4608" s="344"/>
      <c r="K4608" s="345"/>
      <c r="L4608" s="346"/>
      <c r="M4608" s="347"/>
      <c r="N4608" s="347"/>
      <c r="O4608" s="132"/>
    </row>
    <row r="4609" spans="2:15" ht="26.25" customHeight="1" x14ac:dyDescent="0.25">
      <c r="B4609" s="130"/>
      <c r="C4609" s="135"/>
      <c r="D4609" s="177"/>
      <c r="E4609" s="178"/>
      <c r="F4609" s="178"/>
      <c r="G4609" s="340"/>
      <c r="H4609" s="340"/>
      <c r="I4609" s="179"/>
      <c r="J4609" s="344"/>
      <c r="K4609" s="345"/>
      <c r="L4609" s="346"/>
      <c r="M4609" s="347"/>
      <c r="N4609" s="347"/>
      <c r="O4609" s="132"/>
    </row>
    <row r="4610" spans="2:15" ht="26.25" customHeight="1" x14ac:dyDescent="0.25">
      <c r="B4610" s="130"/>
      <c r="C4610" s="135"/>
      <c r="D4610" s="177"/>
      <c r="E4610" s="178"/>
      <c r="F4610" s="178"/>
      <c r="G4610" s="340"/>
      <c r="H4610" s="340"/>
      <c r="I4610" s="179"/>
      <c r="J4610" s="344"/>
      <c r="K4610" s="345"/>
      <c r="L4610" s="346"/>
      <c r="M4610" s="347"/>
      <c r="N4610" s="347"/>
      <c r="O4610" s="132"/>
    </row>
    <row r="4611" spans="2:15" ht="26.25" customHeight="1" x14ac:dyDescent="0.25">
      <c r="B4611" s="130"/>
      <c r="C4611" s="135"/>
      <c r="D4611" s="177"/>
      <c r="E4611" s="178"/>
      <c r="F4611" s="178"/>
      <c r="G4611" s="340"/>
      <c r="H4611" s="340"/>
      <c r="I4611" s="179"/>
      <c r="J4611" s="344"/>
      <c r="K4611" s="345"/>
      <c r="L4611" s="346"/>
      <c r="M4611" s="347"/>
      <c r="N4611" s="347"/>
      <c r="O4611" s="132"/>
    </row>
    <row r="4612" spans="2:15" ht="26.25" customHeight="1" x14ac:dyDescent="0.25">
      <c r="B4612" s="130"/>
      <c r="C4612" s="135"/>
      <c r="D4612" s="177"/>
      <c r="E4612" s="178"/>
      <c r="F4612" s="178"/>
      <c r="G4612" s="340"/>
      <c r="H4612" s="340"/>
      <c r="I4612" s="179"/>
      <c r="J4612" s="344"/>
      <c r="K4612" s="345"/>
      <c r="L4612" s="346"/>
      <c r="M4612" s="347"/>
      <c r="N4612" s="347"/>
      <c r="O4612" s="132"/>
    </row>
    <row r="4613" spans="2:15" ht="26.25" customHeight="1" x14ac:dyDescent="0.25">
      <c r="B4613" s="130"/>
      <c r="C4613" s="135"/>
      <c r="D4613" s="177"/>
      <c r="E4613" s="178"/>
      <c r="F4613" s="178"/>
      <c r="G4613" s="340"/>
      <c r="H4613" s="340"/>
      <c r="I4613" s="179"/>
      <c r="J4613" s="344"/>
      <c r="K4613" s="345"/>
      <c r="L4613" s="346"/>
      <c r="M4613" s="347"/>
      <c r="N4613" s="347"/>
      <c r="O4613" s="132"/>
    </row>
    <row r="4614" spans="2:15" ht="26.25" customHeight="1" x14ac:dyDescent="0.25">
      <c r="B4614" s="130"/>
      <c r="C4614" s="135"/>
      <c r="D4614" s="177"/>
      <c r="E4614" s="178"/>
      <c r="F4614" s="178"/>
      <c r="G4614" s="340"/>
      <c r="H4614" s="340"/>
      <c r="I4614" s="179"/>
      <c r="J4614" s="344"/>
      <c r="K4614" s="345"/>
      <c r="L4614" s="346"/>
      <c r="M4614" s="347"/>
      <c r="N4614" s="347"/>
      <c r="O4614" s="132"/>
    </row>
    <row r="4615" spans="2:15" ht="26.25" customHeight="1" x14ac:dyDescent="0.25">
      <c r="B4615" s="130"/>
      <c r="C4615" s="135"/>
      <c r="D4615" s="177"/>
      <c r="E4615" s="178"/>
      <c r="F4615" s="178"/>
      <c r="G4615" s="340"/>
      <c r="H4615" s="340"/>
      <c r="I4615" s="179"/>
      <c r="J4615" s="344"/>
      <c r="K4615" s="345"/>
      <c r="L4615" s="346"/>
      <c r="M4615" s="347"/>
      <c r="N4615" s="347"/>
      <c r="O4615" s="132"/>
    </row>
    <row r="4616" spans="2:15" ht="26.25" customHeight="1" x14ac:dyDescent="0.25">
      <c r="B4616" s="130"/>
      <c r="C4616" s="135"/>
      <c r="D4616" s="177"/>
      <c r="E4616" s="178"/>
      <c r="F4616" s="178"/>
      <c r="G4616" s="340"/>
      <c r="H4616" s="340"/>
      <c r="I4616" s="179"/>
      <c r="J4616" s="344"/>
      <c r="K4616" s="345"/>
      <c r="L4616" s="346"/>
      <c r="M4616" s="347"/>
      <c r="N4616" s="347"/>
      <c r="O4616" s="132"/>
    </row>
    <row r="4617" spans="2:15" ht="26.25" customHeight="1" x14ac:dyDescent="0.25">
      <c r="B4617" s="130"/>
      <c r="C4617" s="135"/>
      <c r="D4617" s="177"/>
      <c r="E4617" s="178"/>
      <c r="F4617" s="178"/>
      <c r="G4617" s="340"/>
      <c r="H4617" s="340"/>
      <c r="I4617" s="179"/>
      <c r="J4617" s="344"/>
      <c r="K4617" s="345"/>
      <c r="L4617" s="346"/>
      <c r="M4617" s="347"/>
      <c r="N4617" s="347"/>
      <c r="O4617" s="132"/>
    </row>
    <row r="4618" spans="2:15" ht="26.25" customHeight="1" x14ac:dyDescent="0.25">
      <c r="B4618" s="130"/>
      <c r="C4618" s="135"/>
      <c r="D4618" s="177"/>
      <c r="E4618" s="178"/>
      <c r="F4618" s="178"/>
      <c r="G4618" s="340"/>
      <c r="H4618" s="340"/>
      <c r="I4618" s="179"/>
      <c r="J4618" s="344"/>
      <c r="K4618" s="345"/>
      <c r="L4618" s="346"/>
      <c r="M4618" s="347"/>
      <c r="N4618" s="347"/>
      <c r="O4618" s="132"/>
    </row>
    <row r="4619" spans="2:15" ht="26.25" customHeight="1" x14ac:dyDescent="0.25">
      <c r="B4619" s="130"/>
      <c r="C4619" s="135"/>
      <c r="D4619" s="177"/>
      <c r="E4619" s="178"/>
      <c r="F4619" s="178"/>
      <c r="G4619" s="340"/>
      <c r="H4619" s="340"/>
      <c r="I4619" s="179"/>
      <c r="J4619" s="344"/>
      <c r="K4619" s="345"/>
      <c r="L4619" s="346"/>
      <c r="M4619" s="347"/>
      <c r="N4619" s="347"/>
      <c r="O4619" s="132"/>
    </row>
    <row r="4620" spans="2:15" ht="26.25" customHeight="1" x14ac:dyDescent="0.25">
      <c r="B4620" s="130"/>
      <c r="C4620" s="135"/>
      <c r="D4620" s="177"/>
      <c r="E4620" s="178"/>
      <c r="F4620" s="178"/>
      <c r="G4620" s="340"/>
      <c r="H4620" s="340"/>
      <c r="I4620" s="179"/>
      <c r="J4620" s="344"/>
      <c r="K4620" s="345"/>
      <c r="L4620" s="346"/>
      <c r="M4620" s="347"/>
      <c r="N4620" s="347"/>
      <c r="O4620" s="132"/>
    </row>
    <row r="4621" spans="2:15" ht="26.25" customHeight="1" x14ac:dyDescent="0.25">
      <c r="B4621" s="130"/>
      <c r="C4621" s="135"/>
      <c r="D4621" s="177"/>
      <c r="E4621" s="178"/>
      <c r="F4621" s="178"/>
      <c r="G4621" s="340"/>
      <c r="H4621" s="340"/>
      <c r="I4621" s="179"/>
      <c r="J4621" s="344"/>
      <c r="K4621" s="345"/>
      <c r="L4621" s="346"/>
      <c r="M4621" s="347"/>
      <c r="N4621" s="347"/>
      <c r="O4621" s="132"/>
    </row>
    <row r="4622" spans="2:15" ht="26.25" customHeight="1" x14ac:dyDescent="0.25">
      <c r="B4622" s="130"/>
      <c r="C4622" s="135"/>
      <c r="D4622" s="177"/>
      <c r="E4622" s="178"/>
      <c r="F4622" s="178"/>
      <c r="G4622" s="340"/>
      <c r="H4622" s="340"/>
      <c r="I4622" s="179"/>
      <c r="J4622" s="344"/>
      <c r="K4622" s="345"/>
      <c r="L4622" s="346"/>
      <c r="M4622" s="347"/>
      <c r="N4622" s="347"/>
      <c r="O4622" s="132"/>
    </row>
    <row r="4623" spans="2:15" ht="26.25" customHeight="1" x14ac:dyDescent="0.25">
      <c r="B4623" s="130"/>
      <c r="C4623" s="135"/>
      <c r="D4623" s="177"/>
      <c r="E4623" s="178"/>
      <c r="F4623" s="178"/>
      <c r="G4623" s="340"/>
      <c r="H4623" s="340"/>
      <c r="I4623" s="179"/>
      <c r="J4623" s="344"/>
      <c r="K4623" s="345"/>
      <c r="L4623" s="346"/>
      <c r="M4623" s="347"/>
      <c r="N4623" s="347"/>
      <c r="O4623" s="132"/>
    </row>
    <row r="4624" spans="2:15" ht="26.25" customHeight="1" x14ac:dyDescent="0.25">
      <c r="B4624" s="130"/>
      <c r="C4624" s="135"/>
      <c r="D4624" s="177"/>
      <c r="E4624" s="178"/>
      <c r="F4624" s="178"/>
      <c r="G4624" s="340"/>
      <c r="H4624" s="340"/>
      <c r="I4624" s="179"/>
      <c r="J4624" s="344"/>
      <c r="K4624" s="345"/>
      <c r="L4624" s="346"/>
      <c r="M4624" s="347"/>
      <c r="N4624" s="347"/>
      <c r="O4624" s="132"/>
    </row>
    <row r="4625" spans="2:15" ht="26.25" customHeight="1" x14ac:dyDescent="0.25">
      <c r="B4625" s="130"/>
      <c r="C4625" s="135"/>
      <c r="D4625" s="177"/>
      <c r="E4625" s="178"/>
      <c r="F4625" s="178"/>
      <c r="G4625" s="340"/>
      <c r="H4625" s="340"/>
      <c r="I4625" s="179"/>
      <c r="J4625" s="344"/>
      <c r="K4625" s="345"/>
      <c r="L4625" s="346"/>
      <c r="M4625" s="347"/>
      <c r="N4625" s="347"/>
      <c r="O4625" s="132"/>
    </row>
    <row r="4626" spans="2:15" ht="26.25" customHeight="1" x14ac:dyDescent="0.25">
      <c r="B4626" s="130"/>
      <c r="C4626" s="135"/>
      <c r="D4626" s="177"/>
      <c r="E4626" s="178"/>
      <c r="F4626" s="178"/>
      <c r="G4626" s="340"/>
      <c r="H4626" s="340"/>
      <c r="I4626" s="179"/>
      <c r="J4626" s="344"/>
      <c r="K4626" s="345"/>
      <c r="L4626" s="346"/>
      <c r="M4626" s="347"/>
      <c r="N4626" s="347"/>
      <c r="O4626" s="132"/>
    </row>
    <row r="4627" spans="2:15" ht="26.25" customHeight="1" x14ac:dyDescent="0.25">
      <c r="B4627" s="130"/>
      <c r="C4627" s="135"/>
      <c r="D4627" s="177"/>
      <c r="E4627" s="178"/>
      <c r="F4627" s="178"/>
      <c r="G4627" s="340"/>
      <c r="H4627" s="340"/>
      <c r="I4627" s="179"/>
      <c r="J4627" s="344"/>
      <c r="K4627" s="345"/>
      <c r="L4627" s="346"/>
      <c r="M4627" s="347"/>
      <c r="N4627" s="347"/>
      <c r="O4627" s="132"/>
    </row>
    <row r="4628" spans="2:15" ht="26.25" customHeight="1" x14ac:dyDescent="0.25">
      <c r="B4628" s="130"/>
      <c r="C4628" s="135"/>
      <c r="D4628" s="177"/>
      <c r="E4628" s="178"/>
      <c r="F4628" s="178"/>
      <c r="G4628" s="340"/>
      <c r="H4628" s="340"/>
      <c r="I4628" s="179"/>
      <c r="J4628" s="344"/>
      <c r="K4628" s="345"/>
      <c r="L4628" s="346"/>
      <c r="M4628" s="347"/>
      <c r="N4628" s="347"/>
      <c r="O4628" s="132"/>
    </row>
    <row r="4629" spans="2:15" ht="26.25" customHeight="1" x14ac:dyDescent="0.25">
      <c r="B4629" s="130"/>
      <c r="C4629" s="135"/>
      <c r="D4629" s="177"/>
      <c r="E4629" s="178"/>
      <c r="F4629" s="178"/>
      <c r="G4629" s="340"/>
      <c r="H4629" s="340"/>
      <c r="I4629" s="179"/>
      <c r="J4629" s="344"/>
      <c r="K4629" s="345"/>
      <c r="L4629" s="346"/>
      <c r="M4629" s="347"/>
      <c r="N4629" s="347"/>
      <c r="O4629" s="132"/>
    </row>
    <row r="4630" spans="2:15" ht="26.25" customHeight="1" x14ac:dyDescent="0.25">
      <c r="B4630" s="130"/>
      <c r="C4630" s="135"/>
      <c r="D4630" s="177"/>
      <c r="E4630" s="178"/>
      <c r="F4630" s="178"/>
      <c r="G4630" s="340"/>
      <c r="H4630" s="340"/>
      <c r="I4630" s="179"/>
      <c r="J4630" s="344"/>
      <c r="K4630" s="345"/>
      <c r="L4630" s="346"/>
      <c r="M4630" s="347"/>
      <c r="N4630" s="347"/>
      <c r="O4630" s="132"/>
    </row>
    <row r="4631" spans="2:15" ht="26.25" customHeight="1" x14ac:dyDescent="0.25">
      <c r="B4631" s="130"/>
      <c r="C4631" s="135"/>
      <c r="D4631" s="177"/>
      <c r="E4631" s="178"/>
      <c r="F4631" s="178"/>
      <c r="G4631" s="340"/>
      <c r="H4631" s="340"/>
      <c r="I4631" s="179"/>
      <c r="J4631" s="344"/>
      <c r="K4631" s="345"/>
      <c r="L4631" s="346"/>
      <c r="M4631" s="347"/>
      <c r="N4631" s="347"/>
      <c r="O4631" s="132"/>
    </row>
    <row r="4632" spans="2:15" ht="26.25" customHeight="1" x14ac:dyDescent="0.25">
      <c r="B4632" s="130"/>
      <c r="C4632" s="135"/>
      <c r="D4632" s="177"/>
      <c r="E4632" s="178"/>
      <c r="F4632" s="178"/>
      <c r="G4632" s="340"/>
      <c r="H4632" s="340"/>
      <c r="I4632" s="179"/>
      <c r="J4632" s="344"/>
      <c r="K4632" s="345"/>
      <c r="L4632" s="346"/>
      <c r="M4632" s="347"/>
      <c r="N4632" s="347"/>
      <c r="O4632" s="132"/>
    </row>
    <row r="4633" spans="2:15" ht="26.25" customHeight="1" x14ac:dyDescent="0.25">
      <c r="B4633" s="130"/>
      <c r="C4633" s="135"/>
      <c r="D4633" s="177"/>
      <c r="E4633" s="178"/>
      <c r="F4633" s="178"/>
      <c r="G4633" s="340"/>
      <c r="H4633" s="340"/>
      <c r="I4633" s="179"/>
      <c r="J4633" s="344"/>
      <c r="K4633" s="345"/>
      <c r="L4633" s="346"/>
      <c r="M4633" s="347"/>
      <c r="N4633" s="347"/>
      <c r="O4633" s="132"/>
    </row>
    <row r="4634" spans="2:15" ht="26.25" customHeight="1" x14ac:dyDescent="0.25">
      <c r="B4634" s="130"/>
      <c r="C4634" s="135"/>
      <c r="D4634" s="177"/>
      <c r="E4634" s="178"/>
      <c r="F4634" s="178"/>
      <c r="G4634" s="340"/>
      <c r="H4634" s="340"/>
      <c r="I4634" s="179"/>
      <c r="J4634" s="344"/>
      <c r="K4634" s="345"/>
      <c r="L4634" s="346"/>
      <c r="M4634" s="347"/>
      <c r="N4634" s="347"/>
      <c r="O4634" s="132"/>
    </row>
    <row r="4635" spans="2:15" ht="26.25" customHeight="1" x14ac:dyDescent="0.25">
      <c r="B4635" s="130"/>
      <c r="C4635" s="135"/>
      <c r="D4635" s="177"/>
      <c r="E4635" s="178"/>
      <c r="F4635" s="178"/>
      <c r="G4635" s="340"/>
      <c r="H4635" s="340"/>
      <c r="I4635" s="179"/>
      <c r="J4635" s="344"/>
      <c r="K4635" s="345"/>
      <c r="L4635" s="346"/>
      <c r="M4635" s="347"/>
      <c r="N4635" s="347"/>
      <c r="O4635" s="132"/>
    </row>
    <row r="4636" spans="2:15" ht="26.25" customHeight="1" x14ac:dyDescent="0.25">
      <c r="B4636" s="130"/>
      <c r="C4636" s="135"/>
      <c r="D4636" s="177"/>
      <c r="E4636" s="178"/>
      <c r="F4636" s="178"/>
      <c r="G4636" s="340"/>
      <c r="H4636" s="340"/>
      <c r="I4636" s="179"/>
      <c r="J4636" s="344"/>
      <c r="K4636" s="345"/>
      <c r="L4636" s="346"/>
      <c r="M4636" s="347"/>
      <c r="N4636" s="347"/>
      <c r="O4636" s="132"/>
    </row>
    <row r="4637" spans="2:15" ht="26.25" customHeight="1" x14ac:dyDescent="0.25">
      <c r="B4637" s="130"/>
      <c r="C4637" s="135"/>
      <c r="D4637" s="177"/>
      <c r="E4637" s="178"/>
      <c r="F4637" s="178"/>
      <c r="G4637" s="340"/>
      <c r="H4637" s="340"/>
      <c r="I4637" s="179"/>
      <c r="J4637" s="344"/>
      <c r="K4637" s="345"/>
      <c r="L4637" s="346"/>
      <c r="M4637" s="347"/>
      <c r="N4637" s="347"/>
      <c r="O4637" s="132"/>
    </row>
    <row r="4638" spans="2:15" ht="26.25" customHeight="1" x14ac:dyDescent="0.25">
      <c r="B4638" s="130"/>
      <c r="C4638" s="135"/>
      <c r="D4638" s="177"/>
      <c r="E4638" s="178"/>
      <c r="F4638" s="178"/>
      <c r="G4638" s="340"/>
      <c r="H4638" s="340"/>
      <c r="I4638" s="179"/>
      <c r="J4638" s="344"/>
      <c r="K4638" s="345"/>
      <c r="L4638" s="346"/>
      <c r="M4638" s="347"/>
      <c r="N4638" s="347"/>
      <c r="O4638" s="132"/>
    </row>
    <row r="4639" spans="2:15" ht="26.25" customHeight="1" x14ac:dyDescent="0.25">
      <c r="B4639" s="130"/>
      <c r="C4639" s="135"/>
      <c r="D4639" s="177"/>
      <c r="E4639" s="178"/>
      <c r="F4639" s="178"/>
      <c r="G4639" s="340"/>
      <c r="H4639" s="340"/>
      <c r="I4639" s="179"/>
      <c r="J4639" s="344"/>
      <c r="K4639" s="345"/>
      <c r="L4639" s="346"/>
      <c r="M4639" s="347"/>
      <c r="N4639" s="347"/>
      <c r="O4639" s="132"/>
    </row>
    <row r="4640" spans="2:15" ht="26.25" customHeight="1" x14ac:dyDescent="0.25">
      <c r="B4640" s="130"/>
      <c r="C4640" s="135"/>
      <c r="D4640" s="177"/>
      <c r="E4640" s="178"/>
      <c r="F4640" s="178"/>
      <c r="G4640" s="340"/>
      <c r="H4640" s="340"/>
      <c r="I4640" s="179"/>
      <c r="J4640" s="344"/>
      <c r="K4640" s="345"/>
      <c r="L4640" s="346"/>
      <c r="M4640" s="347"/>
      <c r="N4640" s="347"/>
      <c r="O4640" s="132"/>
    </row>
    <row r="4641" spans="2:15" ht="26.25" customHeight="1" x14ac:dyDescent="0.25">
      <c r="B4641" s="130"/>
      <c r="C4641" s="135"/>
      <c r="D4641" s="177"/>
      <c r="E4641" s="178"/>
      <c r="F4641" s="178"/>
      <c r="G4641" s="340"/>
      <c r="H4641" s="340"/>
      <c r="I4641" s="179"/>
      <c r="J4641" s="344"/>
      <c r="K4641" s="345"/>
      <c r="L4641" s="346"/>
      <c r="M4641" s="347"/>
      <c r="N4641" s="347"/>
      <c r="O4641" s="132"/>
    </row>
    <row r="4642" spans="2:15" ht="26.25" customHeight="1" x14ac:dyDescent="0.25">
      <c r="B4642" s="130"/>
      <c r="C4642" s="135"/>
      <c r="D4642" s="177"/>
      <c r="E4642" s="178"/>
      <c r="F4642" s="178"/>
      <c r="G4642" s="340"/>
      <c r="H4642" s="340"/>
      <c r="I4642" s="179"/>
      <c r="J4642" s="344"/>
      <c r="K4642" s="345"/>
      <c r="L4642" s="346"/>
      <c r="M4642" s="347"/>
      <c r="N4642" s="347"/>
      <c r="O4642" s="132"/>
    </row>
    <row r="4643" spans="2:15" ht="26.25" customHeight="1" x14ac:dyDescent="0.25">
      <c r="B4643" s="130"/>
      <c r="C4643" s="135"/>
      <c r="D4643" s="177"/>
      <c r="E4643" s="178"/>
      <c r="F4643" s="178"/>
      <c r="G4643" s="340"/>
      <c r="H4643" s="340"/>
      <c r="I4643" s="179"/>
      <c r="J4643" s="344"/>
      <c r="K4643" s="345"/>
      <c r="L4643" s="346"/>
      <c r="M4643" s="347"/>
      <c r="N4643" s="347"/>
      <c r="O4643" s="132"/>
    </row>
    <row r="4644" spans="2:15" ht="26.25" customHeight="1" x14ac:dyDescent="0.25">
      <c r="B4644" s="130"/>
      <c r="C4644" s="135"/>
      <c r="D4644" s="177"/>
      <c r="E4644" s="178"/>
      <c r="F4644" s="178"/>
      <c r="G4644" s="340"/>
      <c r="H4644" s="340"/>
      <c r="I4644" s="179"/>
      <c r="J4644" s="344"/>
      <c r="K4644" s="345"/>
      <c r="L4644" s="346"/>
      <c r="M4644" s="347"/>
      <c r="N4644" s="347"/>
      <c r="O4644" s="132"/>
    </row>
    <row r="4645" spans="2:15" ht="26.25" customHeight="1" x14ac:dyDescent="0.25">
      <c r="B4645" s="130"/>
      <c r="C4645" s="135"/>
      <c r="D4645" s="177"/>
      <c r="E4645" s="178"/>
      <c r="F4645" s="178"/>
      <c r="G4645" s="340"/>
      <c r="H4645" s="340"/>
      <c r="I4645" s="179"/>
      <c r="J4645" s="344"/>
      <c r="K4645" s="345"/>
      <c r="L4645" s="346"/>
      <c r="M4645" s="347"/>
      <c r="N4645" s="347"/>
      <c r="O4645" s="132"/>
    </row>
    <row r="4646" spans="2:15" ht="26.25" customHeight="1" x14ac:dyDescent="0.25">
      <c r="B4646" s="130"/>
      <c r="C4646" s="135"/>
      <c r="D4646" s="177"/>
      <c r="E4646" s="178"/>
      <c r="F4646" s="178"/>
      <c r="G4646" s="340"/>
      <c r="H4646" s="340"/>
      <c r="I4646" s="179"/>
      <c r="J4646" s="344"/>
      <c r="K4646" s="345"/>
      <c r="L4646" s="346"/>
      <c r="M4646" s="347"/>
      <c r="N4646" s="347"/>
      <c r="O4646" s="132"/>
    </row>
    <row r="4647" spans="2:15" ht="26.25" customHeight="1" x14ac:dyDescent="0.25">
      <c r="B4647" s="130"/>
      <c r="C4647" s="135"/>
      <c r="D4647" s="177"/>
      <c r="E4647" s="178"/>
      <c r="F4647" s="178"/>
      <c r="G4647" s="340"/>
      <c r="H4647" s="340"/>
      <c r="I4647" s="179"/>
      <c r="J4647" s="344"/>
      <c r="K4647" s="345"/>
      <c r="L4647" s="346"/>
      <c r="M4647" s="347"/>
      <c r="N4647" s="347"/>
      <c r="O4647" s="132"/>
    </row>
    <row r="4648" spans="2:15" ht="26.25" customHeight="1" x14ac:dyDescent="0.25">
      <c r="B4648" s="130"/>
      <c r="C4648" s="135"/>
      <c r="D4648" s="177"/>
      <c r="E4648" s="178"/>
      <c r="F4648" s="178"/>
      <c r="G4648" s="340"/>
      <c r="H4648" s="340"/>
      <c r="I4648" s="179"/>
      <c r="J4648" s="344"/>
      <c r="K4648" s="345"/>
      <c r="L4648" s="346"/>
      <c r="M4648" s="347"/>
      <c r="N4648" s="347"/>
      <c r="O4648" s="132"/>
    </row>
    <row r="4649" spans="2:15" ht="26.25" customHeight="1" x14ac:dyDescent="0.25">
      <c r="B4649" s="130"/>
      <c r="C4649" s="135"/>
      <c r="D4649" s="177"/>
      <c r="E4649" s="178"/>
      <c r="F4649" s="178"/>
      <c r="G4649" s="340"/>
      <c r="H4649" s="340"/>
      <c r="I4649" s="179"/>
      <c r="J4649" s="344"/>
      <c r="K4649" s="345"/>
      <c r="L4649" s="346"/>
      <c r="M4649" s="347"/>
      <c r="N4649" s="347"/>
      <c r="O4649" s="132"/>
    </row>
    <row r="4650" spans="2:15" ht="26.25" customHeight="1" x14ac:dyDescent="0.25">
      <c r="B4650" s="130"/>
      <c r="C4650" s="135"/>
      <c r="D4650" s="177"/>
      <c r="E4650" s="178"/>
      <c r="F4650" s="178"/>
      <c r="G4650" s="340"/>
      <c r="H4650" s="340"/>
      <c r="I4650" s="179"/>
      <c r="J4650" s="344"/>
      <c r="K4650" s="345"/>
      <c r="L4650" s="346"/>
      <c r="M4650" s="347"/>
      <c r="N4650" s="347"/>
      <c r="O4650" s="132"/>
    </row>
    <row r="4651" spans="2:15" ht="26.25" customHeight="1" x14ac:dyDescent="0.25">
      <c r="B4651" s="130"/>
      <c r="C4651" s="135"/>
      <c r="D4651" s="177"/>
      <c r="E4651" s="178"/>
      <c r="F4651" s="178"/>
      <c r="G4651" s="340"/>
      <c r="H4651" s="340"/>
      <c r="I4651" s="179"/>
      <c r="J4651" s="344"/>
      <c r="K4651" s="345"/>
      <c r="L4651" s="346"/>
      <c r="M4651" s="347"/>
      <c r="N4651" s="347"/>
      <c r="O4651" s="132"/>
    </row>
    <row r="4652" spans="2:15" ht="26.25" customHeight="1" x14ac:dyDescent="0.25">
      <c r="B4652" s="130"/>
      <c r="C4652" s="135"/>
      <c r="D4652" s="177"/>
      <c r="E4652" s="178"/>
      <c r="F4652" s="178"/>
      <c r="G4652" s="340"/>
      <c r="H4652" s="340"/>
      <c r="I4652" s="179"/>
      <c r="J4652" s="344"/>
      <c r="K4652" s="345"/>
      <c r="L4652" s="346"/>
      <c r="M4652" s="347"/>
      <c r="N4652" s="347"/>
      <c r="O4652" s="132"/>
    </row>
    <row r="4653" spans="2:15" ht="26.25" customHeight="1" x14ac:dyDescent="0.25">
      <c r="B4653" s="130"/>
      <c r="C4653" s="135"/>
      <c r="D4653" s="177"/>
      <c r="E4653" s="178"/>
      <c r="F4653" s="178"/>
      <c r="G4653" s="340"/>
      <c r="H4653" s="340"/>
      <c r="I4653" s="179"/>
      <c r="J4653" s="344"/>
      <c r="K4653" s="345"/>
      <c r="L4653" s="346"/>
      <c r="M4653" s="347"/>
      <c r="N4653" s="347"/>
      <c r="O4653" s="132"/>
    </row>
    <row r="4654" spans="2:15" ht="26.25" customHeight="1" x14ac:dyDescent="0.25">
      <c r="B4654" s="130"/>
      <c r="C4654" s="135"/>
      <c r="D4654" s="177"/>
      <c r="E4654" s="178"/>
      <c r="F4654" s="178"/>
      <c r="G4654" s="340"/>
      <c r="H4654" s="340"/>
      <c r="I4654" s="179"/>
      <c r="J4654" s="344"/>
      <c r="K4654" s="345"/>
      <c r="L4654" s="346"/>
      <c r="M4654" s="347"/>
      <c r="N4654" s="347"/>
      <c r="O4654" s="132"/>
    </row>
    <row r="4655" spans="2:15" ht="26.25" customHeight="1" x14ac:dyDescent="0.25">
      <c r="B4655" s="130"/>
      <c r="C4655" s="135"/>
      <c r="D4655" s="177"/>
      <c r="E4655" s="178"/>
      <c r="F4655" s="178"/>
      <c r="G4655" s="340"/>
      <c r="H4655" s="340"/>
      <c r="I4655" s="179"/>
      <c r="J4655" s="344"/>
      <c r="K4655" s="345"/>
      <c r="L4655" s="346"/>
      <c r="M4655" s="347"/>
      <c r="N4655" s="347"/>
      <c r="O4655" s="132"/>
    </row>
    <row r="4656" spans="2:15" ht="26.25" customHeight="1" x14ac:dyDescent="0.25">
      <c r="B4656" s="130"/>
      <c r="C4656" s="135"/>
      <c r="D4656" s="177"/>
      <c r="E4656" s="178"/>
      <c r="F4656" s="178"/>
      <c r="G4656" s="340"/>
      <c r="H4656" s="340"/>
      <c r="I4656" s="179"/>
      <c r="J4656" s="344"/>
      <c r="K4656" s="345"/>
      <c r="L4656" s="346"/>
      <c r="M4656" s="347"/>
      <c r="N4656" s="347"/>
      <c r="O4656" s="132"/>
    </row>
    <row r="4657" spans="2:15" ht="26.25" customHeight="1" x14ac:dyDescent="0.25">
      <c r="B4657" s="130"/>
      <c r="C4657" s="135"/>
      <c r="D4657" s="177"/>
      <c r="E4657" s="178"/>
      <c r="F4657" s="178"/>
      <c r="G4657" s="340"/>
      <c r="H4657" s="340"/>
      <c r="I4657" s="179"/>
      <c r="J4657" s="344"/>
      <c r="K4657" s="345"/>
      <c r="L4657" s="346"/>
      <c r="M4657" s="347"/>
      <c r="N4657" s="347"/>
      <c r="O4657" s="132"/>
    </row>
    <row r="4658" spans="2:15" ht="26.25" customHeight="1" x14ac:dyDescent="0.25">
      <c r="B4658" s="130"/>
      <c r="C4658" s="135"/>
      <c r="D4658" s="177"/>
      <c r="E4658" s="178"/>
      <c r="F4658" s="178"/>
      <c r="G4658" s="340"/>
      <c r="H4658" s="340"/>
      <c r="I4658" s="179"/>
      <c r="J4658" s="344"/>
      <c r="K4658" s="345"/>
      <c r="L4658" s="346"/>
      <c r="M4658" s="347"/>
      <c r="N4658" s="347"/>
      <c r="O4658" s="132"/>
    </row>
    <row r="4659" spans="2:15" ht="26.25" customHeight="1" x14ac:dyDescent="0.25">
      <c r="B4659" s="130"/>
      <c r="C4659" s="135"/>
      <c r="D4659" s="177"/>
      <c r="E4659" s="178"/>
      <c r="F4659" s="178"/>
      <c r="G4659" s="340"/>
      <c r="H4659" s="340"/>
      <c r="I4659" s="179"/>
      <c r="J4659" s="344"/>
      <c r="K4659" s="345"/>
      <c r="L4659" s="346"/>
      <c r="M4659" s="347"/>
      <c r="N4659" s="347"/>
      <c r="O4659" s="132"/>
    </row>
    <row r="4660" spans="2:15" ht="26.25" customHeight="1" x14ac:dyDescent="0.25">
      <c r="B4660" s="130"/>
      <c r="C4660" s="135"/>
      <c r="D4660" s="177"/>
      <c r="E4660" s="178"/>
      <c r="F4660" s="178"/>
      <c r="G4660" s="340"/>
      <c r="H4660" s="340"/>
      <c r="I4660" s="179"/>
      <c r="J4660" s="344"/>
      <c r="K4660" s="345"/>
      <c r="L4660" s="346"/>
      <c r="M4660" s="347"/>
      <c r="N4660" s="347"/>
      <c r="O4660" s="132"/>
    </row>
    <row r="4661" spans="2:15" ht="26.25" customHeight="1" x14ac:dyDescent="0.25">
      <c r="B4661" s="130"/>
      <c r="C4661" s="135"/>
      <c r="D4661" s="177"/>
      <c r="E4661" s="178"/>
      <c r="F4661" s="178"/>
      <c r="G4661" s="340"/>
      <c r="H4661" s="340"/>
      <c r="I4661" s="179"/>
      <c r="J4661" s="344"/>
      <c r="K4661" s="345"/>
      <c r="L4661" s="346"/>
      <c r="M4661" s="347"/>
      <c r="N4661" s="347"/>
      <c r="O4661" s="132"/>
    </row>
    <row r="4662" spans="2:15" ht="26.25" customHeight="1" x14ac:dyDescent="0.25">
      <c r="B4662" s="130"/>
      <c r="C4662" s="135"/>
      <c r="D4662" s="177"/>
      <c r="E4662" s="178"/>
      <c r="F4662" s="178"/>
      <c r="G4662" s="340"/>
      <c r="H4662" s="340"/>
      <c r="I4662" s="179"/>
      <c r="J4662" s="344"/>
      <c r="K4662" s="345"/>
      <c r="L4662" s="346"/>
      <c r="M4662" s="347"/>
      <c r="N4662" s="347"/>
      <c r="O4662" s="132"/>
    </row>
    <row r="4663" spans="2:15" ht="26.25" customHeight="1" x14ac:dyDescent="0.25">
      <c r="B4663" s="130"/>
      <c r="C4663" s="135"/>
      <c r="D4663" s="177"/>
      <c r="E4663" s="178"/>
      <c r="F4663" s="178"/>
      <c r="G4663" s="340"/>
      <c r="H4663" s="340"/>
      <c r="I4663" s="179"/>
      <c r="J4663" s="344"/>
      <c r="K4663" s="345"/>
      <c r="L4663" s="346"/>
      <c r="M4663" s="347"/>
      <c r="N4663" s="347"/>
      <c r="O4663" s="132"/>
    </row>
    <row r="4664" spans="2:15" ht="26.25" customHeight="1" x14ac:dyDescent="0.25">
      <c r="B4664" s="130"/>
      <c r="C4664" s="135"/>
      <c r="D4664" s="177"/>
      <c r="E4664" s="178"/>
      <c r="F4664" s="178"/>
      <c r="G4664" s="340"/>
      <c r="H4664" s="340"/>
      <c r="I4664" s="179"/>
      <c r="J4664" s="344"/>
      <c r="K4664" s="345"/>
      <c r="L4664" s="346"/>
      <c r="M4664" s="347"/>
      <c r="N4664" s="347"/>
      <c r="O4664" s="132"/>
    </row>
    <row r="4665" spans="2:15" ht="26.25" customHeight="1" x14ac:dyDescent="0.25">
      <c r="B4665" s="130"/>
      <c r="C4665" s="135"/>
      <c r="D4665" s="177"/>
      <c r="E4665" s="178"/>
      <c r="F4665" s="178"/>
      <c r="G4665" s="340"/>
      <c r="H4665" s="340"/>
      <c r="I4665" s="179"/>
      <c r="J4665" s="344"/>
      <c r="K4665" s="345"/>
      <c r="L4665" s="346"/>
      <c r="M4665" s="347"/>
      <c r="N4665" s="347"/>
      <c r="O4665" s="132"/>
    </row>
    <row r="4666" spans="2:15" ht="26.25" customHeight="1" x14ac:dyDescent="0.25">
      <c r="B4666" s="130"/>
      <c r="C4666" s="135"/>
      <c r="D4666" s="177"/>
      <c r="E4666" s="178"/>
      <c r="F4666" s="178"/>
      <c r="G4666" s="340"/>
      <c r="H4666" s="340"/>
      <c r="I4666" s="179"/>
      <c r="J4666" s="344"/>
      <c r="K4666" s="345"/>
      <c r="L4666" s="346"/>
      <c r="M4666" s="347"/>
      <c r="N4666" s="347"/>
      <c r="O4666" s="132"/>
    </row>
    <row r="4667" spans="2:15" ht="26.25" customHeight="1" x14ac:dyDescent="0.25">
      <c r="B4667" s="130"/>
      <c r="C4667" s="135"/>
      <c r="D4667" s="177"/>
      <c r="E4667" s="178"/>
      <c r="F4667" s="178"/>
      <c r="G4667" s="340"/>
      <c r="H4667" s="340"/>
      <c r="I4667" s="179"/>
      <c r="J4667" s="344"/>
      <c r="K4667" s="345"/>
      <c r="L4667" s="346"/>
      <c r="M4667" s="347"/>
      <c r="N4667" s="347"/>
      <c r="O4667" s="132"/>
    </row>
    <row r="4668" spans="2:15" ht="26.25" customHeight="1" x14ac:dyDescent="0.25">
      <c r="B4668" s="130"/>
      <c r="C4668" s="135"/>
      <c r="D4668" s="177"/>
      <c r="E4668" s="178"/>
      <c r="F4668" s="178"/>
      <c r="G4668" s="340"/>
      <c r="H4668" s="340"/>
      <c r="I4668" s="179"/>
      <c r="J4668" s="344"/>
      <c r="K4668" s="345"/>
      <c r="L4668" s="346"/>
      <c r="M4668" s="347"/>
      <c r="N4668" s="347"/>
      <c r="O4668" s="132"/>
    </row>
    <row r="4669" spans="2:15" ht="26.25" customHeight="1" x14ac:dyDescent="0.25">
      <c r="B4669" s="130"/>
      <c r="C4669" s="135"/>
      <c r="D4669" s="177"/>
      <c r="E4669" s="178"/>
      <c r="F4669" s="178"/>
      <c r="G4669" s="340"/>
      <c r="H4669" s="340"/>
      <c r="I4669" s="179"/>
      <c r="J4669" s="344"/>
      <c r="K4669" s="345"/>
      <c r="L4669" s="346"/>
      <c r="M4669" s="347"/>
      <c r="N4669" s="347"/>
      <c r="O4669" s="132"/>
    </row>
    <row r="4670" spans="2:15" ht="26.25" customHeight="1" x14ac:dyDescent="0.25">
      <c r="B4670" s="130"/>
      <c r="C4670" s="135"/>
      <c r="D4670" s="177"/>
      <c r="E4670" s="178"/>
      <c r="F4670" s="178"/>
      <c r="G4670" s="340"/>
      <c r="H4670" s="340"/>
      <c r="I4670" s="179"/>
      <c r="J4670" s="344"/>
      <c r="K4670" s="345"/>
      <c r="L4670" s="346"/>
      <c r="M4670" s="347"/>
      <c r="N4670" s="347"/>
      <c r="O4670" s="132"/>
    </row>
    <row r="4671" spans="2:15" ht="26.25" customHeight="1" x14ac:dyDescent="0.25">
      <c r="B4671" s="130"/>
      <c r="C4671" s="135"/>
      <c r="D4671" s="177"/>
      <c r="E4671" s="178"/>
      <c r="F4671" s="178"/>
      <c r="G4671" s="340"/>
      <c r="H4671" s="340"/>
      <c r="I4671" s="179"/>
      <c r="J4671" s="344"/>
      <c r="K4671" s="345"/>
      <c r="L4671" s="346"/>
      <c r="M4671" s="347"/>
      <c r="N4671" s="347"/>
      <c r="O4671" s="132"/>
    </row>
    <row r="4672" spans="2:15" ht="26.25" customHeight="1" x14ac:dyDescent="0.25">
      <c r="B4672" s="130"/>
      <c r="C4672" s="135"/>
      <c r="D4672" s="177"/>
      <c r="E4672" s="178"/>
      <c r="F4672" s="178"/>
      <c r="G4672" s="340"/>
      <c r="H4672" s="340"/>
      <c r="I4672" s="179"/>
      <c r="J4672" s="344"/>
      <c r="K4672" s="345"/>
      <c r="L4672" s="346"/>
      <c r="M4672" s="347"/>
      <c r="N4672" s="347"/>
      <c r="O4672" s="132"/>
    </row>
    <row r="4673" spans="2:15" ht="26.25" customHeight="1" x14ac:dyDescent="0.25">
      <c r="B4673" s="130"/>
      <c r="C4673" s="135"/>
      <c r="D4673" s="177"/>
      <c r="E4673" s="178"/>
      <c r="F4673" s="178"/>
      <c r="G4673" s="340"/>
      <c r="H4673" s="340"/>
      <c r="I4673" s="179"/>
      <c r="J4673" s="344"/>
      <c r="K4673" s="345"/>
      <c r="L4673" s="346"/>
      <c r="M4673" s="347"/>
      <c r="N4673" s="347"/>
      <c r="O4673" s="132"/>
    </row>
    <row r="4674" spans="2:15" ht="26.25" customHeight="1" x14ac:dyDescent="0.25">
      <c r="B4674" s="130"/>
      <c r="C4674" s="135"/>
      <c r="D4674" s="177"/>
      <c r="E4674" s="178"/>
      <c r="F4674" s="178"/>
      <c r="G4674" s="340"/>
      <c r="H4674" s="340"/>
      <c r="I4674" s="179"/>
      <c r="J4674" s="344"/>
      <c r="K4674" s="345"/>
      <c r="L4674" s="346"/>
      <c r="M4674" s="347"/>
      <c r="N4674" s="347"/>
      <c r="O4674" s="132"/>
    </row>
    <row r="4675" spans="2:15" ht="26.25" customHeight="1" x14ac:dyDescent="0.25">
      <c r="B4675" s="130"/>
      <c r="C4675" s="135"/>
      <c r="D4675" s="177"/>
      <c r="E4675" s="178"/>
      <c r="F4675" s="178"/>
      <c r="G4675" s="340"/>
      <c r="H4675" s="340"/>
      <c r="I4675" s="179"/>
      <c r="J4675" s="344"/>
      <c r="K4675" s="345"/>
      <c r="L4675" s="346"/>
      <c r="M4675" s="347"/>
      <c r="N4675" s="347"/>
      <c r="O4675" s="132"/>
    </row>
    <row r="4676" spans="2:15" ht="26.25" customHeight="1" x14ac:dyDescent="0.25">
      <c r="B4676" s="130"/>
      <c r="C4676" s="135"/>
      <c r="D4676" s="177"/>
      <c r="E4676" s="178"/>
      <c r="F4676" s="178"/>
      <c r="G4676" s="340"/>
      <c r="H4676" s="340"/>
      <c r="I4676" s="179"/>
      <c r="J4676" s="344"/>
      <c r="K4676" s="345"/>
      <c r="L4676" s="346"/>
      <c r="M4676" s="347"/>
      <c r="N4676" s="347"/>
      <c r="O4676" s="132"/>
    </row>
    <row r="4677" spans="2:15" ht="26.25" customHeight="1" x14ac:dyDescent="0.25">
      <c r="B4677" s="130"/>
      <c r="C4677" s="135"/>
      <c r="D4677" s="177"/>
      <c r="E4677" s="178"/>
      <c r="F4677" s="178"/>
      <c r="G4677" s="340"/>
      <c r="H4677" s="340"/>
      <c r="I4677" s="179"/>
      <c r="J4677" s="344"/>
      <c r="K4677" s="345"/>
      <c r="L4677" s="346"/>
      <c r="M4677" s="347"/>
      <c r="N4677" s="347"/>
      <c r="O4677" s="132"/>
    </row>
    <row r="4678" spans="2:15" ht="26.25" customHeight="1" x14ac:dyDescent="0.25">
      <c r="B4678" s="130"/>
      <c r="C4678" s="135"/>
      <c r="D4678" s="177"/>
      <c r="E4678" s="178"/>
      <c r="F4678" s="178"/>
      <c r="G4678" s="340"/>
      <c r="H4678" s="340"/>
      <c r="I4678" s="179"/>
      <c r="J4678" s="344"/>
      <c r="K4678" s="345"/>
      <c r="L4678" s="346"/>
      <c r="M4678" s="347"/>
      <c r="N4678" s="347"/>
      <c r="O4678" s="132"/>
    </row>
    <row r="4679" spans="2:15" ht="26.25" customHeight="1" x14ac:dyDescent="0.25">
      <c r="B4679" s="130"/>
      <c r="C4679" s="135"/>
      <c r="D4679" s="177"/>
      <c r="E4679" s="178"/>
      <c r="F4679" s="178"/>
      <c r="G4679" s="340"/>
      <c r="H4679" s="340"/>
      <c r="I4679" s="179"/>
      <c r="J4679" s="344"/>
      <c r="K4679" s="345"/>
      <c r="L4679" s="346"/>
      <c r="M4679" s="347"/>
      <c r="N4679" s="347"/>
      <c r="O4679" s="132"/>
    </row>
    <row r="4680" spans="2:15" ht="26.25" customHeight="1" x14ac:dyDescent="0.25">
      <c r="B4680" s="130"/>
      <c r="C4680" s="135"/>
      <c r="D4680" s="177"/>
      <c r="E4680" s="178"/>
      <c r="F4680" s="178"/>
      <c r="G4680" s="340"/>
      <c r="H4680" s="340"/>
      <c r="I4680" s="179"/>
      <c r="J4680" s="344"/>
      <c r="K4680" s="345"/>
      <c r="L4680" s="346"/>
      <c r="M4680" s="347"/>
      <c r="N4680" s="347"/>
      <c r="O4680" s="132"/>
    </row>
    <row r="4681" spans="2:15" ht="26.25" customHeight="1" x14ac:dyDescent="0.25">
      <c r="B4681" s="130"/>
      <c r="C4681" s="135"/>
      <c r="D4681" s="177"/>
      <c r="E4681" s="178"/>
      <c r="F4681" s="178"/>
      <c r="G4681" s="340"/>
      <c r="H4681" s="340"/>
      <c r="I4681" s="179"/>
      <c r="J4681" s="344"/>
      <c r="K4681" s="345"/>
      <c r="L4681" s="346"/>
      <c r="M4681" s="347"/>
      <c r="N4681" s="347"/>
      <c r="O4681" s="132"/>
    </row>
    <row r="4682" spans="2:15" ht="26.25" customHeight="1" x14ac:dyDescent="0.25">
      <c r="B4682" s="130"/>
      <c r="C4682" s="135"/>
      <c r="D4682" s="177"/>
      <c r="E4682" s="178"/>
      <c r="F4682" s="178"/>
      <c r="G4682" s="340"/>
      <c r="H4682" s="340"/>
      <c r="I4682" s="179"/>
      <c r="J4682" s="344"/>
      <c r="K4682" s="345"/>
      <c r="L4682" s="346"/>
      <c r="M4682" s="347"/>
      <c r="N4682" s="347"/>
      <c r="O4682" s="132"/>
    </row>
    <row r="4683" spans="2:15" ht="26.25" customHeight="1" x14ac:dyDescent="0.25">
      <c r="B4683" s="130"/>
      <c r="C4683" s="135"/>
      <c r="D4683" s="177"/>
      <c r="E4683" s="178"/>
      <c r="F4683" s="178"/>
      <c r="G4683" s="340"/>
      <c r="H4683" s="340"/>
      <c r="I4683" s="179"/>
      <c r="J4683" s="344"/>
      <c r="K4683" s="345"/>
      <c r="L4683" s="346"/>
      <c r="M4683" s="347"/>
      <c r="N4683" s="347"/>
      <c r="O4683" s="132"/>
    </row>
    <row r="4684" spans="2:15" ht="26.25" customHeight="1" x14ac:dyDescent="0.25">
      <c r="B4684" s="130"/>
      <c r="C4684" s="135"/>
      <c r="D4684" s="177"/>
      <c r="E4684" s="178"/>
      <c r="F4684" s="178"/>
      <c r="G4684" s="340"/>
      <c r="H4684" s="340"/>
      <c r="I4684" s="179"/>
      <c r="J4684" s="344"/>
      <c r="K4684" s="345"/>
      <c r="L4684" s="346"/>
      <c r="M4684" s="347"/>
      <c r="N4684" s="347"/>
      <c r="O4684" s="132"/>
    </row>
    <row r="4685" spans="2:15" ht="26.25" customHeight="1" x14ac:dyDescent="0.25">
      <c r="B4685" s="130"/>
      <c r="C4685" s="135"/>
      <c r="D4685" s="177"/>
      <c r="E4685" s="178"/>
      <c r="F4685" s="178"/>
      <c r="G4685" s="340"/>
      <c r="H4685" s="340"/>
      <c r="I4685" s="179"/>
      <c r="J4685" s="344"/>
      <c r="K4685" s="345"/>
      <c r="L4685" s="346"/>
      <c r="M4685" s="347"/>
      <c r="N4685" s="347"/>
      <c r="O4685" s="132"/>
    </row>
    <row r="4686" spans="2:15" ht="26.25" customHeight="1" x14ac:dyDescent="0.25">
      <c r="B4686" s="130"/>
      <c r="C4686" s="135"/>
      <c r="D4686" s="177"/>
      <c r="E4686" s="178"/>
      <c r="F4686" s="178"/>
      <c r="G4686" s="340"/>
      <c r="H4686" s="340"/>
      <c r="I4686" s="179"/>
      <c r="J4686" s="344"/>
      <c r="K4686" s="345"/>
      <c r="L4686" s="346"/>
      <c r="M4686" s="347"/>
      <c r="N4686" s="347"/>
      <c r="O4686" s="132"/>
    </row>
    <row r="4687" spans="2:15" ht="26.25" customHeight="1" x14ac:dyDescent="0.25">
      <c r="B4687" s="130"/>
      <c r="C4687" s="135"/>
      <c r="D4687" s="177"/>
      <c r="E4687" s="178"/>
      <c r="F4687" s="178"/>
      <c r="G4687" s="340"/>
      <c r="H4687" s="340"/>
      <c r="I4687" s="179"/>
      <c r="J4687" s="344"/>
      <c r="K4687" s="345"/>
      <c r="L4687" s="346"/>
      <c r="M4687" s="347"/>
      <c r="N4687" s="347"/>
      <c r="O4687" s="132"/>
    </row>
    <row r="4688" spans="2:15" ht="26.25" customHeight="1" x14ac:dyDescent="0.25">
      <c r="B4688" s="130"/>
      <c r="C4688" s="135"/>
      <c r="D4688" s="177"/>
      <c r="E4688" s="178"/>
      <c r="F4688" s="178"/>
      <c r="G4688" s="340"/>
      <c r="H4688" s="340"/>
      <c r="I4688" s="179"/>
      <c r="J4688" s="344"/>
      <c r="K4688" s="345"/>
      <c r="L4688" s="346"/>
      <c r="M4688" s="347"/>
      <c r="N4688" s="347"/>
      <c r="O4688" s="132"/>
    </row>
    <row r="4689" spans="2:15" ht="26.25" customHeight="1" x14ac:dyDescent="0.25">
      <c r="B4689" s="130"/>
      <c r="C4689" s="135"/>
      <c r="D4689" s="177"/>
      <c r="E4689" s="178"/>
      <c r="F4689" s="178"/>
      <c r="G4689" s="340"/>
      <c r="H4689" s="340"/>
      <c r="I4689" s="179"/>
      <c r="J4689" s="344"/>
      <c r="K4689" s="345"/>
      <c r="L4689" s="346"/>
      <c r="M4689" s="347"/>
      <c r="N4689" s="347"/>
      <c r="O4689" s="132"/>
    </row>
    <row r="4690" spans="2:15" ht="26.25" customHeight="1" x14ac:dyDescent="0.25">
      <c r="B4690" s="130"/>
      <c r="C4690" s="135"/>
      <c r="D4690" s="177"/>
      <c r="E4690" s="178"/>
      <c r="F4690" s="178"/>
      <c r="G4690" s="340"/>
      <c r="H4690" s="340"/>
      <c r="I4690" s="179"/>
      <c r="J4690" s="344"/>
      <c r="K4690" s="345"/>
      <c r="L4690" s="346"/>
      <c r="M4690" s="347"/>
      <c r="N4690" s="347"/>
      <c r="O4690" s="132"/>
    </row>
    <row r="4691" spans="2:15" ht="26.25" customHeight="1" x14ac:dyDescent="0.25">
      <c r="B4691" s="130"/>
      <c r="C4691" s="135"/>
      <c r="D4691" s="177"/>
      <c r="E4691" s="178"/>
      <c r="F4691" s="178"/>
      <c r="G4691" s="340"/>
      <c r="H4691" s="340"/>
      <c r="I4691" s="179"/>
      <c r="J4691" s="344"/>
      <c r="K4691" s="345"/>
      <c r="L4691" s="346"/>
      <c r="M4691" s="347"/>
      <c r="N4691" s="347"/>
      <c r="O4691" s="132"/>
    </row>
    <row r="4692" spans="2:15" ht="26.25" customHeight="1" x14ac:dyDescent="0.25">
      <c r="B4692" s="130"/>
      <c r="C4692" s="135"/>
      <c r="D4692" s="177"/>
      <c r="E4692" s="178"/>
      <c r="F4692" s="178"/>
      <c r="G4692" s="340"/>
      <c r="H4692" s="340"/>
      <c r="I4692" s="179"/>
      <c r="J4692" s="344"/>
      <c r="K4692" s="345"/>
      <c r="L4692" s="346"/>
      <c r="M4692" s="347"/>
      <c r="N4692" s="347"/>
      <c r="O4692" s="132"/>
    </row>
    <row r="4693" spans="2:15" ht="26.25" customHeight="1" x14ac:dyDescent="0.25">
      <c r="B4693" s="130"/>
      <c r="C4693" s="135"/>
      <c r="D4693" s="177"/>
      <c r="E4693" s="178"/>
      <c r="F4693" s="178"/>
      <c r="G4693" s="340"/>
      <c r="H4693" s="340"/>
      <c r="I4693" s="179"/>
      <c r="J4693" s="344"/>
      <c r="K4693" s="345"/>
      <c r="L4693" s="346"/>
      <c r="M4693" s="347"/>
      <c r="N4693" s="347"/>
      <c r="O4693" s="132"/>
    </row>
    <row r="4694" spans="2:15" ht="26.25" customHeight="1" x14ac:dyDescent="0.25">
      <c r="B4694" s="130"/>
      <c r="C4694" s="135"/>
      <c r="D4694" s="177"/>
      <c r="E4694" s="178"/>
      <c r="F4694" s="178"/>
      <c r="G4694" s="340"/>
      <c r="H4694" s="340"/>
      <c r="I4694" s="179"/>
      <c r="J4694" s="344"/>
      <c r="K4694" s="345"/>
      <c r="L4694" s="346"/>
      <c r="M4694" s="347"/>
      <c r="N4694" s="347"/>
      <c r="O4694" s="132"/>
    </row>
    <row r="4695" spans="2:15" ht="26.25" customHeight="1" x14ac:dyDescent="0.25">
      <c r="B4695" s="130"/>
      <c r="C4695" s="135"/>
      <c r="D4695" s="177"/>
      <c r="E4695" s="178"/>
      <c r="F4695" s="178"/>
      <c r="G4695" s="340"/>
      <c r="H4695" s="340"/>
      <c r="I4695" s="179"/>
      <c r="J4695" s="344"/>
      <c r="K4695" s="345"/>
      <c r="L4695" s="346"/>
      <c r="M4695" s="347"/>
      <c r="N4695" s="347"/>
      <c r="O4695" s="132"/>
    </row>
    <row r="4696" spans="2:15" ht="26.25" customHeight="1" x14ac:dyDescent="0.25">
      <c r="B4696" s="130"/>
      <c r="C4696" s="135"/>
      <c r="D4696" s="177"/>
      <c r="E4696" s="178"/>
      <c r="F4696" s="178"/>
      <c r="G4696" s="340"/>
      <c r="H4696" s="340"/>
      <c r="I4696" s="179"/>
      <c r="J4696" s="344"/>
      <c r="K4696" s="345"/>
      <c r="L4696" s="346"/>
      <c r="M4696" s="347"/>
      <c r="N4696" s="347"/>
      <c r="O4696" s="132"/>
    </row>
    <row r="4697" spans="2:15" ht="26.25" customHeight="1" x14ac:dyDescent="0.25">
      <c r="B4697" s="130"/>
      <c r="C4697" s="135"/>
      <c r="D4697" s="177"/>
      <c r="E4697" s="178"/>
      <c r="F4697" s="178"/>
      <c r="G4697" s="340"/>
      <c r="H4697" s="340"/>
      <c r="I4697" s="179"/>
      <c r="J4697" s="344"/>
      <c r="K4697" s="345"/>
      <c r="L4697" s="346"/>
      <c r="M4697" s="347"/>
      <c r="N4697" s="347"/>
      <c r="O4697" s="132"/>
    </row>
    <row r="4698" spans="2:15" ht="26.25" customHeight="1" x14ac:dyDescent="0.25">
      <c r="B4698" s="130"/>
      <c r="C4698" s="135"/>
      <c r="D4698" s="177"/>
      <c r="E4698" s="178"/>
      <c r="F4698" s="178"/>
      <c r="G4698" s="340"/>
      <c r="H4698" s="340"/>
      <c r="I4698" s="179"/>
      <c r="J4698" s="344"/>
      <c r="K4698" s="345"/>
      <c r="L4698" s="346"/>
      <c r="M4698" s="347"/>
      <c r="N4698" s="347"/>
      <c r="O4698" s="132"/>
    </row>
    <row r="4699" spans="2:15" ht="26.25" customHeight="1" x14ac:dyDescent="0.25">
      <c r="B4699" s="130"/>
      <c r="C4699" s="135"/>
      <c r="D4699" s="177"/>
      <c r="E4699" s="178"/>
      <c r="F4699" s="178"/>
      <c r="G4699" s="340"/>
      <c r="H4699" s="340"/>
      <c r="I4699" s="179"/>
      <c r="J4699" s="344"/>
      <c r="K4699" s="345"/>
      <c r="L4699" s="346"/>
      <c r="M4699" s="347"/>
      <c r="N4699" s="347"/>
      <c r="O4699" s="132"/>
    </row>
    <row r="4700" spans="2:15" ht="26.25" customHeight="1" x14ac:dyDescent="0.25">
      <c r="B4700" s="130"/>
      <c r="C4700" s="135"/>
      <c r="D4700" s="177"/>
      <c r="E4700" s="178"/>
      <c r="F4700" s="178"/>
      <c r="G4700" s="340"/>
      <c r="H4700" s="340"/>
      <c r="I4700" s="179"/>
      <c r="J4700" s="344"/>
      <c r="K4700" s="345"/>
      <c r="L4700" s="346"/>
      <c r="M4700" s="347"/>
      <c r="N4700" s="347"/>
      <c r="O4700" s="132"/>
    </row>
    <row r="4701" spans="2:15" ht="26.25" customHeight="1" x14ac:dyDescent="0.25">
      <c r="B4701" s="130"/>
      <c r="C4701" s="135"/>
      <c r="D4701" s="177"/>
      <c r="E4701" s="178"/>
      <c r="F4701" s="178"/>
      <c r="G4701" s="340"/>
      <c r="H4701" s="340"/>
      <c r="I4701" s="179"/>
      <c r="J4701" s="344"/>
      <c r="K4701" s="345"/>
      <c r="L4701" s="346"/>
      <c r="M4701" s="347"/>
      <c r="N4701" s="347"/>
      <c r="O4701" s="132"/>
    </row>
    <row r="4702" spans="2:15" ht="26.25" customHeight="1" x14ac:dyDescent="0.25">
      <c r="B4702" s="130"/>
      <c r="C4702" s="135"/>
      <c r="D4702" s="177"/>
      <c r="E4702" s="178"/>
      <c r="F4702" s="178"/>
      <c r="G4702" s="340"/>
      <c r="H4702" s="340"/>
      <c r="I4702" s="179"/>
      <c r="J4702" s="344"/>
      <c r="K4702" s="345"/>
      <c r="L4702" s="346"/>
      <c r="M4702" s="347"/>
      <c r="N4702" s="347"/>
      <c r="O4702" s="132"/>
    </row>
    <row r="4703" spans="2:15" ht="26.25" customHeight="1" x14ac:dyDescent="0.25">
      <c r="B4703" s="130"/>
      <c r="C4703" s="135"/>
      <c r="D4703" s="177"/>
      <c r="E4703" s="178"/>
      <c r="F4703" s="178"/>
      <c r="G4703" s="340"/>
      <c r="H4703" s="340"/>
      <c r="I4703" s="179"/>
      <c r="J4703" s="344"/>
      <c r="K4703" s="345"/>
      <c r="L4703" s="346"/>
      <c r="M4703" s="347"/>
      <c r="N4703" s="347"/>
      <c r="O4703" s="132"/>
    </row>
    <row r="4704" spans="2:15" ht="26.25" customHeight="1" x14ac:dyDescent="0.25">
      <c r="B4704" s="130"/>
      <c r="C4704" s="135"/>
      <c r="D4704" s="177"/>
      <c r="E4704" s="178"/>
      <c r="F4704" s="178"/>
      <c r="G4704" s="340"/>
      <c r="H4704" s="340"/>
      <c r="I4704" s="179"/>
      <c r="J4704" s="344"/>
      <c r="K4704" s="345"/>
      <c r="L4704" s="346"/>
      <c r="M4704" s="347"/>
      <c r="N4704" s="347"/>
      <c r="O4704" s="132"/>
    </row>
    <row r="4705" spans="2:15" ht="26.25" customHeight="1" x14ac:dyDescent="0.25">
      <c r="B4705" s="130"/>
      <c r="C4705" s="135"/>
      <c r="D4705" s="177"/>
      <c r="E4705" s="178"/>
      <c r="F4705" s="178"/>
      <c r="G4705" s="340"/>
      <c r="H4705" s="340"/>
      <c r="I4705" s="179"/>
      <c r="J4705" s="344"/>
      <c r="K4705" s="345"/>
      <c r="L4705" s="346"/>
      <c r="M4705" s="347"/>
      <c r="N4705" s="347"/>
      <c r="O4705" s="132"/>
    </row>
    <row r="4706" spans="2:15" ht="26.25" customHeight="1" x14ac:dyDescent="0.25">
      <c r="B4706" s="130"/>
      <c r="C4706" s="135"/>
      <c r="D4706" s="177"/>
      <c r="E4706" s="178"/>
      <c r="F4706" s="178"/>
      <c r="G4706" s="340"/>
      <c r="H4706" s="340"/>
      <c r="I4706" s="179"/>
      <c r="J4706" s="344"/>
      <c r="K4706" s="345"/>
      <c r="L4706" s="346"/>
      <c r="M4706" s="347"/>
      <c r="N4706" s="347"/>
      <c r="O4706" s="132"/>
    </row>
    <row r="4707" spans="2:15" ht="26.25" customHeight="1" x14ac:dyDescent="0.25">
      <c r="B4707" s="130"/>
      <c r="C4707" s="135"/>
      <c r="D4707" s="177"/>
      <c r="E4707" s="178"/>
      <c r="F4707" s="178"/>
      <c r="G4707" s="340"/>
      <c r="H4707" s="340"/>
      <c r="I4707" s="179"/>
      <c r="J4707" s="344"/>
      <c r="K4707" s="345"/>
      <c r="L4707" s="346"/>
      <c r="M4707" s="347"/>
      <c r="N4707" s="347"/>
      <c r="O4707" s="132"/>
    </row>
    <row r="4708" spans="2:15" ht="26.25" customHeight="1" x14ac:dyDescent="0.25">
      <c r="B4708" s="130"/>
      <c r="C4708" s="135"/>
      <c r="D4708" s="177"/>
      <c r="E4708" s="178"/>
      <c r="F4708" s="178"/>
      <c r="G4708" s="340"/>
      <c r="H4708" s="340"/>
      <c r="I4708" s="179"/>
      <c r="J4708" s="344"/>
      <c r="K4708" s="345"/>
      <c r="L4708" s="346"/>
      <c r="M4708" s="347"/>
      <c r="N4708" s="347"/>
      <c r="O4708" s="132"/>
    </row>
    <row r="4709" spans="2:15" ht="26.25" customHeight="1" x14ac:dyDescent="0.25">
      <c r="B4709" s="130"/>
      <c r="C4709" s="135"/>
      <c r="D4709" s="177"/>
      <c r="E4709" s="178"/>
      <c r="F4709" s="178"/>
      <c r="G4709" s="340"/>
      <c r="H4709" s="340"/>
      <c r="I4709" s="179"/>
      <c r="J4709" s="344"/>
      <c r="K4709" s="345"/>
      <c r="L4709" s="346"/>
      <c r="M4709" s="347"/>
      <c r="N4709" s="347"/>
      <c r="O4709" s="132"/>
    </row>
    <row r="4710" spans="2:15" ht="26.25" customHeight="1" x14ac:dyDescent="0.25">
      <c r="B4710" s="130"/>
      <c r="C4710" s="135"/>
      <c r="D4710" s="177"/>
      <c r="E4710" s="178"/>
      <c r="F4710" s="178"/>
      <c r="G4710" s="340"/>
      <c r="H4710" s="340"/>
      <c r="I4710" s="179"/>
      <c r="J4710" s="344"/>
      <c r="K4710" s="345"/>
      <c r="L4710" s="346"/>
      <c r="M4710" s="347"/>
      <c r="N4710" s="347"/>
      <c r="O4710" s="132"/>
    </row>
    <row r="4711" spans="2:15" ht="26.25" customHeight="1" x14ac:dyDescent="0.25">
      <c r="B4711" s="130"/>
      <c r="C4711" s="135"/>
      <c r="D4711" s="177"/>
      <c r="E4711" s="178"/>
      <c r="F4711" s="178"/>
      <c r="G4711" s="340"/>
      <c r="H4711" s="340"/>
      <c r="I4711" s="179"/>
      <c r="J4711" s="344"/>
      <c r="K4711" s="345"/>
      <c r="L4711" s="346"/>
      <c r="M4711" s="347"/>
      <c r="N4711" s="347"/>
      <c r="O4711" s="132"/>
    </row>
    <row r="4712" spans="2:15" ht="26.25" customHeight="1" x14ac:dyDescent="0.25">
      <c r="B4712" s="130"/>
      <c r="C4712" s="135"/>
      <c r="D4712" s="177"/>
      <c r="E4712" s="178"/>
      <c r="F4712" s="178"/>
      <c r="G4712" s="340"/>
      <c r="H4712" s="340"/>
      <c r="I4712" s="179"/>
      <c r="J4712" s="344"/>
      <c r="K4712" s="345"/>
      <c r="L4712" s="346"/>
      <c r="M4712" s="347"/>
      <c r="N4712" s="347"/>
      <c r="O4712" s="132"/>
    </row>
    <row r="4713" spans="2:15" ht="26.25" customHeight="1" x14ac:dyDescent="0.25">
      <c r="B4713" s="130"/>
      <c r="C4713" s="135"/>
      <c r="D4713" s="177"/>
      <c r="E4713" s="178"/>
      <c r="F4713" s="178"/>
      <c r="G4713" s="340"/>
      <c r="H4713" s="340"/>
      <c r="I4713" s="179"/>
      <c r="J4713" s="344"/>
      <c r="K4713" s="345"/>
      <c r="L4713" s="346"/>
      <c r="M4713" s="347"/>
      <c r="N4713" s="347"/>
      <c r="O4713" s="132"/>
    </row>
    <row r="4714" spans="2:15" ht="26.25" customHeight="1" x14ac:dyDescent="0.25">
      <c r="B4714" s="130"/>
      <c r="C4714" s="135"/>
      <c r="D4714" s="177"/>
      <c r="E4714" s="178"/>
      <c r="F4714" s="178"/>
      <c r="G4714" s="340"/>
      <c r="H4714" s="340"/>
      <c r="I4714" s="179"/>
      <c r="J4714" s="344"/>
      <c r="K4714" s="345"/>
      <c r="L4714" s="346"/>
      <c r="M4714" s="347"/>
      <c r="N4714" s="347"/>
      <c r="O4714" s="132"/>
    </row>
    <row r="4715" spans="2:15" ht="26.25" customHeight="1" x14ac:dyDescent="0.25">
      <c r="B4715" s="130"/>
      <c r="C4715" s="135"/>
      <c r="D4715" s="177"/>
      <c r="E4715" s="178"/>
      <c r="F4715" s="178"/>
      <c r="G4715" s="340"/>
      <c r="H4715" s="340"/>
      <c r="I4715" s="179"/>
      <c r="J4715" s="344"/>
      <c r="K4715" s="345"/>
      <c r="L4715" s="346"/>
      <c r="M4715" s="347"/>
      <c r="N4715" s="347"/>
      <c r="O4715" s="132"/>
    </row>
    <row r="4716" spans="2:15" ht="26.25" customHeight="1" x14ac:dyDescent="0.25">
      <c r="B4716" s="130"/>
      <c r="C4716" s="135"/>
      <c r="D4716" s="177"/>
      <c r="E4716" s="178"/>
      <c r="F4716" s="178"/>
      <c r="G4716" s="340"/>
      <c r="H4716" s="340"/>
      <c r="I4716" s="179"/>
      <c r="J4716" s="344"/>
      <c r="K4716" s="345"/>
      <c r="L4716" s="346"/>
      <c r="M4716" s="347"/>
      <c r="N4716" s="347"/>
      <c r="O4716" s="132"/>
    </row>
    <row r="4717" spans="2:15" ht="26.25" customHeight="1" x14ac:dyDescent="0.25">
      <c r="B4717" s="130"/>
      <c r="C4717" s="135"/>
      <c r="D4717" s="177"/>
      <c r="E4717" s="178"/>
      <c r="F4717" s="178"/>
      <c r="G4717" s="340"/>
      <c r="H4717" s="340"/>
      <c r="I4717" s="179"/>
      <c r="J4717" s="344"/>
      <c r="K4717" s="345"/>
      <c r="L4717" s="346"/>
      <c r="M4717" s="347"/>
      <c r="N4717" s="347"/>
      <c r="O4717" s="132"/>
    </row>
    <row r="4718" spans="2:15" ht="26.25" customHeight="1" x14ac:dyDescent="0.25">
      <c r="B4718" s="130"/>
      <c r="C4718" s="135"/>
      <c r="D4718" s="177"/>
      <c r="E4718" s="178"/>
      <c r="F4718" s="178"/>
      <c r="G4718" s="340"/>
      <c r="H4718" s="340"/>
      <c r="I4718" s="179"/>
      <c r="J4718" s="344"/>
      <c r="K4718" s="345"/>
      <c r="L4718" s="346"/>
      <c r="M4718" s="347"/>
      <c r="N4718" s="347"/>
      <c r="O4718" s="132"/>
    </row>
    <row r="4719" spans="2:15" ht="26.25" customHeight="1" x14ac:dyDescent="0.25">
      <c r="B4719" s="130"/>
      <c r="C4719" s="135"/>
      <c r="D4719" s="177"/>
      <c r="E4719" s="178"/>
      <c r="F4719" s="178"/>
      <c r="G4719" s="340"/>
      <c r="H4719" s="340"/>
      <c r="I4719" s="179"/>
      <c r="J4719" s="344"/>
      <c r="K4719" s="345"/>
      <c r="L4719" s="346"/>
      <c r="M4719" s="347"/>
      <c r="N4719" s="347"/>
      <c r="O4719" s="132"/>
    </row>
    <row r="4720" spans="2:15" ht="26.25" customHeight="1" x14ac:dyDescent="0.25">
      <c r="B4720" s="130"/>
      <c r="C4720" s="135"/>
      <c r="D4720" s="177"/>
      <c r="E4720" s="178"/>
      <c r="F4720" s="178"/>
      <c r="G4720" s="340"/>
      <c r="H4720" s="340"/>
      <c r="I4720" s="179"/>
      <c r="J4720" s="344"/>
      <c r="K4720" s="345"/>
      <c r="L4720" s="346"/>
      <c r="M4720" s="347"/>
      <c r="N4720" s="347"/>
      <c r="O4720" s="132"/>
    </row>
    <row r="4721" spans="2:15" ht="26.25" customHeight="1" x14ac:dyDescent="0.25">
      <c r="B4721" s="130"/>
      <c r="C4721" s="135"/>
      <c r="D4721" s="177"/>
      <c r="E4721" s="178"/>
      <c r="F4721" s="178"/>
      <c r="G4721" s="340"/>
      <c r="H4721" s="340"/>
      <c r="I4721" s="179"/>
      <c r="J4721" s="344"/>
      <c r="K4721" s="345"/>
      <c r="L4721" s="346"/>
      <c r="M4721" s="347"/>
      <c r="N4721" s="347"/>
      <c r="O4721" s="132"/>
    </row>
    <row r="4722" spans="2:15" ht="26.25" customHeight="1" x14ac:dyDescent="0.25">
      <c r="B4722" s="130"/>
      <c r="C4722" s="135"/>
      <c r="D4722" s="177"/>
      <c r="E4722" s="178"/>
      <c r="F4722" s="178"/>
      <c r="G4722" s="340"/>
      <c r="H4722" s="340"/>
      <c r="I4722" s="179"/>
      <c r="J4722" s="344"/>
      <c r="K4722" s="345"/>
      <c r="L4722" s="346"/>
      <c r="M4722" s="347"/>
      <c r="N4722" s="347"/>
      <c r="O4722" s="132"/>
    </row>
    <row r="4723" spans="2:15" ht="26.25" customHeight="1" x14ac:dyDescent="0.25">
      <c r="B4723" s="130"/>
      <c r="C4723" s="135"/>
      <c r="D4723" s="177"/>
      <c r="E4723" s="178"/>
      <c r="F4723" s="178"/>
      <c r="G4723" s="340"/>
      <c r="H4723" s="340"/>
      <c r="I4723" s="179"/>
      <c r="J4723" s="344"/>
      <c r="K4723" s="345"/>
      <c r="L4723" s="346"/>
      <c r="M4723" s="347"/>
      <c r="N4723" s="347"/>
      <c r="O4723" s="132"/>
    </row>
    <row r="4724" spans="2:15" ht="26.25" customHeight="1" x14ac:dyDescent="0.25">
      <c r="B4724" s="130"/>
      <c r="C4724" s="135"/>
      <c r="D4724" s="177"/>
      <c r="E4724" s="178"/>
      <c r="F4724" s="178"/>
      <c r="G4724" s="340"/>
      <c r="H4724" s="340"/>
      <c r="I4724" s="179"/>
      <c r="J4724" s="344"/>
      <c r="K4724" s="345"/>
      <c r="L4724" s="346"/>
      <c r="M4724" s="347"/>
      <c r="N4724" s="347"/>
      <c r="O4724" s="132"/>
    </row>
    <row r="4725" spans="2:15" ht="26.25" customHeight="1" x14ac:dyDescent="0.25">
      <c r="B4725" s="130"/>
      <c r="C4725" s="135"/>
      <c r="D4725" s="177"/>
      <c r="E4725" s="178"/>
      <c r="F4725" s="178"/>
      <c r="G4725" s="340"/>
      <c r="H4725" s="340"/>
      <c r="I4725" s="179"/>
      <c r="J4725" s="344"/>
      <c r="K4725" s="345"/>
      <c r="L4725" s="346"/>
      <c r="M4725" s="347"/>
      <c r="N4725" s="347"/>
      <c r="O4725" s="132"/>
    </row>
    <row r="4726" spans="2:15" ht="26.25" customHeight="1" x14ac:dyDescent="0.25">
      <c r="B4726" s="130"/>
      <c r="C4726" s="135"/>
      <c r="D4726" s="177"/>
      <c r="E4726" s="178"/>
      <c r="F4726" s="178"/>
      <c r="G4726" s="340"/>
      <c r="H4726" s="340"/>
      <c r="I4726" s="179"/>
      <c r="J4726" s="344"/>
      <c r="K4726" s="345"/>
      <c r="L4726" s="346"/>
      <c r="M4726" s="347"/>
      <c r="N4726" s="347"/>
      <c r="O4726" s="132"/>
    </row>
    <row r="4727" spans="2:15" ht="26.25" customHeight="1" x14ac:dyDescent="0.25">
      <c r="B4727" s="130"/>
      <c r="C4727" s="135"/>
      <c r="D4727" s="177"/>
      <c r="E4727" s="178"/>
      <c r="F4727" s="178"/>
      <c r="G4727" s="340"/>
      <c r="H4727" s="340"/>
      <c r="I4727" s="179"/>
      <c r="J4727" s="344"/>
      <c r="K4727" s="345"/>
      <c r="L4727" s="346"/>
      <c r="M4727" s="347"/>
      <c r="N4727" s="347"/>
      <c r="O4727" s="132"/>
    </row>
    <row r="4728" spans="2:15" ht="26.25" customHeight="1" x14ac:dyDescent="0.25">
      <c r="B4728" s="130"/>
      <c r="C4728" s="135"/>
      <c r="D4728" s="177"/>
      <c r="E4728" s="178"/>
      <c r="F4728" s="178"/>
      <c r="G4728" s="340"/>
      <c r="H4728" s="340"/>
      <c r="I4728" s="179"/>
      <c r="J4728" s="344"/>
      <c r="K4728" s="345"/>
      <c r="L4728" s="346"/>
      <c r="M4728" s="347"/>
      <c r="N4728" s="347"/>
      <c r="O4728" s="132"/>
    </row>
    <row r="4729" spans="2:15" ht="26.25" customHeight="1" x14ac:dyDescent="0.25">
      <c r="B4729" s="130"/>
      <c r="C4729" s="135"/>
      <c r="D4729" s="177"/>
      <c r="E4729" s="178"/>
      <c r="F4729" s="178"/>
      <c r="G4729" s="340"/>
      <c r="H4729" s="340"/>
      <c r="I4729" s="179"/>
      <c r="J4729" s="344"/>
      <c r="K4729" s="345"/>
      <c r="L4729" s="346"/>
      <c r="M4729" s="347"/>
      <c r="N4729" s="347"/>
      <c r="O4729" s="132"/>
    </row>
    <row r="4730" spans="2:15" ht="26.25" customHeight="1" x14ac:dyDescent="0.25">
      <c r="B4730" s="130"/>
      <c r="C4730" s="135"/>
      <c r="D4730" s="177"/>
      <c r="E4730" s="178"/>
      <c r="F4730" s="178"/>
      <c r="G4730" s="340"/>
      <c r="H4730" s="340"/>
      <c r="I4730" s="179"/>
      <c r="J4730" s="344"/>
      <c r="K4730" s="345"/>
      <c r="L4730" s="346"/>
      <c r="M4730" s="347"/>
      <c r="N4730" s="347"/>
      <c r="O4730" s="132"/>
    </row>
    <row r="4731" spans="2:15" ht="26.25" customHeight="1" x14ac:dyDescent="0.25">
      <c r="B4731" s="130"/>
      <c r="C4731" s="135"/>
      <c r="D4731" s="177"/>
      <c r="E4731" s="178"/>
      <c r="F4731" s="178"/>
      <c r="G4731" s="340"/>
      <c r="H4731" s="340"/>
      <c r="I4731" s="179"/>
      <c r="J4731" s="344"/>
      <c r="K4731" s="345"/>
      <c r="L4731" s="346"/>
      <c r="M4731" s="347"/>
      <c r="N4731" s="347"/>
      <c r="O4731" s="132"/>
    </row>
    <row r="4732" spans="2:15" ht="26.25" customHeight="1" x14ac:dyDescent="0.25">
      <c r="B4732" s="130"/>
      <c r="C4732" s="135"/>
      <c r="D4732" s="177"/>
      <c r="E4732" s="178"/>
      <c r="F4732" s="178"/>
      <c r="G4732" s="340"/>
      <c r="H4732" s="340"/>
      <c r="I4732" s="179"/>
      <c r="J4732" s="344"/>
      <c r="K4732" s="345"/>
      <c r="L4732" s="346"/>
      <c r="M4732" s="347"/>
      <c r="N4732" s="347"/>
      <c r="O4732" s="132"/>
    </row>
    <row r="4733" spans="2:15" ht="26.25" customHeight="1" x14ac:dyDescent="0.25">
      <c r="B4733" s="130"/>
      <c r="C4733" s="135"/>
      <c r="D4733" s="177"/>
      <c r="E4733" s="178"/>
      <c r="F4733" s="178"/>
      <c r="G4733" s="340"/>
      <c r="H4733" s="340"/>
      <c r="I4733" s="179"/>
      <c r="J4733" s="344"/>
      <c r="K4733" s="345"/>
      <c r="L4733" s="346"/>
      <c r="M4733" s="347"/>
      <c r="N4733" s="347"/>
      <c r="O4733" s="132"/>
    </row>
    <row r="4734" spans="2:15" ht="26.25" customHeight="1" x14ac:dyDescent="0.25">
      <c r="B4734" s="130"/>
      <c r="C4734" s="135"/>
      <c r="D4734" s="177"/>
      <c r="E4734" s="178"/>
      <c r="F4734" s="178"/>
      <c r="G4734" s="340"/>
      <c r="H4734" s="340"/>
      <c r="I4734" s="179"/>
      <c r="J4734" s="344"/>
      <c r="K4734" s="345"/>
      <c r="L4734" s="346"/>
      <c r="M4734" s="347"/>
      <c r="N4734" s="347"/>
      <c r="O4734" s="132"/>
    </row>
    <row r="4735" spans="2:15" ht="26.25" customHeight="1" x14ac:dyDescent="0.25">
      <c r="B4735" s="130"/>
      <c r="C4735" s="135"/>
      <c r="D4735" s="177"/>
      <c r="E4735" s="178"/>
      <c r="F4735" s="178"/>
      <c r="G4735" s="340"/>
      <c r="H4735" s="340"/>
      <c r="I4735" s="179"/>
      <c r="J4735" s="344"/>
      <c r="K4735" s="345"/>
      <c r="L4735" s="346"/>
      <c r="M4735" s="347"/>
      <c r="N4735" s="347"/>
      <c r="O4735" s="132"/>
    </row>
    <row r="4736" spans="2:15" ht="26.25" customHeight="1" x14ac:dyDescent="0.25">
      <c r="B4736" s="130"/>
      <c r="C4736" s="135"/>
      <c r="D4736" s="177"/>
      <c r="E4736" s="178"/>
      <c r="F4736" s="178"/>
      <c r="G4736" s="340"/>
      <c r="H4736" s="340"/>
      <c r="I4736" s="179"/>
      <c r="J4736" s="344"/>
      <c r="K4736" s="345"/>
      <c r="L4736" s="346"/>
      <c r="M4736" s="347"/>
      <c r="N4736" s="347"/>
      <c r="O4736" s="132"/>
    </row>
    <row r="4737" spans="2:15" ht="26.25" customHeight="1" x14ac:dyDescent="0.25">
      <c r="B4737" s="130"/>
      <c r="C4737" s="135"/>
      <c r="D4737" s="177"/>
      <c r="E4737" s="178"/>
      <c r="F4737" s="178"/>
      <c r="G4737" s="340"/>
      <c r="H4737" s="340"/>
      <c r="I4737" s="179"/>
      <c r="J4737" s="344"/>
      <c r="K4737" s="345"/>
      <c r="L4737" s="346"/>
      <c r="M4737" s="347"/>
      <c r="N4737" s="347"/>
      <c r="O4737" s="132"/>
    </row>
    <row r="4738" spans="2:15" ht="26.25" customHeight="1" x14ac:dyDescent="0.25">
      <c r="B4738" s="130"/>
      <c r="C4738" s="135"/>
      <c r="D4738" s="177"/>
      <c r="E4738" s="178"/>
      <c r="F4738" s="178"/>
      <c r="G4738" s="340"/>
      <c r="H4738" s="340"/>
      <c r="I4738" s="179"/>
      <c r="J4738" s="344"/>
      <c r="K4738" s="345"/>
      <c r="L4738" s="346"/>
      <c r="M4738" s="347"/>
      <c r="N4738" s="347"/>
      <c r="O4738" s="132"/>
    </row>
    <row r="4739" spans="2:15" ht="26.25" customHeight="1" x14ac:dyDescent="0.25">
      <c r="B4739" s="130"/>
      <c r="C4739" s="135"/>
      <c r="D4739" s="177"/>
      <c r="E4739" s="178"/>
      <c r="F4739" s="178"/>
      <c r="G4739" s="340"/>
      <c r="H4739" s="340"/>
      <c r="I4739" s="179"/>
      <c r="J4739" s="344"/>
      <c r="K4739" s="345"/>
      <c r="L4739" s="346"/>
      <c r="M4739" s="347"/>
      <c r="N4739" s="347"/>
      <c r="O4739" s="132"/>
    </row>
    <row r="4740" spans="2:15" ht="26.25" customHeight="1" x14ac:dyDescent="0.25">
      <c r="B4740" s="130"/>
      <c r="C4740" s="135"/>
      <c r="D4740" s="177"/>
      <c r="E4740" s="178"/>
      <c r="F4740" s="178"/>
      <c r="G4740" s="340"/>
      <c r="H4740" s="340"/>
      <c r="I4740" s="179"/>
      <c r="J4740" s="344"/>
      <c r="K4740" s="345"/>
      <c r="L4740" s="346"/>
      <c r="M4740" s="347"/>
      <c r="N4740" s="347"/>
      <c r="O4740" s="132"/>
    </row>
    <row r="4741" spans="2:15" ht="26.25" customHeight="1" x14ac:dyDescent="0.25">
      <c r="B4741" s="130"/>
      <c r="C4741" s="135"/>
      <c r="D4741" s="177"/>
      <c r="E4741" s="178"/>
      <c r="F4741" s="178"/>
      <c r="G4741" s="340"/>
      <c r="H4741" s="340"/>
      <c r="I4741" s="179"/>
      <c r="J4741" s="344"/>
      <c r="K4741" s="345"/>
      <c r="L4741" s="346"/>
      <c r="M4741" s="347"/>
      <c r="N4741" s="347"/>
      <c r="O4741" s="132"/>
    </row>
    <row r="4742" spans="2:15" ht="26.25" customHeight="1" x14ac:dyDescent="0.25">
      <c r="B4742" s="130"/>
      <c r="C4742" s="135"/>
      <c r="D4742" s="177"/>
      <c r="E4742" s="178"/>
      <c r="F4742" s="178"/>
      <c r="G4742" s="340"/>
      <c r="H4742" s="340"/>
      <c r="I4742" s="179"/>
      <c r="J4742" s="344"/>
      <c r="K4742" s="345"/>
      <c r="L4742" s="346"/>
      <c r="M4742" s="347"/>
      <c r="N4742" s="347"/>
      <c r="O4742" s="132"/>
    </row>
    <row r="4743" spans="2:15" ht="26.25" customHeight="1" x14ac:dyDescent="0.25">
      <c r="B4743" s="130"/>
      <c r="C4743" s="135"/>
      <c r="D4743" s="177"/>
      <c r="E4743" s="178"/>
      <c r="F4743" s="178"/>
      <c r="G4743" s="340"/>
      <c r="H4743" s="340"/>
      <c r="I4743" s="179"/>
      <c r="J4743" s="344"/>
      <c r="K4743" s="345"/>
      <c r="L4743" s="346"/>
      <c r="M4743" s="347"/>
      <c r="N4743" s="347"/>
      <c r="O4743" s="132"/>
    </row>
    <row r="4744" spans="2:15" ht="26.25" customHeight="1" x14ac:dyDescent="0.25">
      <c r="B4744" s="130"/>
      <c r="C4744" s="135"/>
      <c r="D4744" s="177"/>
      <c r="E4744" s="178"/>
      <c r="F4744" s="178"/>
      <c r="G4744" s="340"/>
      <c r="H4744" s="340"/>
      <c r="I4744" s="179"/>
      <c r="J4744" s="344"/>
      <c r="K4744" s="345"/>
      <c r="L4744" s="346"/>
      <c r="M4744" s="347"/>
      <c r="N4744" s="347"/>
      <c r="O4744" s="132"/>
    </row>
    <row r="4745" spans="2:15" ht="26.25" customHeight="1" x14ac:dyDescent="0.25">
      <c r="B4745" s="130"/>
      <c r="C4745" s="135"/>
      <c r="D4745" s="177"/>
      <c r="E4745" s="178"/>
      <c r="F4745" s="178"/>
      <c r="G4745" s="340"/>
      <c r="H4745" s="340"/>
      <c r="I4745" s="179"/>
      <c r="J4745" s="344"/>
      <c r="K4745" s="345"/>
      <c r="L4745" s="346"/>
      <c r="M4745" s="347"/>
      <c r="N4745" s="347"/>
      <c r="O4745" s="132"/>
    </row>
    <row r="4746" spans="2:15" ht="26.25" customHeight="1" x14ac:dyDescent="0.25">
      <c r="B4746" s="130"/>
      <c r="C4746" s="135"/>
      <c r="D4746" s="177"/>
      <c r="E4746" s="178"/>
      <c r="F4746" s="178"/>
      <c r="G4746" s="340"/>
      <c r="H4746" s="340"/>
      <c r="I4746" s="179"/>
      <c r="J4746" s="344"/>
      <c r="K4746" s="345"/>
      <c r="L4746" s="346"/>
      <c r="M4746" s="347"/>
      <c r="N4746" s="347"/>
      <c r="O4746" s="132"/>
    </row>
    <row r="4747" spans="2:15" ht="26.25" customHeight="1" x14ac:dyDescent="0.25">
      <c r="B4747" s="130"/>
      <c r="C4747" s="135"/>
      <c r="D4747" s="177"/>
      <c r="E4747" s="178"/>
      <c r="F4747" s="178"/>
      <c r="G4747" s="340"/>
      <c r="H4747" s="340"/>
      <c r="I4747" s="179"/>
      <c r="J4747" s="344"/>
      <c r="K4747" s="345"/>
      <c r="L4747" s="346"/>
      <c r="M4747" s="347"/>
      <c r="N4747" s="347"/>
      <c r="O4747" s="132"/>
    </row>
    <row r="4748" spans="2:15" ht="26.25" customHeight="1" x14ac:dyDescent="0.25">
      <c r="B4748" s="130"/>
      <c r="C4748" s="135"/>
      <c r="D4748" s="177"/>
      <c r="E4748" s="178"/>
      <c r="F4748" s="178"/>
      <c r="G4748" s="340"/>
      <c r="H4748" s="340"/>
      <c r="I4748" s="179"/>
      <c r="J4748" s="344"/>
      <c r="K4748" s="345"/>
      <c r="L4748" s="346"/>
      <c r="M4748" s="347"/>
      <c r="N4748" s="347"/>
      <c r="O4748" s="132"/>
    </row>
    <row r="4749" spans="2:15" ht="26.25" customHeight="1" x14ac:dyDescent="0.25">
      <c r="B4749" s="130"/>
      <c r="C4749" s="135"/>
      <c r="D4749" s="177"/>
      <c r="E4749" s="178"/>
      <c r="F4749" s="178"/>
      <c r="G4749" s="340"/>
      <c r="H4749" s="340"/>
      <c r="I4749" s="179"/>
      <c r="J4749" s="344"/>
      <c r="K4749" s="345"/>
      <c r="L4749" s="346"/>
      <c r="M4749" s="347"/>
      <c r="N4749" s="347"/>
      <c r="O4749" s="132"/>
    </row>
    <row r="4750" spans="2:15" ht="26.25" customHeight="1" x14ac:dyDescent="0.25">
      <c r="B4750" s="130"/>
      <c r="C4750" s="135"/>
      <c r="D4750" s="177"/>
      <c r="E4750" s="178"/>
      <c r="F4750" s="178"/>
      <c r="G4750" s="340"/>
      <c r="H4750" s="340"/>
      <c r="I4750" s="179"/>
      <c r="J4750" s="344"/>
      <c r="K4750" s="345"/>
      <c r="L4750" s="346"/>
      <c r="M4750" s="347"/>
      <c r="N4750" s="347"/>
      <c r="O4750" s="132"/>
    </row>
    <row r="4751" spans="2:15" ht="26.25" customHeight="1" x14ac:dyDescent="0.25">
      <c r="B4751" s="130"/>
      <c r="C4751" s="135"/>
      <c r="D4751" s="177"/>
      <c r="E4751" s="178"/>
      <c r="F4751" s="178"/>
      <c r="G4751" s="340"/>
      <c r="H4751" s="340"/>
      <c r="I4751" s="179"/>
      <c r="J4751" s="344"/>
      <c r="K4751" s="345"/>
      <c r="L4751" s="346"/>
      <c r="M4751" s="347"/>
      <c r="N4751" s="347"/>
      <c r="O4751" s="132"/>
    </row>
    <row r="4752" spans="2:15" ht="26.25" customHeight="1" x14ac:dyDescent="0.25">
      <c r="B4752" s="130"/>
      <c r="C4752" s="135"/>
      <c r="D4752" s="177"/>
      <c r="E4752" s="178"/>
      <c r="F4752" s="178"/>
      <c r="G4752" s="340"/>
      <c r="H4752" s="340"/>
      <c r="I4752" s="179"/>
      <c r="J4752" s="344"/>
      <c r="K4752" s="345"/>
      <c r="L4752" s="346"/>
      <c r="M4752" s="347"/>
      <c r="N4752" s="347"/>
      <c r="O4752" s="132"/>
    </row>
    <row r="4753" spans="2:15" ht="26.25" customHeight="1" x14ac:dyDescent="0.25">
      <c r="B4753" s="130"/>
      <c r="C4753" s="135"/>
      <c r="D4753" s="177"/>
      <c r="E4753" s="178"/>
      <c r="F4753" s="178"/>
      <c r="G4753" s="340"/>
      <c r="H4753" s="340"/>
      <c r="I4753" s="179"/>
      <c r="J4753" s="344"/>
      <c r="K4753" s="345"/>
      <c r="L4753" s="346"/>
      <c r="M4753" s="347"/>
      <c r="N4753" s="347"/>
      <c r="O4753" s="132"/>
    </row>
    <row r="4754" spans="2:15" ht="26.25" customHeight="1" x14ac:dyDescent="0.25">
      <c r="B4754" s="130"/>
      <c r="C4754" s="135"/>
      <c r="D4754" s="177"/>
      <c r="E4754" s="178"/>
      <c r="F4754" s="178"/>
      <c r="G4754" s="340"/>
      <c r="H4754" s="340"/>
      <c r="I4754" s="179"/>
      <c r="J4754" s="344"/>
      <c r="K4754" s="345"/>
      <c r="L4754" s="346"/>
      <c r="M4754" s="347"/>
      <c r="N4754" s="347"/>
      <c r="O4754" s="132"/>
    </row>
    <row r="4755" spans="2:15" ht="26.25" customHeight="1" x14ac:dyDescent="0.25">
      <c r="B4755" s="130"/>
      <c r="C4755" s="135"/>
      <c r="D4755" s="177"/>
      <c r="E4755" s="178"/>
      <c r="F4755" s="178"/>
      <c r="G4755" s="340"/>
      <c r="H4755" s="340"/>
      <c r="I4755" s="179"/>
      <c r="J4755" s="344"/>
      <c r="K4755" s="345"/>
      <c r="L4755" s="346"/>
      <c r="M4755" s="347"/>
      <c r="N4755" s="347"/>
      <c r="O4755" s="132"/>
    </row>
    <row r="4756" spans="2:15" ht="26.25" customHeight="1" x14ac:dyDescent="0.25">
      <c r="B4756" s="130"/>
      <c r="C4756" s="135"/>
      <c r="D4756" s="177"/>
      <c r="E4756" s="178"/>
      <c r="F4756" s="178"/>
      <c r="G4756" s="340"/>
      <c r="H4756" s="340"/>
      <c r="I4756" s="179"/>
      <c r="J4756" s="344"/>
      <c r="K4756" s="345"/>
      <c r="L4756" s="346"/>
      <c r="M4756" s="347"/>
      <c r="N4756" s="347"/>
      <c r="O4756" s="132"/>
    </row>
    <row r="4757" spans="2:15" ht="26.25" customHeight="1" x14ac:dyDescent="0.25">
      <c r="B4757" s="130"/>
      <c r="C4757" s="135"/>
      <c r="D4757" s="177"/>
      <c r="E4757" s="178"/>
      <c r="F4757" s="178"/>
      <c r="G4757" s="340"/>
      <c r="H4757" s="340"/>
      <c r="I4757" s="179"/>
      <c r="J4757" s="344"/>
      <c r="K4757" s="345"/>
      <c r="L4757" s="346"/>
      <c r="M4757" s="347"/>
      <c r="N4757" s="347"/>
      <c r="O4757" s="132"/>
    </row>
    <row r="4758" spans="2:15" ht="26.25" customHeight="1" x14ac:dyDescent="0.25">
      <c r="B4758" s="130"/>
      <c r="C4758" s="135"/>
      <c r="D4758" s="177"/>
      <c r="E4758" s="178"/>
      <c r="F4758" s="178"/>
      <c r="G4758" s="340"/>
      <c r="H4758" s="340"/>
      <c r="I4758" s="179"/>
      <c r="J4758" s="344"/>
      <c r="K4758" s="345"/>
      <c r="L4758" s="346"/>
      <c r="M4758" s="347"/>
      <c r="N4758" s="347"/>
      <c r="O4758" s="132"/>
    </row>
    <row r="4759" spans="2:15" ht="26.25" customHeight="1" x14ac:dyDescent="0.25">
      <c r="B4759" s="130"/>
      <c r="C4759" s="135"/>
      <c r="D4759" s="177"/>
      <c r="E4759" s="178"/>
      <c r="F4759" s="178"/>
      <c r="G4759" s="340"/>
      <c r="H4759" s="340"/>
      <c r="I4759" s="179"/>
      <c r="J4759" s="344"/>
      <c r="K4759" s="345"/>
      <c r="L4759" s="346"/>
      <c r="M4759" s="347"/>
      <c r="N4759" s="347"/>
      <c r="O4759" s="132"/>
    </row>
    <row r="4760" spans="2:15" ht="26.25" customHeight="1" x14ac:dyDescent="0.25">
      <c r="B4760" s="130"/>
      <c r="C4760" s="135"/>
      <c r="D4760" s="177"/>
      <c r="E4760" s="178"/>
      <c r="F4760" s="178"/>
      <c r="G4760" s="340"/>
      <c r="H4760" s="340"/>
      <c r="I4760" s="179"/>
      <c r="J4760" s="344"/>
      <c r="K4760" s="345"/>
      <c r="L4760" s="346"/>
      <c r="M4760" s="347"/>
      <c r="N4760" s="347"/>
      <c r="O4760" s="132"/>
    </row>
    <row r="4761" spans="2:15" ht="26.25" customHeight="1" x14ac:dyDescent="0.25">
      <c r="B4761" s="130"/>
      <c r="C4761" s="135"/>
      <c r="D4761" s="177"/>
      <c r="E4761" s="178"/>
      <c r="F4761" s="178"/>
      <c r="G4761" s="340"/>
      <c r="H4761" s="340"/>
      <c r="I4761" s="179"/>
      <c r="J4761" s="344"/>
      <c r="K4761" s="345"/>
      <c r="L4761" s="346"/>
      <c r="M4761" s="347"/>
      <c r="N4761" s="347"/>
      <c r="O4761" s="132"/>
    </row>
    <row r="4762" spans="2:15" ht="26.25" customHeight="1" x14ac:dyDescent="0.25">
      <c r="B4762" s="130"/>
      <c r="C4762" s="135"/>
      <c r="D4762" s="177"/>
      <c r="E4762" s="178"/>
      <c r="F4762" s="178"/>
      <c r="G4762" s="340"/>
      <c r="H4762" s="340"/>
      <c r="I4762" s="179"/>
      <c r="J4762" s="344"/>
      <c r="K4762" s="345"/>
      <c r="L4762" s="346"/>
      <c r="M4762" s="347"/>
      <c r="N4762" s="347"/>
      <c r="O4762" s="132"/>
    </row>
    <row r="4763" spans="2:15" ht="26.25" customHeight="1" x14ac:dyDescent="0.25">
      <c r="B4763" s="130"/>
      <c r="C4763" s="135"/>
      <c r="D4763" s="177"/>
      <c r="E4763" s="178"/>
      <c r="F4763" s="178"/>
      <c r="G4763" s="340"/>
      <c r="H4763" s="340"/>
      <c r="I4763" s="179"/>
      <c r="J4763" s="344"/>
      <c r="K4763" s="345"/>
      <c r="L4763" s="346"/>
      <c r="M4763" s="347"/>
      <c r="N4763" s="347"/>
      <c r="O4763" s="132"/>
    </row>
    <row r="4764" spans="2:15" ht="26.25" customHeight="1" x14ac:dyDescent="0.25">
      <c r="B4764" s="130"/>
      <c r="C4764" s="135"/>
      <c r="D4764" s="177"/>
      <c r="E4764" s="178"/>
      <c r="F4764" s="178"/>
      <c r="G4764" s="340"/>
      <c r="H4764" s="340"/>
      <c r="I4764" s="179"/>
      <c r="J4764" s="344"/>
      <c r="K4764" s="345"/>
      <c r="L4764" s="346"/>
      <c r="M4764" s="347"/>
      <c r="N4764" s="347"/>
      <c r="O4764" s="132"/>
    </row>
    <row r="4765" spans="2:15" ht="26.25" customHeight="1" x14ac:dyDescent="0.25">
      <c r="B4765" s="130"/>
      <c r="C4765" s="135"/>
      <c r="D4765" s="177"/>
      <c r="E4765" s="178"/>
      <c r="F4765" s="178"/>
      <c r="G4765" s="340"/>
      <c r="H4765" s="340"/>
      <c r="I4765" s="179"/>
      <c r="J4765" s="344"/>
      <c r="K4765" s="345"/>
      <c r="L4765" s="346"/>
      <c r="M4765" s="347"/>
      <c r="N4765" s="347"/>
      <c r="O4765" s="132"/>
    </row>
    <row r="4766" spans="2:15" ht="26.25" customHeight="1" x14ac:dyDescent="0.25">
      <c r="B4766" s="130"/>
      <c r="C4766" s="135"/>
      <c r="D4766" s="177"/>
      <c r="E4766" s="178"/>
      <c r="F4766" s="178"/>
      <c r="G4766" s="340"/>
      <c r="H4766" s="340"/>
      <c r="I4766" s="179"/>
      <c r="J4766" s="344"/>
      <c r="K4766" s="345"/>
      <c r="L4766" s="346"/>
      <c r="M4766" s="347"/>
      <c r="N4766" s="347"/>
      <c r="O4766" s="132"/>
    </row>
    <row r="4767" spans="2:15" ht="26.25" customHeight="1" x14ac:dyDescent="0.25">
      <c r="B4767" s="130"/>
      <c r="C4767" s="135"/>
      <c r="D4767" s="177"/>
      <c r="E4767" s="178"/>
      <c r="F4767" s="178"/>
      <c r="G4767" s="340"/>
      <c r="H4767" s="340"/>
      <c r="I4767" s="179"/>
      <c r="J4767" s="344"/>
      <c r="K4767" s="345"/>
      <c r="L4767" s="346"/>
      <c r="M4767" s="347"/>
      <c r="N4767" s="347"/>
      <c r="O4767" s="132"/>
    </row>
    <row r="4768" spans="2:15" ht="26.25" customHeight="1" x14ac:dyDescent="0.25">
      <c r="B4768" s="130"/>
      <c r="C4768" s="135"/>
      <c r="D4768" s="177"/>
      <c r="E4768" s="178"/>
      <c r="F4768" s="178"/>
      <c r="G4768" s="340"/>
      <c r="H4768" s="340"/>
      <c r="I4768" s="179"/>
      <c r="J4768" s="344"/>
      <c r="K4768" s="345"/>
      <c r="L4768" s="346"/>
      <c r="M4768" s="347"/>
      <c r="N4768" s="347"/>
      <c r="O4768" s="132"/>
    </row>
    <row r="4769" spans="2:15" ht="26.25" customHeight="1" x14ac:dyDescent="0.25">
      <c r="B4769" s="130"/>
      <c r="C4769" s="135"/>
      <c r="D4769" s="177"/>
      <c r="E4769" s="178"/>
      <c r="F4769" s="178"/>
      <c r="G4769" s="340"/>
      <c r="H4769" s="340"/>
      <c r="I4769" s="179"/>
      <c r="J4769" s="344"/>
      <c r="K4769" s="345"/>
      <c r="L4769" s="346"/>
      <c r="M4769" s="347"/>
      <c r="N4769" s="347"/>
      <c r="O4769" s="132"/>
    </row>
    <row r="4770" spans="2:15" ht="26.25" customHeight="1" x14ac:dyDescent="0.25">
      <c r="B4770" s="130"/>
      <c r="C4770" s="135"/>
      <c r="D4770" s="177"/>
      <c r="E4770" s="178"/>
      <c r="F4770" s="178"/>
      <c r="G4770" s="340"/>
      <c r="H4770" s="340"/>
      <c r="I4770" s="179"/>
      <c r="J4770" s="344"/>
      <c r="K4770" s="345"/>
      <c r="L4770" s="346"/>
      <c r="M4770" s="347"/>
      <c r="N4770" s="347"/>
      <c r="O4770" s="132"/>
    </row>
    <row r="4771" spans="2:15" ht="26.25" customHeight="1" x14ac:dyDescent="0.25">
      <c r="B4771" s="130"/>
      <c r="C4771" s="135"/>
      <c r="D4771" s="177"/>
      <c r="E4771" s="178"/>
      <c r="F4771" s="178"/>
      <c r="G4771" s="340"/>
      <c r="H4771" s="340"/>
      <c r="I4771" s="179"/>
      <c r="J4771" s="344"/>
      <c r="K4771" s="345"/>
      <c r="L4771" s="346"/>
      <c r="M4771" s="347"/>
      <c r="N4771" s="347"/>
      <c r="O4771" s="132"/>
    </row>
    <row r="4772" spans="2:15" ht="26.25" customHeight="1" x14ac:dyDescent="0.25">
      <c r="B4772" s="130"/>
      <c r="C4772" s="135"/>
      <c r="D4772" s="177"/>
      <c r="E4772" s="178"/>
      <c r="F4772" s="178"/>
      <c r="G4772" s="340"/>
      <c r="H4772" s="340"/>
      <c r="I4772" s="179"/>
      <c r="J4772" s="344"/>
      <c r="K4772" s="345"/>
      <c r="L4772" s="346"/>
      <c r="M4772" s="347"/>
      <c r="N4772" s="347"/>
      <c r="O4772" s="132"/>
    </row>
    <row r="4773" spans="2:15" ht="26.25" customHeight="1" x14ac:dyDescent="0.25">
      <c r="B4773" s="130"/>
      <c r="C4773" s="135"/>
      <c r="D4773" s="177"/>
      <c r="E4773" s="178"/>
      <c r="F4773" s="178"/>
      <c r="G4773" s="340"/>
      <c r="H4773" s="340"/>
      <c r="I4773" s="179"/>
      <c r="J4773" s="344"/>
      <c r="K4773" s="345"/>
      <c r="L4773" s="346"/>
      <c r="M4773" s="347"/>
      <c r="N4773" s="347"/>
      <c r="O4773" s="132"/>
    </row>
    <row r="4774" spans="2:15" ht="26.25" customHeight="1" x14ac:dyDescent="0.25">
      <c r="B4774" s="130"/>
      <c r="C4774" s="135"/>
      <c r="D4774" s="177"/>
      <c r="E4774" s="178"/>
      <c r="F4774" s="178"/>
      <c r="G4774" s="340"/>
      <c r="H4774" s="340"/>
      <c r="I4774" s="179"/>
      <c r="J4774" s="344"/>
      <c r="K4774" s="345"/>
      <c r="L4774" s="346"/>
      <c r="M4774" s="347"/>
      <c r="N4774" s="347"/>
      <c r="O4774" s="132"/>
    </row>
    <row r="4775" spans="2:15" ht="26.25" customHeight="1" x14ac:dyDescent="0.25">
      <c r="B4775" s="130"/>
      <c r="C4775" s="135"/>
      <c r="D4775" s="177"/>
      <c r="E4775" s="178"/>
      <c r="F4775" s="178"/>
      <c r="G4775" s="340"/>
      <c r="H4775" s="340"/>
      <c r="I4775" s="179"/>
      <c r="J4775" s="344"/>
      <c r="K4775" s="345"/>
      <c r="L4775" s="346"/>
      <c r="M4775" s="347"/>
      <c r="N4775" s="347"/>
      <c r="O4775" s="132"/>
    </row>
    <row r="4776" spans="2:15" ht="26.25" customHeight="1" x14ac:dyDescent="0.25">
      <c r="B4776" s="130"/>
      <c r="C4776" s="135"/>
      <c r="D4776" s="177"/>
      <c r="E4776" s="178"/>
      <c r="F4776" s="178"/>
      <c r="G4776" s="340"/>
      <c r="H4776" s="340"/>
      <c r="I4776" s="179"/>
      <c r="J4776" s="344"/>
      <c r="K4776" s="345"/>
      <c r="L4776" s="346"/>
      <c r="M4776" s="347"/>
      <c r="N4776" s="347"/>
      <c r="O4776" s="132"/>
    </row>
    <row r="4777" spans="2:15" ht="26.25" customHeight="1" x14ac:dyDescent="0.25">
      <c r="B4777" s="130"/>
      <c r="C4777" s="135"/>
      <c r="D4777" s="177"/>
      <c r="E4777" s="178"/>
      <c r="F4777" s="178"/>
      <c r="G4777" s="340"/>
      <c r="H4777" s="340"/>
      <c r="I4777" s="179"/>
      <c r="J4777" s="344"/>
      <c r="K4777" s="345"/>
      <c r="L4777" s="346"/>
      <c r="M4777" s="347"/>
      <c r="N4777" s="347"/>
      <c r="O4777" s="132"/>
    </row>
    <row r="4778" spans="2:15" ht="26.25" customHeight="1" x14ac:dyDescent="0.25">
      <c r="B4778" s="130"/>
      <c r="C4778" s="135"/>
      <c r="D4778" s="177"/>
      <c r="E4778" s="178"/>
      <c r="F4778" s="178"/>
      <c r="G4778" s="340"/>
      <c r="H4778" s="340"/>
      <c r="I4778" s="179"/>
      <c r="J4778" s="344"/>
      <c r="K4778" s="345"/>
      <c r="L4778" s="346"/>
      <c r="M4778" s="347"/>
      <c r="N4778" s="347"/>
      <c r="O4778" s="132"/>
    </row>
    <row r="4779" spans="2:15" ht="26.25" customHeight="1" x14ac:dyDescent="0.25">
      <c r="B4779" s="130"/>
      <c r="C4779" s="135"/>
      <c r="D4779" s="177"/>
      <c r="E4779" s="178"/>
      <c r="F4779" s="178"/>
      <c r="G4779" s="340"/>
      <c r="H4779" s="340"/>
      <c r="I4779" s="179"/>
      <c r="J4779" s="344"/>
      <c r="K4779" s="345"/>
      <c r="L4779" s="346"/>
      <c r="M4779" s="347"/>
      <c r="N4779" s="347"/>
      <c r="O4779" s="132"/>
    </row>
    <row r="4780" spans="2:15" ht="26.25" customHeight="1" x14ac:dyDescent="0.25">
      <c r="B4780" s="130"/>
      <c r="C4780" s="135"/>
      <c r="D4780" s="177"/>
      <c r="E4780" s="178"/>
      <c r="F4780" s="178"/>
      <c r="G4780" s="340"/>
      <c r="H4780" s="340"/>
      <c r="I4780" s="179"/>
      <c r="J4780" s="344"/>
      <c r="K4780" s="345"/>
      <c r="L4780" s="346"/>
      <c r="M4780" s="347"/>
      <c r="N4780" s="347"/>
      <c r="O4780" s="132"/>
    </row>
    <row r="4781" spans="2:15" ht="26.25" customHeight="1" x14ac:dyDescent="0.25">
      <c r="B4781" s="130"/>
      <c r="C4781" s="135"/>
      <c r="D4781" s="177"/>
      <c r="E4781" s="178"/>
      <c r="F4781" s="178"/>
      <c r="G4781" s="340"/>
      <c r="H4781" s="340"/>
      <c r="I4781" s="179"/>
      <c r="J4781" s="344"/>
      <c r="K4781" s="345"/>
      <c r="L4781" s="346"/>
      <c r="M4781" s="347"/>
      <c r="N4781" s="347"/>
      <c r="O4781" s="132"/>
    </row>
    <row r="4782" spans="2:15" ht="26.25" customHeight="1" x14ac:dyDescent="0.25">
      <c r="B4782" s="130"/>
      <c r="C4782" s="135"/>
      <c r="D4782" s="177"/>
      <c r="E4782" s="178"/>
      <c r="F4782" s="178"/>
      <c r="G4782" s="340"/>
      <c r="H4782" s="340"/>
      <c r="I4782" s="179"/>
      <c r="J4782" s="344"/>
      <c r="K4782" s="345"/>
      <c r="L4782" s="346"/>
      <c r="M4782" s="347"/>
      <c r="N4782" s="347"/>
      <c r="O4782" s="132"/>
    </row>
    <row r="4783" spans="2:15" ht="26.25" customHeight="1" x14ac:dyDescent="0.25">
      <c r="B4783" s="130"/>
      <c r="C4783" s="135"/>
      <c r="D4783" s="177"/>
      <c r="E4783" s="178"/>
      <c r="F4783" s="178"/>
      <c r="G4783" s="340"/>
      <c r="H4783" s="340"/>
      <c r="I4783" s="179"/>
      <c r="J4783" s="344"/>
      <c r="K4783" s="345"/>
      <c r="L4783" s="346"/>
      <c r="M4783" s="347"/>
      <c r="N4783" s="347"/>
      <c r="O4783" s="132"/>
    </row>
    <row r="4784" spans="2:15" ht="26.25" customHeight="1" x14ac:dyDescent="0.25">
      <c r="B4784" s="130"/>
      <c r="C4784" s="135"/>
      <c r="D4784" s="177"/>
      <c r="E4784" s="178"/>
      <c r="F4784" s="178"/>
      <c r="G4784" s="340"/>
      <c r="H4784" s="340"/>
      <c r="I4784" s="179"/>
      <c r="J4784" s="344"/>
      <c r="K4784" s="345"/>
      <c r="L4784" s="346"/>
      <c r="M4784" s="347"/>
      <c r="N4784" s="347"/>
      <c r="O4784" s="132"/>
    </row>
    <row r="4785" spans="2:15" ht="26.25" customHeight="1" x14ac:dyDescent="0.25">
      <c r="B4785" s="130"/>
      <c r="C4785" s="135"/>
      <c r="D4785" s="177"/>
      <c r="E4785" s="178"/>
      <c r="F4785" s="178"/>
      <c r="G4785" s="340"/>
      <c r="H4785" s="340"/>
      <c r="I4785" s="179"/>
      <c r="J4785" s="344"/>
      <c r="K4785" s="345"/>
      <c r="L4785" s="346"/>
      <c r="M4785" s="347"/>
      <c r="N4785" s="347"/>
      <c r="O4785" s="132"/>
    </row>
    <row r="4786" spans="2:15" ht="26.25" customHeight="1" x14ac:dyDescent="0.25">
      <c r="B4786" s="130"/>
      <c r="C4786" s="135"/>
      <c r="D4786" s="177"/>
      <c r="E4786" s="178"/>
      <c r="F4786" s="178"/>
      <c r="G4786" s="340"/>
      <c r="H4786" s="340"/>
      <c r="I4786" s="179"/>
      <c r="J4786" s="344"/>
      <c r="K4786" s="345"/>
      <c r="L4786" s="346"/>
      <c r="M4786" s="347"/>
      <c r="N4786" s="347"/>
      <c r="O4786" s="132"/>
    </row>
    <row r="4787" spans="2:15" ht="26.25" customHeight="1" x14ac:dyDescent="0.25">
      <c r="B4787" s="130"/>
      <c r="C4787" s="135"/>
      <c r="D4787" s="177"/>
      <c r="E4787" s="178"/>
      <c r="F4787" s="178"/>
      <c r="G4787" s="340"/>
      <c r="H4787" s="340"/>
      <c r="I4787" s="179"/>
      <c r="J4787" s="344"/>
      <c r="K4787" s="345"/>
      <c r="L4787" s="346"/>
      <c r="M4787" s="347"/>
      <c r="N4787" s="347"/>
      <c r="O4787" s="132"/>
    </row>
    <row r="4788" spans="2:15" ht="26.25" customHeight="1" x14ac:dyDescent="0.25">
      <c r="B4788" s="130"/>
      <c r="C4788" s="135"/>
      <c r="D4788" s="177"/>
      <c r="E4788" s="178"/>
      <c r="F4788" s="178"/>
      <c r="G4788" s="340"/>
      <c r="H4788" s="340"/>
      <c r="I4788" s="179"/>
      <c r="J4788" s="344"/>
      <c r="K4788" s="345"/>
      <c r="L4788" s="346"/>
      <c r="M4788" s="347"/>
      <c r="N4788" s="347"/>
      <c r="O4788" s="132"/>
    </row>
    <row r="4789" spans="2:15" ht="26.25" customHeight="1" x14ac:dyDescent="0.25">
      <c r="B4789" s="130"/>
      <c r="C4789" s="135"/>
      <c r="D4789" s="177"/>
      <c r="E4789" s="178"/>
      <c r="F4789" s="178"/>
      <c r="G4789" s="340"/>
      <c r="H4789" s="340"/>
      <c r="I4789" s="179"/>
      <c r="J4789" s="344"/>
      <c r="K4789" s="345"/>
      <c r="L4789" s="346"/>
      <c r="M4789" s="347"/>
      <c r="N4789" s="347"/>
      <c r="O4789" s="132"/>
    </row>
    <row r="4790" spans="2:15" ht="26.25" customHeight="1" x14ac:dyDescent="0.25">
      <c r="B4790" s="130"/>
      <c r="C4790" s="135"/>
      <c r="D4790" s="177"/>
      <c r="E4790" s="178"/>
      <c r="F4790" s="178"/>
      <c r="G4790" s="340"/>
      <c r="H4790" s="340"/>
      <c r="I4790" s="179"/>
      <c r="J4790" s="344"/>
      <c r="K4790" s="345"/>
      <c r="L4790" s="346"/>
      <c r="M4790" s="347"/>
      <c r="N4790" s="347"/>
      <c r="O4790" s="132"/>
    </row>
    <row r="4791" spans="2:15" ht="26.25" customHeight="1" x14ac:dyDescent="0.25">
      <c r="B4791" s="130"/>
      <c r="C4791" s="135"/>
      <c r="D4791" s="177"/>
      <c r="E4791" s="178"/>
      <c r="F4791" s="178"/>
      <c r="G4791" s="340"/>
      <c r="H4791" s="340"/>
      <c r="I4791" s="179"/>
      <c r="J4791" s="344"/>
      <c r="K4791" s="345"/>
      <c r="L4791" s="346"/>
      <c r="M4791" s="347"/>
      <c r="N4791" s="347"/>
      <c r="O4791" s="132"/>
    </row>
    <row r="4792" spans="2:15" ht="26.25" customHeight="1" x14ac:dyDescent="0.25">
      <c r="B4792" s="130"/>
      <c r="C4792" s="135"/>
      <c r="D4792" s="177"/>
      <c r="E4792" s="178"/>
      <c r="F4792" s="178"/>
      <c r="G4792" s="340"/>
      <c r="H4792" s="340"/>
      <c r="I4792" s="179"/>
      <c r="J4792" s="344"/>
      <c r="K4792" s="345"/>
      <c r="L4792" s="346"/>
      <c r="M4792" s="347"/>
      <c r="N4792" s="347"/>
      <c r="O4792" s="132"/>
    </row>
    <row r="4793" spans="2:15" ht="26.25" customHeight="1" x14ac:dyDescent="0.25">
      <c r="B4793" s="130"/>
      <c r="C4793" s="135"/>
      <c r="D4793" s="177"/>
      <c r="E4793" s="178"/>
      <c r="F4793" s="178"/>
      <c r="G4793" s="340"/>
      <c r="H4793" s="340"/>
      <c r="I4793" s="179"/>
      <c r="J4793" s="344"/>
      <c r="K4793" s="345"/>
      <c r="L4793" s="346"/>
      <c r="M4793" s="347"/>
      <c r="N4793" s="347"/>
      <c r="O4793" s="132"/>
    </row>
    <row r="4794" spans="2:15" ht="26.25" customHeight="1" x14ac:dyDescent="0.25">
      <c r="B4794" s="130"/>
      <c r="C4794" s="135"/>
      <c r="D4794" s="177"/>
      <c r="E4794" s="178"/>
      <c r="F4794" s="178"/>
      <c r="G4794" s="340"/>
      <c r="H4794" s="340"/>
      <c r="I4794" s="179"/>
      <c r="J4794" s="344"/>
      <c r="K4794" s="345"/>
      <c r="L4794" s="346"/>
      <c r="M4794" s="347"/>
      <c r="N4794" s="347"/>
      <c r="O4794" s="132"/>
    </row>
    <row r="4795" spans="2:15" ht="26.25" customHeight="1" x14ac:dyDescent="0.25">
      <c r="B4795" s="130"/>
      <c r="C4795" s="135"/>
      <c r="D4795" s="177"/>
      <c r="E4795" s="178"/>
      <c r="F4795" s="178"/>
      <c r="G4795" s="340"/>
      <c r="H4795" s="340"/>
      <c r="I4795" s="179"/>
      <c r="J4795" s="344"/>
      <c r="K4795" s="345"/>
      <c r="L4795" s="346"/>
      <c r="M4795" s="347"/>
      <c r="N4795" s="347"/>
      <c r="O4795" s="132"/>
    </row>
    <row r="4796" spans="2:15" ht="26.25" customHeight="1" x14ac:dyDescent="0.25">
      <c r="B4796" s="130"/>
      <c r="C4796" s="135"/>
      <c r="D4796" s="177"/>
      <c r="E4796" s="178"/>
      <c r="F4796" s="178"/>
      <c r="G4796" s="340"/>
      <c r="H4796" s="340"/>
      <c r="I4796" s="179"/>
      <c r="J4796" s="344"/>
      <c r="K4796" s="345"/>
      <c r="L4796" s="346"/>
      <c r="M4796" s="347"/>
      <c r="N4796" s="347"/>
      <c r="O4796" s="132"/>
    </row>
    <row r="4797" spans="2:15" ht="26.25" customHeight="1" x14ac:dyDescent="0.25">
      <c r="B4797" s="130"/>
      <c r="C4797" s="135"/>
      <c r="D4797" s="177"/>
      <c r="E4797" s="178"/>
      <c r="F4797" s="178"/>
      <c r="G4797" s="340"/>
      <c r="H4797" s="340"/>
      <c r="I4797" s="179"/>
      <c r="J4797" s="344"/>
      <c r="K4797" s="345"/>
      <c r="L4797" s="346"/>
      <c r="M4797" s="347"/>
      <c r="N4797" s="347"/>
      <c r="O4797" s="132"/>
    </row>
    <row r="4798" spans="2:15" ht="26.25" customHeight="1" x14ac:dyDescent="0.25">
      <c r="B4798" s="130"/>
      <c r="C4798" s="135"/>
      <c r="D4798" s="177"/>
      <c r="E4798" s="178"/>
      <c r="F4798" s="178"/>
      <c r="G4798" s="340"/>
      <c r="H4798" s="340"/>
      <c r="I4798" s="179"/>
      <c r="J4798" s="344"/>
      <c r="K4798" s="345"/>
      <c r="L4798" s="346"/>
      <c r="M4798" s="347"/>
      <c r="N4798" s="347"/>
      <c r="O4798" s="132"/>
    </row>
    <row r="4799" spans="2:15" ht="26.25" customHeight="1" x14ac:dyDescent="0.25">
      <c r="B4799" s="130"/>
      <c r="C4799" s="135"/>
      <c r="D4799" s="177"/>
      <c r="E4799" s="178"/>
      <c r="F4799" s="178"/>
      <c r="G4799" s="340"/>
      <c r="H4799" s="340"/>
      <c r="I4799" s="179"/>
      <c r="J4799" s="344"/>
      <c r="K4799" s="345"/>
      <c r="L4799" s="346"/>
      <c r="M4799" s="347"/>
      <c r="N4799" s="347"/>
      <c r="O4799" s="132"/>
    </row>
    <row r="4800" spans="2:15" ht="26.25" customHeight="1" x14ac:dyDescent="0.25">
      <c r="B4800" s="130"/>
      <c r="C4800" s="135"/>
      <c r="D4800" s="177"/>
      <c r="E4800" s="178"/>
      <c r="F4800" s="178"/>
      <c r="G4800" s="340"/>
      <c r="H4800" s="340"/>
      <c r="I4800" s="179"/>
      <c r="J4800" s="344"/>
      <c r="K4800" s="345"/>
      <c r="L4800" s="346"/>
      <c r="M4800" s="347"/>
      <c r="N4800" s="347"/>
      <c r="O4800" s="132"/>
    </row>
    <row r="4801" spans="2:15" ht="26.25" customHeight="1" x14ac:dyDescent="0.25">
      <c r="B4801" s="130"/>
      <c r="C4801" s="135"/>
      <c r="D4801" s="177"/>
      <c r="E4801" s="178"/>
      <c r="F4801" s="178"/>
      <c r="G4801" s="340"/>
      <c r="H4801" s="340"/>
      <c r="I4801" s="179"/>
      <c r="J4801" s="344"/>
      <c r="K4801" s="345"/>
      <c r="L4801" s="346"/>
      <c r="M4801" s="347"/>
      <c r="N4801" s="347"/>
      <c r="O4801" s="132"/>
    </row>
    <row r="4802" spans="2:15" ht="26.25" customHeight="1" x14ac:dyDescent="0.25">
      <c r="B4802" s="130"/>
      <c r="C4802" s="135"/>
      <c r="D4802" s="177"/>
      <c r="E4802" s="178"/>
      <c r="F4802" s="178"/>
      <c r="G4802" s="340"/>
      <c r="H4802" s="340"/>
      <c r="I4802" s="179"/>
      <c r="J4802" s="344"/>
      <c r="K4802" s="345"/>
      <c r="L4802" s="346"/>
      <c r="M4802" s="347"/>
      <c r="N4802" s="347"/>
      <c r="O4802" s="132"/>
    </row>
    <row r="4803" spans="2:15" ht="26.25" customHeight="1" x14ac:dyDescent="0.25">
      <c r="B4803" s="130"/>
      <c r="C4803" s="135"/>
      <c r="D4803" s="177"/>
      <c r="E4803" s="178"/>
      <c r="F4803" s="178"/>
      <c r="G4803" s="340"/>
      <c r="H4803" s="340"/>
      <c r="I4803" s="179"/>
      <c r="J4803" s="344"/>
      <c r="K4803" s="345"/>
      <c r="L4803" s="346"/>
      <c r="M4803" s="347"/>
      <c r="N4803" s="347"/>
      <c r="O4803" s="132"/>
    </row>
    <row r="4804" spans="2:15" ht="26.25" customHeight="1" x14ac:dyDescent="0.25">
      <c r="B4804" s="130"/>
      <c r="C4804" s="135"/>
      <c r="D4804" s="177"/>
      <c r="E4804" s="178"/>
      <c r="F4804" s="178"/>
      <c r="G4804" s="340"/>
      <c r="H4804" s="340"/>
      <c r="I4804" s="179"/>
      <c r="J4804" s="344"/>
      <c r="K4804" s="345"/>
      <c r="L4804" s="346"/>
      <c r="M4804" s="347"/>
      <c r="N4804" s="347"/>
      <c r="O4804" s="132"/>
    </row>
    <row r="4805" spans="2:15" ht="26.25" customHeight="1" x14ac:dyDescent="0.25">
      <c r="B4805" s="130"/>
      <c r="C4805" s="135"/>
      <c r="D4805" s="177"/>
      <c r="E4805" s="178"/>
      <c r="F4805" s="178"/>
      <c r="G4805" s="340"/>
      <c r="H4805" s="340"/>
      <c r="I4805" s="179"/>
      <c r="J4805" s="344"/>
      <c r="K4805" s="345"/>
      <c r="L4805" s="346"/>
      <c r="M4805" s="347"/>
      <c r="N4805" s="347"/>
      <c r="O4805" s="132"/>
    </row>
    <row r="4806" spans="2:15" ht="26.25" customHeight="1" x14ac:dyDescent="0.25">
      <c r="B4806" s="130"/>
      <c r="C4806" s="135"/>
      <c r="D4806" s="177"/>
      <c r="E4806" s="178"/>
      <c r="F4806" s="178"/>
      <c r="G4806" s="340"/>
      <c r="H4806" s="340"/>
      <c r="I4806" s="179"/>
      <c r="J4806" s="344"/>
      <c r="K4806" s="345"/>
      <c r="L4806" s="346"/>
      <c r="M4806" s="347"/>
      <c r="N4806" s="347"/>
      <c r="O4806" s="132"/>
    </row>
    <row r="4807" spans="2:15" ht="26.25" customHeight="1" x14ac:dyDescent="0.25">
      <c r="B4807" s="130"/>
      <c r="C4807" s="135"/>
      <c r="D4807" s="177"/>
      <c r="E4807" s="178"/>
      <c r="F4807" s="178"/>
      <c r="G4807" s="340"/>
      <c r="H4807" s="340"/>
      <c r="I4807" s="179"/>
      <c r="J4807" s="344"/>
      <c r="K4807" s="345"/>
      <c r="L4807" s="346"/>
      <c r="M4807" s="347"/>
      <c r="N4807" s="347"/>
      <c r="O4807" s="132"/>
    </row>
    <row r="4808" spans="2:15" ht="26.25" customHeight="1" x14ac:dyDescent="0.25">
      <c r="B4808" s="130"/>
      <c r="C4808" s="135"/>
      <c r="D4808" s="177"/>
      <c r="E4808" s="178"/>
      <c r="F4808" s="178"/>
      <c r="G4808" s="340"/>
      <c r="H4808" s="340"/>
      <c r="I4808" s="179"/>
      <c r="J4808" s="344"/>
      <c r="K4808" s="345"/>
      <c r="L4808" s="346"/>
      <c r="M4808" s="347"/>
      <c r="N4808" s="347"/>
      <c r="O4808" s="132"/>
    </row>
    <row r="4809" spans="2:15" ht="26.25" customHeight="1" x14ac:dyDescent="0.25">
      <c r="B4809" s="130"/>
      <c r="C4809" s="135"/>
      <c r="D4809" s="177"/>
      <c r="E4809" s="178"/>
      <c r="F4809" s="178"/>
      <c r="G4809" s="340"/>
      <c r="H4809" s="340"/>
      <c r="I4809" s="179"/>
      <c r="J4809" s="344"/>
      <c r="K4809" s="345"/>
      <c r="L4809" s="346"/>
      <c r="M4809" s="347"/>
      <c r="N4809" s="347"/>
      <c r="O4809" s="132"/>
    </row>
    <row r="4810" spans="2:15" ht="26.25" customHeight="1" x14ac:dyDescent="0.25">
      <c r="B4810" s="130"/>
      <c r="C4810" s="135"/>
      <c r="D4810" s="177"/>
      <c r="E4810" s="178"/>
      <c r="F4810" s="178"/>
      <c r="G4810" s="340"/>
      <c r="H4810" s="340"/>
      <c r="I4810" s="179"/>
      <c r="J4810" s="344"/>
      <c r="K4810" s="345"/>
      <c r="L4810" s="346"/>
      <c r="M4810" s="347"/>
      <c r="N4810" s="347"/>
      <c r="O4810" s="132"/>
    </row>
    <row r="4811" spans="2:15" ht="26.25" customHeight="1" x14ac:dyDescent="0.25">
      <c r="B4811" s="130"/>
      <c r="C4811" s="135"/>
      <c r="D4811" s="177"/>
      <c r="E4811" s="178"/>
      <c r="F4811" s="178"/>
      <c r="G4811" s="340"/>
      <c r="H4811" s="340"/>
      <c r="I4811" s="179"/>
      <c r="J4811" s="344"/>
      <c r="K4811" s="345"/>
      <c r="L4811" s="346"/>
      <c r="M4811" s="347"/>
      <c r="N4811" s="347"/>
      <c r="O4811" s="132"/>
    </row>
    <row r="4812" spans="2:15" ht="26.25" customHeight="1" x14ac:dyDescent="0.25">
      <c r="B4812" s="130"/>
      <c r="C4812" s="135"/>
      <c r="D4812" s="177"/>
      <c r="E4812" s="178"/>
      <c r="F4812" s="178"/>
      <c r="G4812" s="340"/>
      <c r="H4812" s="340"/>
      <c r="I4812" s="179"/>
      <c r="J4812" s="344"/>
      <c r="K4812" s="345"/>
      <c r="L4812" s="346"/>
      <c r="M4812" s="347"/>
      <c r="N4812" s="347"/>
      <c r="O4812" s="132"/>
    </row>
    <row r="4813" spans="2:15" ht="26.25" customHeight="1" x14ac:dyDescent="0.25">
      <c r="B4813" s="130"/>
      <c r="C4813" s="135"/>
      <c r="D4813" s="177"/>
      <c r="E4813" s="178"/>
      <c r="F4813" s="178"/>
      <c r="G4813" s="340"/>
      <c r="H4813" s="340"/>
      <c r="I4813" s="179"/>
      <c r="J4813" s="344"/>
      <c r="K4813" s="345"/>
      <c r="L4813" s="346"/>
      <c r="M4813" s="347"/>
      <c r="N4813" s="347"/>
      <c r="O4813" s="132"/>
    </row>
    <row r="4814" spans="2:15" ht="26.25" customHeight="1" x14ac:dyDescent="0.25">
      <c r="B4814" s="130"/>
      <c r="C4814" s="135"/>
      <c r="D4814" s="177"/>
      <c r="E4814" s="178"/>
      <c r="F4814" s="178"/>
      <c r="G4814" s="340"/>
      <c r="H4814" s="340"/>
      <c r="I4814" s="179"/>
      <c r="J4814" s="344"/>
      <c r="K4814" s="345"/>
      <c r="L4814" s="346"/>
      <c r="M4814" s="347"/>
      <c r="N4814" s="347"/>
      <c r="O4814" s="132"/>
    </row>
    <row r="4815" spans="2:15" ht="26.25" customHeight="1" x14ac:dyDescent="0.25">
      <c r="B4815" s="130"/>
      <c r="C4815" s="135"/>
      <c r="D4815" s="177"/>
      <c r="E4815" s="178"/>
      <c r="F4815" s="178"/>
      <c r="G4815" s="340"/>
      <c r="H4815" s="340"/>
      <c r="I4815" s="179"/>
      <c r="J4815" s="344"/>
      <c r="K4815" s="345"/>
      <c r="L4815" s="346"/>
      <c r="M4815" s="347"/>
      <c r="N4815" s="347"/>
      <c r="O4815" s="132"/>
    </row>
    <row r="4816" spans="2:15" ht="26.25" customHeight="1" x14ac:dyDescent="0.25">
      <c r="B4816" s="130"/>
      <c r="C4816" s="135"/>
      <c r="D4816" s="177"/>
      <c r="E4816" s="178"/>
      <c r="F4816" s="178"/>
      <c r="G4816" s="340"/>
      <c r="H4816" s="340"/>
      <c r="I4816" s="179"/>
      <c r="J4816" s="344"/>
      <c r="K4816" s="345"/>
      <c r="L4816" s="346"/>
      <c r="M4816" s="347"/>
      <c r="N4816" s="347"/>
      <c r="O4816" s="132"/>
    </row>
    <row r="4817" spans="2:15" ht="26.25" customHeight="1" x14ac:dyDescent="0.25">
      <c r="B4817" s="130"/>
      <c r="C4817" s="135"/>
      <c r="D4817" s="177"/>
      <c r="E4817" s="178"/>
      <c r="F4817" s="178"/>
      <c r="G4817" s="340"/>
      <c r="H4817" s="340"/>
      <c r="I4817" s="179"/>
      <c r="J4817" s="344"/>
      <c r="K4817" s="345"/>
      <c r="L4817" s="346"/>
      <c r="M4817" s="347"/>
      <c r="N4817" s="347"/>
      <c r="O4817" s="132"/>
    </row>
    <row r="4818" spans="2:15" ht="26.25" customHeight="1" x14ac:dyDescent="0.25">
      <c r="B4818" s="130"/>
      <c r="C4818" s="135"/>
      <c r="D4818" s="177"/>
      <c r="E4818" s="178"/>
      <c r="F4818" s="178"/>
      <c r="G4818" s="340"/>
      <c r="H4818" s="340"/>
      <c r="I4818" s="179"/>
      <c r="J4818" s="344"/>
      <c r="K4818" s="345"/>
      <c r="L4818" s="346"/>
      <c r="M4818" s="347"/>
      <c r="N4818" s="347"/>
      <c r="O4818" s="132"/>
    </row>
    <row r="4819" spans="2:15" ht="26.25" customHeight="1" x14ac:dyDescent="0.25">
      <c r="B4819" s="130"/>
      <c r="C4819" s="135"/>
      <c r="D4819" s="177"/>
      <c r="E4819" s="178"/>
      <c r="F4819" s="178"/>
      <c r="G4819" s="340"/>
      <c r="H4819" s="340"/>
      <c r="I4819" s="179"/>
      <c r="J4819" s="344"/>
      <c r="K4819" s="345"/>
      <c r="L4819" s="346"/>
      <c r="M4819" s="347"/>
      <c r="N4819" s="347"/>
      <c r="O4819" s="132"/>
    </row>
    <row r="4820" spans="2:15" ht="26.25" customHeight="1" x14ac:dyDescent="0.25">
      <c r="B4820" s="130"/>
      <c r="C4820" s="135"/>
      <c r="D4820" s="177"/>
      <c r="E4820" s="178"/>
      <c r="F4820" s="178"/>
      <c r="G4820" s="340"/>
      <c r="H4820" s="340"/>
      <c r="I4820" s="179"/>
      <c r="J4820" s="344"/>
      <c r="K4820" s="345"/>
      <c r="L4820" s="346"/>
      <c r="M4820" s="347"/>
      <c r="N4820" s="347"/>
      <c r="O4820" s="132"/>
    </row>
    <row r="4821" spans="2:15" ht="26.25" customHeight="1" x14ac:dyDescent="0.25">
      <c r="B4821" s="130"/>
      <c r="C4821" s="135"/>
      <c r="D4821" s="177"/>
      <c r="E4821" s="178"/>
      <c r="F4821" s="178"/>
      <c r="G4821" s="340"/>
      <c r="H4821" s="340"/>
      <c r="I4821" s="179"/>
      <c r="J4821" s="344"/>
      <c r="K4821" s="345"/>
      <c r="L4821" s="346"/>
      <c r="M4821" s="347"/>
      <c r="N4821" s="347"/>
      <c r="O4821" s="132"/>
    </row>
    <row r="4822" spans="2:15" ht="26.25" customHeight="1" x14ac:dyDescent="0.25">
      <c r="B4822" s="130"/>
      <c r="C4822" s="135"/>
      <c r="D4822" s="177"/>
      <c r="E4822" s="178"/>
      <c r="F4822" s="178"/>
      <c r="G4822" s="340"/>
      <c r="H4822" s="340"/>
      <c r="I4822" s="179"/>
      <c r="J4822" s="344"/>
      <c r="K4822" s="345"/>
      <c r="L4822" s="346"/>
      <c r="M4822" s="347"/>
      <c r="N4822" s="347"/>
      <c r="O4822" s="132"/>
    </row>
    <row r="4823" spans="2:15" ht="26.25" customHeight="1" x14ac:dyDescent="0.25">
      <c r="B4823" s="130"/>
      <c r="C4823" s="135"/>
      <c r="D4823" s="177"/>
      <c r="E4823" s="178"/>
      <c r="F4823" s="178"/>
      <c r="G4823" s="340"/>
      <c r="H4823" s="340"/>
      <c r="I4823" s="179"/>
      <c r="J4823" s="344"/>
      <c r="K4823" s="345"/>
      <c r="L4823" s="346"/>
      <c r="M4823" s="347"/>
      <c r="N4823" s="347"/>
      <c r="O4823" s="132"/>
    </row>
    <row r="4824" spans="2:15" ht="26.25" customHeight="1" x14ac:dyDescent="0.25">
      <c r="B4824" s="130"/>
      <c r="C4824" s="135"/>
      <c r="D4824" s="177"/>
      <c r="E4824" s="178"/>
      <c r="F4824" s="178"/>
      <c r="G4824" s="340"/>
      <c r="H4824" s="340"/>
      <c r="I4824" s="179"/>
      <c r="J4824" s="344"/>
      <c r="K4824" s="345"/>
      <c r="L4824" s="346"/>
      <c r="M4824" s="347"/>
      <c r="N4824" s="347"/>
      <c r="O4824" s="132"/>
    </row>
    <row r="4825" spans="2:15" ht="26.25" customHeight="1" x14ac:dyDescent="0.25">
      <c r="B4825" s="130"/>
      <c r="C4825" s="135"/>
      <c r="D4825" s="177"/>
      <c r="E4825" s="178"/>
      <c r="F4825" s="178"/>
      <c r="G4825" s="340"/>
      <c r="H4825" s="340"/>
      <c r="I4825" s="179"/>
      <c r="J4825" s="344"/>
      <c r="K4825" s="345"/>
      <c r="L4825" s="346"/>
      <c r="M4825" s="347"/>
      <c r="N4825" s="347"/>
      <c r="O4825" s="132"/>
    </row>
    <row r="4826" spans="2:15" ht="26.25" customHeight="1" x14ac:dyDescent="0.25">
      <c r="B4826" s="130"/>
      <c r="C4826" s="135"/>
      <c r="D4826" s="177"/>
      <c r="E4826" s="178"/>
      <c r="F4826" s="178"/>
      <c r="G4826" s="340"/>
      <c r="H4826" s="340"/>
      <c r="I4826" s="179"/>
      <c r="J4826" s="344"/>
      <c r="K4826" s="345"/>
      <c r="L4826" s="346"/>
      <c r="M4826" s="347"/>
      <c r="N4826" s="347"/>
      <c r="O4826" s="132"/>
    </row>
    <row r="4827" spans="2:15" ht="26.25" customHeight="1" x14ac:dyDescent="0.25">
      <c r="B4827" s="130"/>
      <c r="C4827" s="135"/>
      <c r="D4827" s="177"/>
      <c r="E4827" s="178"/>
      <c r="F4827" s="178"/>
      <c r="G4827" s="340"/>
      <c r="H4827" s="340"/>
      <c r="I4827" s="179"/>
      <c r="J4827" s="344"/>
      <c r="K4827" s="345"/>
      <c r="L4827" s="346"/>
      <c r="M4827" s="347"/>
      <c r="N4827" s="347"/>
      <c r="O4827" s="132"/>
    </row>
    <row r="4828" spans="2:15" ht="26.25" customHeight="1" x14ac:dyDescent="0.25">
      <c r="B4828" s="130"/>
      <c r="C4828" s="135"/>
      <c r="D4828" s="177"/>
      <c r="E4828" s="178"/>
      <c r="F4828" s="178"/>
      <c r="G4828" s="340"/>
      <c r="H4828" s="340"/>
      <c r="I4828" s="179"/>
      <c r="J4828" s="344"/>
      <c r="K4828" s="345"/>
      <c r="L4828" s="346"/>
      <c r="M4828" s="347"/>
      <c r="N4828" s="347"/>
      <c r="O4828" s="132"/>
    </row>
    <row r="4829" spans="2:15" ht="26.25" customHeight="1" x14ac:dyDescent="0.25">
      <c r="B4829" s="130"/>
      <c r="C4829" s="135"/>
      <c r="D4829" s="177"/>
      <c r="E4829" s="178"/>
      <c r="F4829" s="178"/>
      <c r="G4829" s="340"/>
      <c r="H4829" s="340"/>
      <c r="I4829" s="179"/>
      <c r="J4829" s="344"/>
      <c r="K4829" s="345"/>
      <c r="L4829" s="346"/>
      <c r="M4829" s="347"/>
      <c r="N4829" s="347"/>
      <c r="O4829" s="132"/>
    </row>
    <row r="4830" spans="2:15" ht="26.25" customHeight="1" x14ac:dyDescent="0.25">
      <c r="B4830" s="130"/>
      <c r="C4830" s="135"/>
      <c r="D4830" s="177"/>
      <c r="E4830" s="178"/>
      <c r="F4830" s="178"/>
      <c r="G4830" s="340"/>
      <c r="H4830" s="340"/>
      <c r="I4830" s="179"/>
      <c r="J4830" s="344"/>
      <c r="K4830" s="345"/>
      <c r="L4830" s="346"/>
      <c r="M4830" s="347"/>
      <c r="N4830" s="347"/>
      <c r="O4830" s="132"/>
    </row>
    <row r="4831" spans="2:15" ht="26.25" customHeight="1" x14ac:dyDescent="0.25">
      <c r="B4831" s="130"/>
      <c r="C4831" s="135"/>
      <c r="D4831" s="177"/>
      <c r="E4831" s="178"/>
      <c r="F4831" s="178"/>
      <c r="G4831" s="340"/>
      <c r="H4831" s="340"/>
      <c r="I4831" s="179"/>
      <c r="J4831" s="344"/>
      <c r="K4831" s="345"/>
      <c r="L4831" s="346"/>
      <c r="M4831" s="347"/>
      <c r="N4831" s="347"/>
      <c r="O4831" s="132"/>
    </row>
    <row r="4832" spans="2:15" ht="26.25" customHeight="1" x14ac:dyDescent="0.25">
      <c r="B4832" s="130"/>
      <c r="C4832" s="135"/>
      <c r="D4832" s="177"/>
      <c r="E4832" s="178"/>
      <c r="F4832" s="178"/>
      <c r="G4832" s="340"/>
      <c r="H4832" s="340"/>
      <c r="I4832" s="179"/>
      <c r="J4832" s="344"/>
      <c r="K4832" s="345"/>
      <c r="L4832" s="346"/>
      <c r="M4832" s="347"/>
      <c r="N4832" s="347"/>
      <c r="O4832" s="132"/>
    </row>
    <row r="4833" spans="2:15" ht="26.25" customHeight="1" x14ac:dyDescent="0.25">
      <c r="B4833" s="130"/>
      <c r="C4833" s="135"/>
      <c r="D4833" s="177"/>
      <c r="E4833" s="178"/>
      <c r="F4833" s="178"/>
      <c r="G4833" s="340"/>
      <c r="H4833" s="340"/>
      <c r="I4833" s="179"/>
      <c r="J4833" s="344"/>
      <c r="K4833" s="345"/>
      <c r="L4833" s="346"/>
      <c r="M4833" s="347"/>
      <c r="N4833" s="347"/>
      <c r="O4833" s="132"/>
    </row>
    <row r="4834" spans="2:15" ht="26.25" customHeight="1" x14ac:dyDescent="0.25">
      <c r="B4834" s="130"/>
      <c r="C4834" s="135"/>
      <c r="D4834" s="177"/>
      <c r="E4834" s="178"/>
      <c r="F4834" s="178"/>
      <c r="G4834" s="340"/>
      <c r="H4834" s="340"/>
      <c r="I4834" s="179"/>
      <c r="J4834" s="344"/>
      <c r="K4834" s="345"/>
      <c r="L4834" s="346"/>
      <c r="M4834" s="347"/>
      <c r="N4834" s="347"/>
      <c r="O4834" s="132"/>
    </row>
    <row r="4835" spans="2:15" ht="26.25" customHeight="1" x14ac:dyDescent="0.25">
      <c r="B4835" s="130"/>
      <c r="C4835" s="135"/>
      <c r="D4835" s="177"/>
      <c r="E4835" s="178"/>
      <c r="F4835" s="178"/>
      <c r="G4835" s="340"/>
      <c r="H4835" s="340"/>
      <c r="I4835" s="179"/>
      <c r="J4835" s="344"/>
      <c r="K4835" s="345"/>
      <c r="L4835" s="346"/>
      <c r="M4835" s="347"/>
      <c r="N4835" s="347"/>
      <c r="O4835" s="132"/>
    </row>
    <row r="4836" spans="2:15" ht="26.25" customHeight="1" x14ac:dyDescent="0.25">
      <c r="B4836" s="130"/>
      <c r="C4836" s="135"/>
      <c r="D4836" s="177"/>
      <c r="E4836" s="178"/>
      <c r="F4836" s="178"/>
      <c r="G4836" s="340"/>
      <c r="H4836" s="340"/>
      <c r="I4836" s="179"/>
      <c r="J4836" s="344"/>
      <c r="K4836" s="345"/>
      <c r="L4836" s="346"/>
      <c r="M4836" s="347"/>
      <c r="N4836" s="347"/>
      <c r="O4836" s="132"/>
    </row>
    <row r="4837" spans="2:15" ht="26.25" customHeight="1" x14ac:dyDescent="0.25">
      <c r="B4837" s="130"/>
      <c r="C4837" s="135"/>
      <c r="D4837" s="177"/>
      <c r="E4837" s="178"/>
      <c r="F4837" s="178"/>
      <c r="G4837" s="340"/>
      <c r="H4837" s="340"/>
      <c r="I4837" s="179"/>
      <c r="J4837" s="344"/>
      <c r="K4837" s="345"/>
      <c r="L4837" s="346"/>
      <c r="M4837" s="347"/>
      <c r="N4837" s="347"/>
      <c r="O4837" s="132"/>
    </row>
    <row r="4838" spans="2:15" ht="26.25" customHeight="1" x14ac:dyDescent="0.25">
      <c r="B4838" s="130"/>
      <c r="C4838" s="135"/>
      <c r="D4838" s="177"/>
      <c r="E4838" s="178"/>
      <c r="F4838" s="178"/>
      <c r="G4838" s="340"/>
      <c r="H4838" s="340"/>
      <c r="I4838" s="179"/>
      <c r="J4838" s="344"/>
      <c r="K4838" s="345"/>
      <c r="L4838" s="346"/>
      <c r="M4838" s="347"/>
      <c r="N4838" s="347"/>
      <c r="O4838" s="132"/>
    </row>
    <row r="4839" spans="2:15" ht="26.25" customHeight="1" x14ac:dyDescent="0.25">
      <c r="B4839" s="130"/>
      <c r="C4839" s="135"/>
      <c r="D4839" s="177"/>
      <c r="E4839" s="178"/>
      <c r="F4839" s="178"/>
      <c r="G4839" s="340"/>
      <c r="H4839" s="340"/>
      <c r="I4839" s="179"/>
      <c r="J4839" s="344"/>
      <c r="K4839" s="345"/>
      <c r="L4839" s="346"/>
      <c r="M4839" s="347"/>
      <c r="N4839" s="347"/>
      <c r="O4839" s="132"/>
    </row>
    <row r="4840" spans="2:15" ht="26.25" customHeight="1" x14ac:dyDescent="0.25">
      <c r="B4840" s="130"/>
      <c r="C4840" s="135"/>
      <c r="D4840" s="177"/>
      <c r="E4840" s="178"/>
      <c r="F4840" s="178"/>
      <c r="G4840" s="340"/>
      <c r="H4840" s="340"/>
      <c r="I4840" s="179"/>
      <c r="J4840" s="344"/>
      <c r="K4840" s="345"/>
      <c r="L4840" s="346"/>
      <c r="M4840" s="347"/>
      <c r="N4840" s="347"/>
      <c r="O4840" s="132"/>
    </row>
    <row r="4841" spans="2:15" ht="26.25" customHeight="1" x14ac:dyDescent="0.25">
      <c r="B4841" s="130"/>
      <c r="C4841" s="135"/>
      <c r="D4841" s="177"/>
      <c r="E4841" s="178"/>
      <c r="F4841" s="178"/>
      <c r="G4841" s="340"/>
      <c r="H4841" s="340"/>
      <c r="I4841" s="179"/>
      <c r="J4841" s="344"/>
      <c r="K4841" s="345"/>
      <c r="L4841" s="346"/>
      <c r="M4841" s="347"/>
      <c r="N4841" s="347"/>
      <c r="O4841" s="132"/>
    </row>
    <row r="4842" spans="2:15" ht="26.25" customHeight="1" x14ac:dyDescent="0.25">
      <c r="B4842" s="130"/>
      <c r="C4842" s="135"/>
      <c r="D4842" s="177"/>
      <c r="E4842" s="178"/>
      <c r="F4842" s="178"/>
      <c r="G4842" s="340"/>
      <c r="H4842" s="340"/>
      <c r="I4842" s="179"/>
      <c r="J4842" s="344"/>
      <c r="K4842" s="345"/>
      <c r="L4842" s="346"/>
      <c r="M4842" s="347"/>
      <c r="N4842" s="347"/>
      <c r="O4842" s="132"/>
    </row>
    <row r="4843" spans="2:15" ht="26.25" customHeight="1" x14ac:dyDescent="0.25">
      <c r="B4843" s="130"/>
      <c r="C4843" s="135"/>
      <c r="D4843" s="177"/>
      <c r="E4843" s="178"/>
      <c r="F4843" s="178"/>
      <c r="G4843" s="340"/>
      <c r="H4843" s="340"/>
      <c r="I4843" s="179"/>
      <c r="J4843" s="344"/>
      <c r="K4843" s="345"/>
      <c r="L4843" s="346"/>
      <c r="M4843" s="347"/>
      <c r="N4843" s="347"/>
      <c r="O4843" s="132"/>
    </row>
    <row r="4844" spans="2:15" ht="26.25" customHeight="1" x14ac:dyDescent="0.25">
      <c r="B4844" s="130"/>
      <c r="C4844" s="135"/>
      <c r="D4844" s="177"/>
      <c r="E4844" s="178"/>
      <c r="F4844" s="178"/>
      <c r="G4844" s="340"/>
      <c r="H4844" s="340"/>
      <c r="I4844" s="179"/>
      <c r="J4844" s="344"/>
      <c r="K4844" s="345"/>
      <c r="L4844" s="346"/>
      <c r="M4844" s="347"/>
      <c r="N4844" s="347"/>
      <c r="O4844" s="132"/>
    </row>
    <row r="4845" spans="2:15" ht="26.25" customHeight="1" x14ac:dyDescent="0.25">
      <c r="B4845" s="130"/>
      <c r="C4845" s="135"/>
      <c r="D4845" s="177"/>
      <c r="E4845" s="178"/>
      <c r="F4845" s="178"/>
      <c r="G4845" s="340"/>
      <c r="H4845" s="340"/>
      <c r="I4845" s="179"/>
      <c r="J4845" s="344"/>
      <c r="K4845" s="345"/>
      <c r="L4845" s="346"/>
      <c r="M4845" s="347"/>
      <c r="N4845" s="347"/>
      <c r="O4845" s="132"/>
    </row>
    <row r="4846" spans="2:15" ht="26.25" customHeight="1" x14ac:dyDescent="0.25">
      <c r="B4846" s="130"/>
      <c r="C4846" s="135"/>
      <c r="D4846" s="177"/>
      <c r="E4846" s="178"/>
      <c r="F4846" s="178"/>
      <c r="G4846" s="340"/>
      <c r="H4846" s="340"/>
      <c r="I4846" s="179"/>
      <c r="J4846" s="344"/>
      <c r="K4846" s="345"/>
      <c r="L4846" s="346"/>
      <c r="M4846" s="347"/>
      <c r="N4846" s="347"/>
      <c r="O4846" s="132"/>
    </row>
    <row r="4847" spans="2:15" ht="26.25" customHeight="1" x14ac:dyDescent="0.25">
      <c r="B4847" s="130"/>
      <c r="C4847" s="135"/>
      <c r="D4847" s="177"/>
      <c r="E4847" s="178"/>
      <c r="F4847" s="178"/>
      <c r="G4847" s="340"/>
      <c r="H4847" s="340"/>
      <c r="I4847" s="179"/>
      <c r="J4847" s="344"/>
      <c r="K4847" s="345"/>
      <c r="L4847" s="346"/>
      <c r="M4847" s="347"/>
      <c r="N4847" s="347"/>
      <c r="O4847" s="132"/>
    </row>
    <row r="4848" spans="2:15" ht="26.25" customHeight="1" x14ac:dyDescent="0.25">
      <c r="B4848" s="130"/>
      <c r="C4848" s="135"/>
      <c r="D4848" s="177"/>
      <c r="E4848" s="178"/>
      <c r="F4848" s="178"/>
      <c r="G4848" s="340"/>
      <c r="H4848" s="340"/>
      <c r="I4848" s="179"/>
      <c r="J4848" s="344"/>
      <c r="K4848" s="345"/>
      <c r="L4848" s="346"/>
      <c r="M4848" s="347"/>
      <c r="N4848" s="347"/>
      <c r="O4848" s="132"/>
    </row>
    <row r="4849" spans="2:15" ht="26.25" customHeight="1" x14ac:dyDescent="0.25">
      <c r="B4849" s="130"/>
      <c r="C4849" s="135"/>
      <c r="D4849" s="177"/>
      <c r="E4849" s="178"/>
      <c r="F4849" s="178"/>
      <c r="G4849" s="340"/>
      <c r="H4849" s="340"/>
      <c r="I4849" s="179"/>
      <c r="J4849" s="344"/>
      <c r="K4849" s="345"/>
      <c r="L4849" s="346"/>
      <c r="M4849" s="347"/>
      <c r="N4849" s="347"/>
      <c r="O4849" s="132"/>
    </row>
    <row r="4850" spans="2:15" ht="26.25" customHeight="1" x14ac:dyDescent="0.25">
      <c r="B4850" s="130"/>
      <c r="C4850" s="135"/>
      <c r="D4850" s="177"/>
      <c r="E4850" s="178"/>
      <c r="F4850" s="178"/>
      <c r="G4850" s="340"/>
      <c r="H4850" s="340"/>
      <c r="I4850" s="179"/>
      <c r="J4850" s="344"/>
      <c r="K4850" s="345"/>
      <c r="L4850" s="346"/>
      <c r="M4850" s="347"/>
      <c r="N4850" s="347"/>
      <c r="O4850" s="132"/>
    </row>
    <row r="4851" spans="2:15" ht="26.25" customHeight="1" x14ac:dyDescent="0.25">
      <c r="B4851" s="130"/>
      <c r="C4851" s="135"/>
      <c r="D4851" s="177"/>
      <c r="E4851" s="178"/>
      <c r="F4851" s="178"/>
      <c r="G4851" s="340"/>
      <c r="H4851" s="340"/>
      <c r="I4851" s="179"/>
      <c r="J4851" s="344"/>
      <c r="K4851" s="345"/>
      <c r="L4851" s="346"/>
      <c r="M4851" s="347"/>
      <c r="N4851" s="347"/>
      <c r="O4851" s="132"/>
    </row>
    <row r="4852" spans="2:15" ht="26.25" customHeight="1" x14ac:dyDescent="0.25">
      <c r="B4852" s="130"/>
      <c r="C4852" s="135"/>
      <c r="D4852" s="177"/>
      <c r="E4852" s="178"/>
      <c r="F4852" s="178"/>
      <c r="G4852" s="340"/>
      <c r="H4852" s="340"/>
      <c r="I4852" s="179"/>
      <c r="J4852" s="344"/>
      <c r="K4852" s="345"/>
      <c r="L4852" s="346"/>
      <c r="M4852" s="347"/>
      <c r="N4852" s="347"/>
      <c r="O4852" s="132"/>
    </row>
    <row r="4853" spans="2:15" ht="26.25" customHeight="1" x14ac:dyDescent="0.25">
      <c r="B4853" s="130"/>
      <c r="C4853" s="135"/>
      <c r="D4853" s="177"/>
      <c r="E4853" s="178"/>
      <c r="F4853" s="178"/>
      <c r="G4853" s="340"/>
      <c r="H4853" s="340"/>
      <c r="I4853" s="179"/>
      <c r="J4853" s="344"/>
      <c r="K4853" s="345"/>
      <c r="L4853" s="346"/>
      <c r="M4853" s="347"/>
      <c r="N4853" s="347"/>
      <c r="O4853" s="132"/>
    </row>
    <row r="4854" spans="2:15" ht="26.25" customHeight="1" x14ac:dyDescent="0.25">
      <c r="B4854" s="130"/>
      <c r="C4854" s="135"/>
      <c r="D4854" s="177"/>
      <c r="E4854" s="178"/>
      <c r="F4854" s="178"/>
      <c r="G4854" s="340"/>
      <c r="H4854" s="340"/>
      <c r="I4854" s="179"/>
      <c r="J4854" s="344"/>
      <c r="K4854" s="345"/>
      <c r="L4854" s="346"/>
      <c r="M4854" s="347"/>
      <c r="N4854" s="347"/>
      <c r="O4854" s="132"/>
    </row>
    <row r="4855" spans="2:15" ht="26.25" customHeight="1" x14ac:dyDescent="0.25">
      <c r="B4855" s="130"/>
      <c r="C4855" s="135"/>
      <c r="D4855" s="177"/>
      <c r="E4855" s="178"/>
      <c r="F4855" s="178"/>
      <c r="G4855" s="340"/>
      <c r="H4855" s="340"/>
      <c r="I4855" s="179"/>
      <c r="J4855" s="344"/>
      <c r="K4855" s="345"/>
      <c r="L4855" s="346"/>
      <c r="M4855" s="347"/>
      <c r="N4855" s="347"/>
      <c r="O4855" s="132"/>
    </row>
    <row r="4856" spans="2:15" ht="26.25" customHeight="1" x14ac:dyDescent="0.25">
      <c r="B4856" s="130"/>
      <c r="C4856" s="135"/>
      <c r="D4856" s="177"/>
      <c r="E4856" s="178"/>
      <c r="F4856" s="178"/>
      <c r="G4856" s="340"/>
      <c r="H4856" s="340"/>
      <c r="I4856" s="179"/>
      <c r="J4856" s="344"/>
      <c r="K4856" s="345"/>
      <c r="L4856" s="346"/>
      <c r="M4856" s="347"/>
      <c r="N4856" s="347"/>
      <c r="O4856" s="132"/>
    </row>
    <row r="4857" spans="2:15" ht="26.25" customHeight="1" x14ac:dyDescent="0.25">
      <c r="B4857" s="130"/>
      <c r="C4857" s="135"/>
      <c r="D4857" s="177"/>
      <c r="E4857" s="178"/>
      <c r="F4857" s="178"/>
      <c r="G4857" s="340"/>
      <c r="H4857" s="340"/>
      <c r="I4857" s="179"/>
      <c r="J4857" s="344"/>
      <c r="K4857" s="345"/>
      <c r="L4857" s="346"/>
      <c r="M4857" s="347"/>
      <c r="N4857" s="347"/>
      <c r="O4857" s="132"/>
    </row>
    <row r="4858" spans="2:15" ht="26.25" customHeight="1" x14ac:dyDescent="0.25">
      <c r="B4858" s="130"/>
      <c r="C4858" s="135"/>
      <c r="D4858" s="177"/>
      <c r="E4858" s="178"/>
      <c r="F4858" s="178"/>
      <c r="G4858" s="340"/>
      <c r="H4858" s="340"/>
      <c r="I4858" s="179"/>
      <c r="J4858" s="344"/>
      <c r="K4858" s="345"/>
      <c r="L4858" s="346"/>
      <c r="M4858" s="347"/>
      <c r="N4858" s="347"/>
      <c r="O4858" s="132"/>
    </row>
    <row r="4859" spans="2:15" ht="26.25" customHeight="1" x14ac:dyDescent="0.25">
      <c r="B4859" s="130"/>
      <c r="C4859" s="135"/>
      <c r="D4859" s="177"/>
      <c r="E4859" s="178"/>
      <c r="F4859" s="178"/>
      <c r="G4859" s="340"/>
      <c r="H4859" s="340"/>
      <c r="I4859" s="179"/>
      <c r="J4859" s="344"/>
      <c r="K4859" s="345"/>
      <c r="L4859" s="346"/>
      <c r="M4859" s="347"/>
      <c r="N4859" s="347"/>
      <c r="O4859" s="132"/>
    </row>
    <row r="4860" spans="2:15" ht="26.25" customHeight="1" x14ac:dyDescent="0.25">
      <c r="B4860" s="130"/>
      <c r="C4860" s="135"/>
      <c r="D4860" s="177"/>
      <c r="E4860" s="178"/>
      <c r="F4860" s="178"/>
      <c r="G4860" s="340"/>
      <c r="H4860" s="340"/>
      <c r="I4860" s="179"/>
      <c r="J4860" s="344"/>
      <c r="K4860" s="345"/>
      <c r="L4860" s="346"/>
      <c r="M4860" s="347"/>
      <c r="N4860" s="347"/>
      <c r="O4860" s="132"/>
    </row>
    <row r="4861" spans="2:15" ht="26.25" customHeight="1" x14ac:dyDescent="0.25">
      <c r="B4861" s="130"/>
      <c r="C4861" s="135"/>
      <c r="D4861" s="177"/>
      <c r="E4861" s="178"/>
      <c r="F4861" s="178"/>
      <c r="G4861" s="340"/>
      <c r="H4861" s="340"/>
      <c r="I4861" s="179"/>
      <c r="J4861" s="344"/>
      <c r="K4861" s="345"/>
      <c r="L4861" s="346"/>
      <c r="M4861" s="347"/>
      <c r="N4861" s="347"/>
      <c r="O4861" s="132"/>
    </row>
    <row r="4862" spans="2:15" ht="26.25" customHeight="1" x14ac:dyDescent="0.25">
      <c r="B4862" s="130"/>
      <c r="C4862" s="135"/>
      <c r="D4862" s="177"/>
      <c r="E4862" s="178"/>
      <c r="F4862" s="178"/>
      <c r="G4862" s="340"/>
      <c r="H4862" s="340"/>
      <c r="I4862" s="179"/>
      <c r="J4862" s="344"/>
      <c r="K4862" s="345"/>
      <c r="L4862" s="346"/>
      <c r="M4862" s="347"/>
      <c r="N4862" s="347"/>
      <c r="O4862" s="132"/>
    </row>
    <row r="4863" spans="2:15" ht="26.25" customHeight="1" x14ac:dyDescent="0.25">
      <c r="B4863" s="130"/>
      <c r="C4863" s="135"/>
      <c r="D4863" s="177"/>
      <c r="E4863" s="178"/>
      <c r="F4863" s="178"/>
      <c r="G4863" s="340"/>
      <c r="H4863" s="340"/>
      <c r="I4863" s="179"/>
      <c r="J4863" s="344"/>
      <c r="K4863" s="345"/>
      <c r="L4863" s="346"/>
      <c r="M4863" s="347"/>
      <c r="N4863" s="347"/>
      <c r="O4863" s="132"/>
    </row>
    <row r="4864" spans="2:15" ht="26.25" customHeight="1" x14ac:dyDescent="0.25">
      <c r="B4864" s="130"/>
      <c r="C4864" s="135"/>
      <c r="D4864" s="177"/>
      <c r="E4864" s="178"/>
      <c r="F4864" s="178"/>
      <c r="G4864" s="340"/>
      <c r="H4864" s="340"/>
      <c r="I4864" s="179"/>
      <c r="J4864" s="344"/>
      <c r="K4864" s="345"/>
      <c r="L4864" s="346"/>
      <c r="M4864" s="347"/>
      <c r="N4864" s="347"/>
      <c r="O4864" s="132"/>
    </row>
    <row r="4865" spans="2:15" ht="26.25" customHeight="1" x14ac:dyDescent="0.25">
      <c r="B4865" s="130"/>
      <c r="C4865" s="135"/>
      <c r="D4865" s="177"/>
      <c r="E4865" s="178"/>
      <c r="F4865" s="178"/>
      <c r="G4865" s="340"/>
      <c r="H4865" s="340"/>
      <c r="I4865" s="179"/>
      <c r="J4865" s="344"/>
      <c r="K4865" s="345"/>
      <c r="L4865" s="346"/>
      <c r="M4865" s="347"/>
      <c r="N4865" s="347"/>
      <c r="O4865" s="132"/>
    </row>
    <row r="4866" spans="2:15" ht="26.25" customHeight="1" x14ac:dyDescent="0.25">
      <c r="B4866" s="130"/>
      <c r="C4866" s="135"/>
      <c r="D4866" s="177"/>
      <c r="E4866" s="178"/>
      <c r="F4866" s="178"/>
      <c r="G4866" s="340"/>
      <c r="H4866" s="340"/>
      <c r="I4866" s="179"/>
      <c r="J4866" s="344"/>
      <c r="K4866" s="345"/>
      <c r="L4866" s="346"/>
      <c r="M4866" s="347"/>
      <c r="N4866" s="347"/>
      <c r="O4866" s="132"/>
    </row>
    <row r="4867" spans="2:15" ht="26.25" customHeight="1" x14ac:dyDescent="0.25">
      <c r="B4867" s="130"/>
      <c r="C4867" s="135"/>
      <c r="D4867" s="177"/>
      <c r="E4867" s="178"/>
      <c r="F4867" s="178"/>
      <c r="G4867" s="340"/>
      <c r="H4867" s="340"/>
      <c r="I4867" s="179"/>
      <c r="J4867" s="344"/>
      <c r="K4867" s="345"/>
      <c r="L4867" s="346"/>
      <c r="M4867" s="347"/>
      <c r="N4867" s="347"/>
      <c r="O4867" s="132"/>
    </row>
    <row r="4868" spans="2:15" ht="26.25" customHeight="1" x14ac:dyDescent="0.25">
      <c r="B4868" s="130"/>
      <c r="C4868" s="135"/>
      <c r="D4868" s="177"/>
      <c r="E4868" s="178"/>
      <c r="F4868" s="178"/>
      <c r="G4868" s="340"/>
      <c r="H4868" s="340"/>
      <c r="I4868" s="179"/>
      <c r="J4868" s="344"/>
      <c r="K4868" s="345"/>
      <c r="L4868" s="346"/>
      <c r="M4868" s="347"/>
      <c r="N4868" s="347"/>
      <c r="O4868" s="132"/>
    </row>
    <row r="4869" spans="2:15" ht="26.25" customHeight="1" x14ac:dyDescent="0.25">
      <c r="B4869" s="130"/>
      <c r="C4869" s="135"/>
      <c r="D4869" s="177"/>
      <c r="E4869" s="178"/>
      <c r="F4869" s="178"/>
      <c r="G4869" s="340"/>
      <c r="H4869" s="340"/>
      <c r="I4869" s="179"/>
      <c r="J4869" s="344"/>
      <c r="K4869" s="345"/>
      <c r="L4869" s="346"/>
      <c r="M4869" s="347"/>
      <c r="N4869" s="347"/>
      <c r="O4869" s="132"/>
    </row>
    <row r="4870" spans="2:15" ht="26.25" customHeight="1" x14ac:dyDescent="0.25">
      <c r="B4870" s="130"/>
      <c r="C4870" s="135"/>
      <c r="D4870" s="177"/>
      <c r="E4870" s="178"/>
      <c r="F4870" s="178"/>
      <c r="G4870" s="340"/>
      <c r="H4870" s="340"/>
      <c r="I4870" s="179"/>
      <c r="J4870" s="344"/>
      <c r="K4870" s="345"/>
      <c r="L4870" s="346"/>
      <c r="M4870" s="347"/>
      <c r="N4870" s="347"/>
      <c r="O4870" s="132"/>
    </row>
    <row r="4871" spans="2:15" ht="26.25" customHeight="1" x14ac:dyDescent="0.25">
      <c r="B4871" s="130"/>
      <c r="C4871" s="135"/>
      <c r="D4871" s="177"/>
      <c r="E4871" s="178"/>
      <c r="F4871" s="178"/>
      <c r="G4871" s="340"/>
      <c r="H4871" s="340"/>
      <c r="I4871" s="179"/>
      <c r="J4871" s="344"/>
      <c r="K4871" s="345"/>
      <c r="L4871" s="346"/>
      <c r="M4871" s="347"/>
      <c r="N4871" s="347"/>
      <c r="O4871" s="132"/>
    </row>
    <row r="4872" spans="2:15" ht="26.25" customHeight="1" x14ac:dyDescent="0.25">
      <c r="B4872" s="130"/>
      <c r="C4872" s="135"/>
      <c r="D4872" s="177"/>
      <c r="E4872" s="178"/>
      <c r="F4872" s="178"/>
      <c r="G4872" s="340"/>
      <c r="H4872" s="340"/>
      <c r="I4872" s="179"/>
      <c r="J4872" s="344"/>
      <c r="K4872" s="345"/>
      <c r="L4872" s="346"/>
      <c r="M4872" s="347"/>
      <c r="N4872" s="347"/>
      <c r="O4872" s="132"/>
    </row>
    <row r="4873" spans="2:15" ht="26.25" customHeight="1" x14ac:dyDescent="0.25">
      <c r="B4873" s="130"/>
      <c r="C4873" s="135"/>
      <c r="D4873" s="177"/>
      <c r="E4873" s="178"/>
      <c r="F4873" s="178"/>
      <c r="G4873" s="340"/>
      <c r="H4873" s="340"/>
      <c r="I4873" s="179"/>
      <c r="J4873" s="344"/>
      <c r="K4873" s="345"/>
      <c r="L4873" s="346"/>
      <c r="M4873" s="347"/>
      <c r="N4873" s="347"/>
      <c r="O4873" s="132"/>
    </row>
    <row r="4874" spans="2:15" ht="26.25" customHeight="1" x14ac:dyDescent="0.25">
      <c r="B4874" s="130"/>
      <c r="C4874" s="135"/>
      <c r="D4874" s="177"/>
      <c r="E4874" s="178"/>
      <c r="F4874" s="178"/>
      <c r="G4874" s="340"/>
      <c r="H4874" s="340"/>
      <c r="I4874" s="179"/>
      <c r="J4874" s="344"/>
      <c r="K4874" s="345"/>
      <c r="L4874" s="346"/>
      <c r="M4874" s="347"/>
      <c r="N4874" s="347"/>
      <c r="O4874" s="132"/>
    </row>
    <row r="4875" spans="2:15" ht="26.25" customHeight="1" x14ac:dyDescent="0.25">
      <c r="B4875" s="130"/>
      <c r="C4875" s="135"/>
      <c r="D4875" s="177"/>
      <c r="E4875" s="178"/>
      <c r="F4875" s="178"/>
      <c r="G4875" s="340"/>
      <c r="H4875" s="340"/>
      <c r="I4875" s="179"/>
      <c r="J4875" s="344"/>
      <c r="K4875" s="345"/>
      <c r="L4875" s="346"/>
      <c r="M4875" s="347"/>
      <c r="N4875" s="347"/>
      <c r="O4875" s="132"/>
    </row>
    <row r="4876" spans="2:15" ht="26.25" customHeight="1" x14ac:dyDescent="0.25">
      <c r="B4876" s="130"/>
      <c r="C4876" s="135"/>
      <c r="D4876" s="177"/>
      <c r="E4876" s="178"/>
      <c r="F4876" s="178"/>
      <c r="G4876" s="340"/>
      <c r="H4876" s="340"/>
      <c r="I4876" s="179"/>
      <c r="J4876" s="344"/>
      <c r="K4876" s="345"/>
      <c r="L4876" s="346"/>
      <c r="M4876" s="347"/>
      <c r="N4876" s="347"/>
      <c r="O4876" s="132"/>
    </row>
    <row r="4877" spans="2:15" ht="26.25" customHeight="1" x14ac:dyDescent="0.25">
      <c r="B4877" s="130"/>
      <c r="C4877" s="135"/>
      <c r="D4877" s="177"/>
      <c r="E4877" s="178"/>
      <c r="F4877" s="178"/>
      <c r="G4877" s="340"/>
      <c r="H4877" s="340"/>
      <c r="I4877" s="179"/>
      <c r="J4877" s="344"/>
      <c r="K4877" s="345"/>
      <c r="L4877" s="346"/>
      <c r="M4877" s="347"/>
      <c r="N4877" s="347"/>
      <c r="O4877" s="132"/>
    </row>
    <row r="4878" spans="2:15" ht="26.25" customHeight="1" x14ac:dyDescent="0.25">
      <c r="B4878" s="130"/>
      <c r="C4878" s="135"/>
      <c r="D4878" s="177"/>
      <c r="E4878" s="178"/>
      <c r="F4878" s="178"/>
      <c r="G4878" s="340"/>
      <c r="H4878" s="340"/>
      <c r="I4878" s="179"/>
      <c r="J4878" s="344"/>
      <c r="K4878" s="345"/>
      <c r="L4878" s="346"/>
      <c r="M4878" s="347"/>
      <c r="N4878" s="347"/>
      <c r="O4878" s="132"/>
    </row>
    <row r="4879" spans="2:15" ht="26.25" customHeight="1" x14ac:dyDescent="0.25">
      <c r="B4879" s="130"/>
      <c r="C4879" s="135"/>
      <c r="D4879" s="177"/>
      <c r="E4879" s="178"/>
      <c r="F4879" s="178"/>
      <c r="G4879" s="340"/>
      <c r="H4879" s="340"/>
      <c r="I4879" s="179"/>
      <c r="J4879" s="344"/>
      <c r="K4879" s="345"/>
      <c r="L4879" s="346"/>
      <c r="M4879" s="347"/>
      <c r="N4879" s="347"/>
      <c r="O4879" s="132"/>
    </row>
    <row r="4880" spans="2:15" ht="26.25" customHeight="1" x14ac:dyDescent="0.25">
      <c r="B4880" s="130"/>
      <c r="C4880" s="135"/>
      <c r="D4880" s="177"/>
      <c r="E4880" s="178"/>
      <c r="F4880" s="178"/>
      <c r="G4880" s="340"/>
      <c r="H4880" s="340"/>
      <c r="I4880" s="179"/>
      <c r="J4880" s="344"/>
      <c r="K4880" s="345"/>
      <c r="L4880" s="346"/>
      <c r="M4880" s="347"/>
      <c r="N4880" s="347"/>
      <c r="O4880" s="132"/>
    </row>
    <row r="4881" spans="2:15" ht="26.25" customHeight="1" x14ac:dyDescent="0.25">
      <c r="B4881" s="130"/>
      <c r="C4881" s="135"/>
      <c r="D4881" s="177"/>
      <c r="E4881" s="178"/>
      <c r="F4881" s="178"/>
      <c r="G4881" s="340"/>
      <c r="H4881" s="340"/>
      <c r="I4881" s="179"/>
      <c r="J4881" s="344"/>
      <c r="K4881" s="345"/>
      <c r="L4881" s="346"/>
      <c r="M4881" s="347"/>
      <c r="N4881" s="347"/>
      <c r="O4881" s="132"/>
    </row>
    <row r="4882" spans="2:15" ht="26.25" customHeight="1" x14ac:dyDescent="0.25">
      <c r="B4882" s="130"/>
      <c r="C4882" s="135"/>
      <c r="D4882" s="177"/>
      <c r="E4882" s="178"/>
      <c r="F4882" s="178"/>
      <c r="G4882" s="340"/>
      <c r="H4882" s="340"/>
      <c r="I4882" s="179"/>
      <c r="J4882" s="344"/>
      <c r="K4882" s="345"/>
      <c r="L4882" s="346"/>
      <c r="M4882" s="347"/>
      <c r="N4882" s="347"/>
      <c r="O4882" s="132"/>
    </row>
    <row r="4883" spans="2:15" ht="26.25" customHeight="1" x14ac:dyDescent="0.25">
      <c r="B4883" s="130"/>
      <c r="C4883" s="135"/>
      <c r="D4883" s="177"/>
      <c r="E4883" s="178"/>
      <c r="F4883" s="178"/>
      <c r="G4883" s="340"/>
      <c r="H4883" s="340"/>
      <c r="I4883" s="179"/>
      <c r="J4883" s="344"/>
      <c r="K4883" s="345"/>
      <c r="L4883" s="346"/>
      <c r="M4883" s="347"/>
      <c r="N4883" s="347"/>
      <c r="O4883" s="132"/>
    </row>
    <row r="4884" spans="2:15" ht="26.25" customHeight="1" x14ac:dyDescent="0.25">
      <c r="B4884" s="130"/>
      <c r="C4884" s="135"/>
      <c r="D4884" s="177"/>
      <c r="E4884" s="178"/>
      <c r="F4884" s="178"/>
      <c r="G4884" s="340"/>
      <c r="H4884" s="340"/>
      <c r="I4884" s="179"/>
      <c r="J4884" s="344"/>
      <c r="K4884" s="345"/>
      <c r="L4884" s="346"/>
      <c r="M4884" s="347"/>
      <c r="N4884" s="347"/>
      <c r="O4884" s="132"/>
    </row>
    <row r="4885" spans="2:15" ht="26.25" customHeight="1" x14ac:dyDescent="0.25">
      <c r="B4885" s="130"/>
      <c r="C4885" s="135"/>
      <c r="D4885" s="177"/>
      <c r="E4885" s="178"/>
      <c r="F4885" s="178"/>
      <c r="G4885" s="340"/>
      <c r="H4885" s="340"/>
      <c r="I4885" s="179"/>
      <c r="J4885" s="344"/>
      <c r="K4885" s="345"/>
      <c r="L4885" s="346"/>
      <c r="M4885" s="347"/>
      <c r="N4885" s="347"/>
      <c r="O4885" s="132"/>
    </row>
    <row r="4886" spans="2:15" ht="26.25" customHeight="1" x14ac:dyDescent="0.25">
      <c r="B4886" s="130"/>
      <c r="C4886" s="135"/>
      <c r="D4886" s="177"/>
      <c r="E4886" s="178"/>
      <c r="F4886" s="178"/>
      <c r="G4886" s="340"/>
      <c r="H4886" s="340"/>
      <c r="I4886" s="179"/>
      <c r="J4886" s="344"/>
      <c r="K4886" s="345"/>
      <c r="L4886" s="346"/>
      <c r="M4886" s="347"/>
      <c r="N4886" s="347"/>
      <c r="O4886" s="132"/>
    </row>
    <row r="4887" spans="2:15" ht="26.25" customHeight="1" x14ac:dyDescent="0.25">
      <c r="B4887" s="130"/>
      <c r="C4887" s="135"/>
      <c r="D4887" s="177"/>
      <c r="E4887" s="178"/>
      <c r="F4887" s="178"/>
      <c r="G4887" s="340"/>
      <c r="H4887" s="340"/>
      <c r="I4887" s="179"/>
      <c r="J4887" s="344"/>
      <c r="K4887" s="345"/>
      <c r="L4887" s="346"/>
      <c r="M4887" s="347"/>
      <c r="N4887" s="347"/>
      <c r="O4887" s="132"/>
    </row>
    <row r="4888" spans="2:15" ht="26.25" customHeight="1" x14ac:dyDescent="0.25">
      <c r="B4888" s="130"/>
      <c r="C4888" s="135"/>
      <c r="D4888" s="177"/>
      <c r="E4888" s="178"/>
      <c r="F4888" s="178"/>
      <c r="G4888" s="340"/>
      <c r="H4888" s="340"/>
      <c r="I4888" s="179"/>
      <c r="J4888" s="344"/>
      <c r="K4888" s="345"/>
      <c r="L4888" s="346"/>
      <c r="M4888" s="347"/>
      <c r="N4888" s="347"/>
      <c r="O4888" s="132"/>
    </row>
    <row r="4889" spans="2:15" ht="26.25" customHeight="1" x14ac:dyDescent="0.25">
      <c r="B4889" s="130"/>
      <c r="C4889" s="135"/>
      <c r="D4889" s="177"/>
      <c r="E4889" s="178"/>
      <c r="F4889" s="178"/>
      <c r="G4889" s="340"/>
      <c r="H4889" s="340"/>
      <c r="I4889" s="179"/>
      <c r="J4889" s="344"/>
      <c r="K4889" s="345"/>
      <c r="L4889" s="346"/>
      <c r="M4889" s="347"/>
      <c r="N4889" s="347"/>
      <c r="O4889" s="132"/>
    </row>
    <row r="4890" spans="2:15" ht="26.25" customHeight="1" x14ac:dyDescent="0.25">
      <c r="B4890" s="130"/>
      <c r="C4890" s="135"/>
      <c r="D4890" s="177"/>
      <c r="E4890" s="178"/>
      <c r="F4890" s="178"/>
      <c r="G4890" s="340"/>
      <c r="H4890" s="340"/>
      <c r="I4890" s="179"/>
      <c r="J4890" s="344"/>
      <c r="K4890" s="345"/>
      <c r="L4890" s="346"/>
      <c r="M4890" s="347"/>
      <c r="N4890" s="347"/>
      <c r="O4890" s="132"/>
    </row>
    <row r="4891" spans="2:15" ht="26.25" customHeight="1" x14ac:dyDescent="0.25">
      <c r="B4891" s="130"/>
      <c r="C4891" s="135"/>
      <c r="D4891" s="177"/>
      <c r="E4891" s="178"/>
      <c r="F4891" s="178"/>
      <c r="G4891" s="340"/>
      <c r="H4891" s="340"/>
      <c r="I4891" s="179"/>
      <c r="J4891" s="344"/>
      <c r="K4891" s="345"/>
      <c r="L4891" s="346"/>
      <c r="M4891" s="347"/>
      <c r="N4891" s="347"/>
      <c r="O4891" s="132"/>
    </row>
    <row r="4892" spans="2:15" ht="26.25" customHeight="1" x14ac:dyDescent="0.25">
      <c r="B4892" s="130"/>
      <c r="C4892" s="135"/>
      <c r="D4892" s="177"/>
      <c r="E4892" s="178"/>
      <c r="F4892" s="178"/>
      <c r="G4892" s="340"/>
      <c r="H4892" s="340"/>
      <c r="I4892" s="179"/>
      <c r="J4892" s="344"/>
      <c r="K4892" s="345"/>
      <c r="L4892" s="346"/>
      <c r="M4892" s="347"/>
      <c r="N4892" s="347"/>
      <c r="O4892" s="132"/>
    </row>
    <row r="4893" spans="2:15" ht="26.25" customHeight="1" x14ac:dyDescent="0.25">
      <c r="B4893" s="130"/>
      <c r="C4893" s="135"/>
      <c r="D4893" s="177"/>
      <c r="E4893" s="178"/>
      <c r="F4893" s="178"/>
      <c r="G4893" s="340"/>
      <c r="H4893" s="340"/>
      <c r="I4893" s="179"/>
      <c r="J4893" s="344"/>
      <c r="K4893" s="345"/>
      <c r="L4893" s="346"/>
      <c r="M4893" s="347"/>
      <c r="N4893" s="347"/>
      <c r="O4893" s="132"/>
    </row>
    <row r="4894" spans="2:15" ht="26.25" customHeight="1" x14ac:dyDescent="0.25">
      <c r="B4894" s="130"/>
      <c r="C4894" s="135"/>
      <c r="D4894" s="177"/>
      <c r="E4894" s="178"/>
      <c r="F4894" s="178"/>
      <c r="G4894" s="340"/>
      <c r="H4894" s="340"/>
      <c r="I4894" s="179"/>
      <c r="J4894" s="344"/>
      <c r="K4894" s="345"/>
      <c r="L4894" s="346"/>
      <c r="M4894" s="347"/>
      <c r="N4894" s="347"/>
      <c r="O4894" s="132"/>
    </row>
    <row r="4895" spans="2:15" ht="26.25" customHeight="1" x14ac:dyDescent="0.25">
      <c r="B4895" s="130"/>
      <c r="C4895" s="135"/>
      <c r="D4895" s="177"/>
      <c r="E4895" s="178"/>
      <c r="F4895" s="178"/>
      <c r="G4895" s="340"/>
      <c r="H4895" s="340"/>
      <c r="I4895" s="179"/>
      <c r="J4895" s="344"/>
      <c r="K4895" s="345"/>
      <c r="L4895" s="346"/>
      <c r="M4895" s="347"/>
      <c r="N4895" s="347"/>
      <c r="O4895" s="132"/>
    </row>
    <row r="4896" spans="2:15" ht="26.25" customHeight="1" x14ac:dyDescent="0.25">
      <c r="B4896" s="130"/>
      <c r="C4896" s="135"/>
      <c r="D4896" s="177"/>
      <c r="E4896" s="178"/>
      <c r="F4896" s="178"/>
      <c r="G4896" s="340"/>
      <c r="H4896" s="340"/>
      <c r="I4896" s="179"/>
      <c r="J4896" s="344"/>
      <c r="K4896" s="345"/>
      <c r="L4896" s="346"/>
      <c r="M4896" s="347"/>
      <c r="N4896" s="347"/>
      <c r="O4896" s="132"/>
    </row>
    <row r="4897" spans="2:15" ht="26.25" customHeight="1" x14ac:dyDescent="0.25">
      <c r="B4897" s="130"/>
      <c r="C4897" s="135"/>
      <c r="D4897" s="177"/>
      <c r="E4897" s="178"/>
      <c r="F4897" s="178"/>
      <c r="G4897" s="340"/>
      <c r="H4897" s="340"/>
      <c r="I4897" s="179"/>
      <c r="J4897" s="344"/>
      <c r="K4897" s="345"/>
      <c r="L4897" s="346"/>
      <c r="M4897" s="347"/>
      <c r="N4897" s="347"/>
      <c r="O4897" s="132"/>
    </row>
    <row r="4898" spans="2:15" ht="26.25" customHeight="1" x14ac:dyDescent="0.25">
      <c r="B4898" s="130"/>
      <c r="C4898" s="135"/>
      <c r="D4898" s="177"/>
      <c r="E4898" s="178"/>
      <c r="F4898" s="178"/>
      <c r="G4898" s="340"/>
      <c r="H4898" s="340"/>
      <c r="I4898" s="179"/>
      <c r="J4898" s="344"/>
      <c r="K4898" s="345"/>
      <c r="L4898" s="346"/>
      <c r="M4898" s="347"/>
      <c r="N4898" s="347"/>
      <c r="O4898" s="132"/>
    </row>
    <row r="4899" spans="2:15" ht="26.25" customHeight="1" x14ac:dyDescent="0.25">
      <c r="B4899" s="130"/>
      <c r="C4899" s="135"/>
      <c r="D4899" s="177"/>
      <c r="E4899" s="178"/>
      <c r="F4899" s="178"/>
      <c r="G4899" s="340"/>
      <c r="H4899" s="340"/>
      <c r="I4899" s="179"/>
      <c r="J4899" s="344"/>
      <c r="K4899" s="345"/>
      <c r="L4899" s="346"/>
      <c r="M4899" s="347"/>
      <c r="N4899" s="347"/>
      <c r="O4899" s="132"/>
    </row>
    <row r="4900" spans="2:15" ht="26.25" customHeight="1" x14ac:dyDescent="0.25">
      <c r="B4900" s="130"/>
      <c r="C4900" s="135"/>
      <c r="D4900" s="177"/>
      <c r="E4900" s="178"/>
      <c r="F4900" s="178"/>
      <c r="G4900" s="340"/>
      <c r="H4900" s="340"/>
      <c r="I4900" s="179"/>
      <c r="J4900" s="344"/>
      <c r="K4900" s="345"/>
      <c r="L4900" s="346"/>
      <c r="M4900" s="347"/>
      <c r="N4900" s="347"/>
      <c r="O4900" s="132"/>
    </row>
    <row r="4901" spans="2:15" ht="26.25" customHeight="1" x14ac:dyDescent="0.25">
      <c r="B4901" s="130"/>
      <c r="C4901" s="135"/>
      <c r="D4901" s="177"/>
      <c r="E4901" s="178"/>
      <c r="F4901" s="178"/>
      <c r="G4901" s="340"/>
      <c r="H4901" s="340"/>
      <c r="I4901" s="179"/>
      <c r="J4901" s="344"/>
      <c r="K4901" s="345"/>
      <c r="L4901" s="346"/>
      <c r="M4901" s="347"/>
      <c r="N4901" s="347"/>
      <c r="O4901" s="132"/>
    </row>
    <row r="4902" spans="2:15" ht="26.25" customHeight="1" x14ac:dyDescent="0.25">
      <c r="B4902" s="130"/>
      <c r="C4902" s="135"/>
      <c r="D4902" s="177"/>
      <c r="E4902" s="178"/>
      <c r="F4902" s="178"/>
      <c r="G4902" s="340"/>
      <c r="H4902" s="340"/>
      <c r="I4902" s="179"/>
      <c r="J4902" s="344"/>
      <c r="K4902" s="345"/>
      <c r="L4902" s="346"/>
      <c r="M4902" s="347"/>
      <c r="N4902" s="347"/>
      <c r="O4902" s="132"/>
    </row>
    <row r="4903" spans="2:15" ht="26.25" customHeight="1" x14ac:dyDescent="0.25">
      <c r="B4903" s="130"/>
      <c r="C4903" s="135"/>
      <c r="D4903" s="177"/>
      <c r="E4903" s="178"/>
      <c r="F4903" s="178"/>
      <c r="G4903" s="340"/>
      <c r="H4903" s="340"/>
      <c r="I4903" s="179"/>
      <c r="J4903" s="344"/>
      <c r="K4903" s="345"/>
      <c r="L4903" s="346"/>
      <c r="M4903" s="347"/>
      <c r="N4903" s="347"/>
      <c r="O4903" s="132"/>
    </row>
    <row r="4904" spans="2:15" ht="26.25" customHeight="1" x14ac:dyDescent="0.25">
      <c r="B4904" s="130"/>
      <c r="C4904" s="135"/>
      <c r="D4904" s="177"/>
      <c r="E4904" s="178"/>
      <c r="F4904" s="178"/>
      <c r="G4904" s="340"/>
      <c r="H4904" s="340"/>
      <c r="I4904" s="179"/>
      <c r="J4904" s="344"/>
      <c r="K4904" s="345"/>
      <c r="L4904" s="346"/>
      <c r="M4904" s="347"/>
      <c r="N4904" s="347"/>
      <c r="O4904" s="132"/>
    </row>
    <row r="4905" spans="2:15" ht="26.25" customHeight="1" x14ac:dyDescent="0.25">
      <c r="B4905" s="130"/>
      <c r="C4905" s="135"/>
      <c r="D4905" s="177"/>
      <c r="E4905" s="178"/>
      <c r="F4905" s="178"/>
      <c r="G4905" s="340"/>
      <c r="H4905" s="340"/>
      <c r="I4905" s="179"/>
      <c r="J4905" s="344"/>
      <c r="K4905" s="345"/>
      <c r="L4905" s="346"/>
      <c r="M4905" s="347"/>
      <c r="N4905" s="347"/>
      <c r="O4905" s="132"/>
    </row>
    <row r="4906" spans="2:15" ht="26.25" customHeight="1" x14ac:dyDescent="0.25">
      <c r="B4906" s="130"/>
      <c r="C4906" s="135"/>
      <c r="D4906" s="177"/>
      <c r="E4906" s="178"/>
      <c r="F4906" s="178"/>
      <c r="G4906" s="340"/>
      <c r="H4906" s="340"/>
      <c r="I4906" s="179"/>
      <c r="J4906" s="344"/>
      <c r="K4906" s="345"/>
      <c r="L4906" s="346"/>
      <c r="M4906" s="347"/>
      <c r="N4906" s="347"/>
      <c r="O4906" s="132"/>
    </row>
    <row r="4907" spans="2:15" ht="26.25" customHeight="1" x14ac:dyDescent="0.25">
      <c r="B4907" s="130"/>
      <c r="C4907" s="135"/>
      <c r="D4907" s="177"/>
      <c r="E4907" s="178"/>
      <c r="F4907" s="178"/>
      <c r="G4907" s="340"/>
      <c r="H4907" s="340"/>
      <c r="I4907" s="179"/>
      <c r="J4907" s="344"/>
      <c r="K4907" s="345"/>
      <c r="L4907" s="346"/>
      <c r="M4907" s="347"/>
      <c r="N4907" s="347"/>
      <c r="O4907" s="132"/>
    </row>
    <row r="4908" spans="2:15" ht="26.25" customHeight="1" x14ac:dyDescent="0.25">
      <c r="B4908" s="130"/>
      <c r="C4908" s="135"/>
      <c r="D4908" s="177"/>
      <c r="E4908" s="178"/>
      <c r="F4908" s="178"/>
      <c r="G4908" s="340"/>
      <c r="H4908" s="340"/>
      <c r="I4908" s="179"/>
      <c r="J4908" s="344"/>
      <c r="K4908" s="345"/>
      <c r="L4908" s="346"/>
      <c r="M4908" s="347"/>
      <c r="N4908" s="347"/>
      <c r="O4908" s="132"/>
    </row>
    <row r="4909" spans="2:15" ht="26.25" customHeight="1" x14ac:dyDescent="0.25">
      <c r="B4909" s="130"/>
      <c r="C4909" s="135"/>
      <c r="D4909" s="177"/>
      <c r="E4909" s="178"/>
      <c r="F4909" s="178"/>
      <c r="G4909" s="340"/>
      <c r="H4909" s="340"/>
      <c r="I4909" s="179"/>
      <c r="J4909" s="344"/>
      <c r="K4909" s="345"/>
      <c r="L4909" s="346"/>
      <c r="M4909" s="347"/>
      <c r="N4909" s="347"/>
      <c r="O4909" s="132"/>
    </row>
    <row r="4910" spans="2:15" ht="26.25" customHeight="1" x14ac:dyDescent="0.25">
      <c r="B4910" s="130"/>
      <c r="C4910" s="135"/>
      <c r="D4910" s="177"/>
      <c r="E4910" s="178"/>
      <c r="F4910" s="178"/>
      <c r="G4910" s="340"/>
      <c r="H4910" s="340"/>
      <c r="I4910" s="179"/>
      <c r="J4910" s="344"/>
      <c r="K4910" s="345"/>
      <c r="L4910" s="346"/>
      <c r="M4910" s="347"/>
      <c r="N4910" s="347"/>
      <c r="O4910" s="132"/>
    </row>
    <row r="4911" spans="2:15" ht="26.25" customHeight="1" x14ac:dyDescent="0.25">
      <c r="B4911" s="130"/>
      <c r="C4911" s="135"/>
      <c r="D4911" s="177"/>
      <c r="E4911" s="178"/>
      <c r="F4911" s="178"/>
      <c r="G4911" s="340"/>
      <c r="H4911" s="340"/>
      <c r="I4911" s="179"/>
      <c r="J4911" s="344"/>
      <c r="K4911" s="345"/>
      <c r="L4911" s="346"/>
      <c r="M4911" s="347"/>
      <c r="N4911" s="347"/>
      <c r="O4911" s="132"/>
    </row>
    <row r="4912" spans="2:15" ht="26.25" customHeight="1" x14ac:dyDescent="0.25">
      <c r="B4912" s="130"/>
      <c r="C4912" s="135"/>
      <c r="D4912" s="177"/>
      <c r="E4912" s="178"/>
      <c r="F4912" s="178"/>
      <c r="G4912" s="340"/>
      <c r="H4912" s="340"/>
      <c r="I4912" s="179"/>
      <c r="J4912" s="344"/>
      <c r="K4912" s="345"/>
      <c r="L4912" s="346"/>
      <c r="M4912" s="347"/>
      <c r="N4912" s="347"/>
      <c r="O4912" s="132"/>
    </row>
    <row r="4913" spans="2:15" ht="26.25" customHeight="1" x14ac:dyDescent="0.25">
      <c r="B4913" s="130"/>
      <c r="C4913" s="135"/>
      <c r="D4913" s="177"/>
      <c r="E4913" s="178"/>
      <c r="F4913" s="178"/>
      <c r="G4913" s="340"/>
      <c r="H4913" s="340"/>
      <c r="I4913" s="179"/>
      <c r="J4913" s="344"/>
      <c r="K4913" s="345"/>
      <c r="L4913" s="346"/>
      <c r="M4913" s="347"/>
      <c r="N4913" s="347"/>
      <c r="O4913" s="132"/>
    </row>
    <row r="4914" spans="2:15" ht="26.25" customHeight="1" x14ac:dyDescent="0.25">
      <c r="B4914" s="130"/>
      <c r="C4914" s="135"/>
      <c r="D4914" s="177"/>
      <c r="E4914" s="178"/>
      <c r="F4914" s="178"/>
      <c r="G4914" s="340"/>
      <c r="H4914" s="340"/>
      <c r="I4914" s="179"/>
      <c r="J4914" s="344"/>
      <c r="K4914" s="345"/>
      <c r="L4914" s="346"/>
      <c r="M4914" s="347"/>
      <c r="N4914" s="347"/>
      <c r="O4914" s="132"/>
    </row>
    <row r="4915" spans="2:15" ht="26.25" customHeight="1" x14ac:dyDescent="0.25">
      <c r="B4915" s="130"/>
      <c r="C4915" s="135"/>
      <c r="D4915" s="177"/>
      <c r="E4915" s="178"/>
      <c r="F4915" s="178"/>
      <c r="G4915" s="340"/>
      <c r="H4915" s="340"/>
      <c r="I4915" s="179"/>
      <c r="J4915" s="344"/>
      <c r="K4915" s="345"/>
      <c r="L4915" s="346"/>
      <c r="M4915" s="347"/>
      <c r="N4915" s="347"/>
      <c r="O4915" s="132"/>
    </row>
    <row r="4916" spans="2:15" ht="26.25" customHeight="1" x14ac:dyDescent="0.25">
      <c r="B4916" s="130"/>
      <c r="C4916" s="135"/>
      <c r="D4916" s="177"/>
      <c r="E4916" s="178"/>
      <c r="F4916" s="178"/>
      <c r="G4916" s="340"/>
      <c r="H4916" s="340"/>
      <c r="I4916" s="179"/>
      <c r="J4916" s="344"/>
      <c r="K4916" s="345"/>
      <c r="L4916" s="346"/>
      <c r="M4916" s="347"/>
      <c r="N4916" s="347"/>
      <c r="O4916" s="132"/>
    </row>
    <row r="4917" spans="2:15" ht="26.25" customHeight="1" x14ac:dyDescent="0.25">
      <c r="B4917" s="130"/>
      <c r="C4917" s="135"/>
      <c r="D4917" s="177"/>
      <c r="E4917" s="178"/>
      <c r="F4917" s="178"/>
      <c r="G4917" s="340"/>
      <c r="H4917" s="340"/>
      <c r="I4917" s="179"/>
      <c r="J4917" s="344"/>
      <c r="K4917" s="345"/>
      <c r="L4917" s="346"/>
      <c r="M4917" s="347"/>
      <c r="N4917" s="347"/>
      <c r="O4917" s="132"/>
    </row>
    <row r="4918" spans="2:15" ht="26.25" customHeight="1" x14ac:dyDescent="0.25">
      <c r="B4918" s="130"/>
      <c r="C4918" s="135"/>
      <c r="D4918" s="177"/>
      <c r="E4918" s="178"/>
      <c r="F4918" s="178"/>
      <c r="G4918" s="340"/>
      <c r="H4918" s="340"/>
      <c r="I4918" s="179"/>
      <c r="J4918" s="344"/>
      <c r="K4918" s="345"/>
      <c r="L4918" s="346"/>
      <c r="M4918" s="347"/>
      <c r="N4918" s="347"/>
      <c r="O4918" s="132"/>
    </row>
    <row r="4919" spans="2:15" ht="26.25" customHeight="1" x14ac:dyDescent="0.25">
      <c r="B4919" s="130"/>
      <c r="C4919" s="135"/>
      <c r="D4919" s="177"/>
      <c r="E4919" s="178"/>
      <c r="F4919" s="178"/>
      <c r="G4919" s="340"/>
      <c r="H4919" s="340"/>
      <c r="I4919" s="179"/>
      <c r="J4919" s="344"/>
      <c r="K4919" s="345"/>
      <c r="L4919" s="346"/>
      <c r="M4919" s="347"/>
      <c r="N4919" s="347"/>
      <c r="O4919" s="132"/>
    </row>
    <row r="4920" spans="2:15" ht="26.25" customHeight="1" x14ac:dyDescent="0.25">
      <c r="B4920" s="130"/>
      <c r="C4920" s="135"/>
      <c r="D4920" s="177"/>
      <c r="E4920" s="178"/>
      <c r="F4920" s="178"/>
      <c r="G4920" s="340"/>
      <c r="H4920" s="340"/>
      <c r="I4920" s="179"/>
      <c r="J4920" s="344"/>
      <c r="K4920" s="345"/>
      <c r="L4920" s="346"/>
      <c r="M4920" s="347"/>
      <c r="N4920" s="347"/>
      <c r="O4920" s="132"/>
    </row>
    <row r="4921" spans="2:15" ht="26.25" customHeight="1" x14ac:dyDescent="0.25">
      <c r="B4921" s="130"/>
      <c r="C4921" s="135"/>
      <c r="D4921" s="177"/>
      <c r="E4921" s="178"/>
      <c r="F4921" s="178"/>
      <c r="G4921" s="340"/>
      <c r="H4921" s="340"/>
      <c r="I4921" s="179"/>
      <c r="J4921" s="344"/>
      <c r="K4921" s="345"/>
      <c r="L4921" s="346"/>
      <c r="M4921" s="347"/>
      <c r="N4921" s="347"/>
      <c r="O4921" s="132"/>
    </row>
    <row r="4922" spans="2:15" ht="26.25" customHeight="1" x14ac:dyDescent="0.25">
      <c r="B4922" s="130"/>
      <c r="C4922" s="135"/>
      <c r="D4922" s="177"/>
      <c r="E4922" s="178"/>
      <c r="F4922" s="178"/>
      <c r="G4922" s="340"/>
      <c r="H4922" s="340"/>
      <c r="I4922" s="179"/>
      <c r="J4922" s="344"/>
      <c r="K4922" s="345"/>
      <c r="L4922" s="346"/>
      <c r="M4922" s="347"/>
      <c r="N4922" s="347"/>
      <c r="O4922" s="132"/>
    </row>
    <row r="4923" spans="2:15" ht="26.25" customHeight="1" x14ac:dyDescent="0.25">
      <c r="B4923" s="130"/>
      <c r="C4923" s="135"/>
      <c r="D4923" s="177"/>
      <c r="E4923" s="178"/>
      <c r="F4923" s="178"/>
      <c r="G4923" s="340"/>
      <c r="H4923" s="340"/>
      <c r="I4923" s="179"/>
      <c r="J4923" s="344"/>
      <c r="K4923" s="345"/>
      <c r="L4923" s="346"/>
      <c r="M4923" s="347"/>
      <c r="N4923" s="347"/>
      <c r="O4923" s="132"/>
    </row>
    <row r="4924" spans="2:15" ht="26.25" customHeight="1" x14ac:dyDescent="0.25">
      <c r="B4924" s="130"/>
      <c r="C4924" s="135"/>
      <c r="D4924" s="177"/>
      <c r="E4924" s="178"/>
      <c r="F4924" s="178"/>
      <c r="G4924" s="340"/>
      <c r="H4924" s="340"/>
      <c r="I4924" s="179"/>
      <c r="J4924" s="344"/>
      <c r="K4924" s="345"/>
      <c r="L4924" s="346"/>
      <c r="M4924" s="347"/>
      <c r="N4924" s="347"/>
      <c r="O4924" s="132"/>
    </row>
    <row r="4925" spans="2:15" ht="26.25" customHeight="1" x14ac:dyDescent="0.25">
      <c r="B4925" s="130"/>
      <c r="C4925" s="135"/>
      <c r="D4925" s="177"/>
      <c r="E4925" s="178"/>
      <c r="F4925" s="178"/>
      <c r="G4925" s="340"/>
      <c r="H4925" s="340"/>
      <c r="I4925" s="179"/>
      <c r="J4925" s="344"/>
      <c r="K4925" s="345"/>
      <c r="L4925" s="346"/>
      <c r="M4925" s="347"/>
      <c r="N4925" s="347"/>
      <c r="O4925" s="132"/>
    </row>
    <row r="4926" spans="2:15" ht="26.25" customHeight="1" x14ac:dyDescent="0.25">
      <c r="B4926" s="130"/>
      <c r="C4926" s="135"/>
      <c r="D4926" s="177"/>
      <c r="E4926" s="178"/>
      <c r="F4926" s="178"/>
      <c r="G4926" s="340"/>
      <c r="H4926" s="340"/>
      <c r="I4926" s="179"/>
      <c r="J4926" s="344"/>
      <c r="K4926" s="345"/>
      <c r="L4926" s="346"/>
      <c r="M4926" s="347"/>
      <c r="N4926" s="347"/>
      <c r="O4926" s="132"/>
    </row>
    <row r="4927" spans="2:15" ht="26.25" customHeight="1" x14ac:dyDescent="0.25">
      <c r="B4927" s="130"/>
      <c r="C4927" s="135"/>
      <c r="D4927" s="177"/>
      <c r="E4927" s="178"/>
      <c r="F4927" s="178"/>
      <c r="G4927" s="340"/>
      <c r="H4927" s="340"/>
      <c r="I4927" s="179"/>
      <c r="J4927" s="344"/>
      <c r="K4927" s="345"/>
      <c r="L4927" s="346"/>
      <c r="M4927" s="347"/>
      <c r="N4927" s="347"/>
      <c r="O4927" s="132"/>
    </row>
    <row r="4928" spans="2:15" ht="26.25" customHeight="1" x14ac:dyDescent="0.25">
      <c r="B4928" s="130"/>
      <c r="C4928" s="135"/>
      <c r="D4928" s="177"/>
      <c r="E4928" s="178"/>
      <c r="F4928" s="178"/>
      <c r="G4928" s="340"/>
      <c r="H4928" s="340"/>
      <c r="I4928" s="179"/>
      <c r="J4928" s="344"/>
      <c r="K4928" s="345"/>
      <c r="L4928" s="346"/>
      <c r="M4928" s="347"/>
      <c r="N4928" s="347"/>
      <c r="O4928" s="132"/>
    </row>
    <row r="4929" spans="2:15" ht="26.25" customHeight="1" x14ac:dyDescent="0.25">
      <c r="B4929" s="130"/>
      <c r="C4929" s="135"/>
      <c r="D4929" s="177"/>
      <c r="E4929" s="178"/>
      <c r="F4929" s="178"/>
      <c r="G4929" s="340"/>
      <c r="H4929" s="340"/>
      <c r="I4929" s="179"/>
      <c r="J4929" s="344"/>
      <c r="K4929" s="345"/>
      <c r="L4929" s="346"/>
      <c r="M4929" s="347"/>
      <c r="N4929" s="347"/>
      <c r="O4929" s="132"/>
    </row>
    <row r="4930" spans="2:15" ht="26.25" customHeight="1" x14ac:dyDescent="0.25">
      <c r="B4930" s="130"/>
      <c r="C4930" s="135"/>
      <c r="D4930" s="177"/>
      <c r="E4930" s="178"/>
      <c r="F4930" s="178"/>
      <c r="G4930" s="340"/>
      <c r="H4930" s="340"/>
      <c r="I4930" s="179"/>
      <c r="J4930" s="344"/>
      <c r="K4930" s="345"/>
      <c r="L4930" s="346"/>
      <c r="M4930" s="347"/>
      <c r="N4930" s="347"/>
      <c r="O4930" s="132"/>
    </row>
    <row r="4931" spans="2:15" ht="26.25" customHeight="1" x14ac:dyDescent="0.25">
      <c r="B4931" s="130"/>
      <c r="C4931" s="135"/>
      <c r="D4931" s="177"/>
      <c r="E4931" s="178"/>
      <c r="F4931" s="178"/>
      <c r="G4931" s="340"/>
      <c r="H4931" s="340"/>
      <c r="I4931" s="179"/>
      <c r="J4931" s="344"/>
      <c r="K4931" s="345"/>
      <c r="L4931" s="346"/>
      <c r="M4931" s="347"/>
      <c r="N4931" s="347"/>
      <c r="O4931" s="132"/>
    </row>
    <row r="4932" spans="2:15" ht="26.25" customHeight="1" x14ac:dyDescent="0.25">
      <c r="B4932" s="130"/>
      <c r="C4932" s="135"/>
      <c r="D4932" s="177"/>
      <c r="E4932" s="178"/>
      <c r="F4932" s="178"/>
      <c r="G4932" s="340"/>
      <c r="H4932" s="340"/>
      <c r="I4932" s="179"/>
      <c r="J4932" s="344"/>
      <c r="K4932" s="345"/>
      <c r="L4932" s="346"/>
      <c r="M4932" s="347"/>
      <c r="N4932" s="347"/>
      <c r="O4932" s="132"/>
    </row>
    <row r="4933" spans="2:15" ht="26.25" customHeight="1" x14ac:dyDescent="0.25">
      <c r="B4933" s="130"/>
      <c r="C4933" s="135"/>
      <c r="D4933" s="177"/>
      <c r="E4933" s="178"/>
      <c r="F4933" s="178"/>
      <c r="G4933" s="340"/>
      <c r="H4933" s="340"/>
      <c r="I4933" s="179"/>
      <c r="J4933" s="344"/>
      <c r="K4933" s="345"/>
      <c r="L4933" s="346"/>
      <c r="M4933" s="347"/>
      <c r="N4933" s="347"/>
      <c r="O4933" s="132"/>
    </row>
    <row r="4934" spans="2:15" ht="26.25" customHeight="1" x14ac:dyDescent="0.25">
      <c r="B4934" s="130"/>
      <c r="C4934" s="135"/>
      <c r="D4934" s="177"/>
      <c r="E4934" s="178"/>
      <c r="F4934" s="178"/>
      <c r="G4934" s="340"/>
      <c r="H4934" s="340"/>
      <c r="I4934" s="179"/>
      <c r="J4934" s="344"/>
      <c r="K4934" s="345"/>
      <c r="L4934" s="346"/>
      <c r="M4934" s="347"/>
      <c r="N4934" s="347"/>
      <c r="O4934" s="132"/>
    </row>
    <row r="4935" spans="2:15" ht="26.25" customHeight="1" x14ac:dyDescent="0.25">
      <c r="B4935" s="130"/>
      <c r="C4935" s="135"/>
      <c r="D4935" s="177"/>
      <c r="E4935" s="178"/>
      <c r="F4935" s="178"/>
      <c r="G4935" s="340"/>
      <c r="H4935" s="340"/>
      <c r="I4935" s="179"/>
      <c r="J4935" s="344"/>
      <c r="K4935" s="345"/>
      <c r="L4935" s="346"/>
      <c r="M4935" s="347"/>
      <c r="N4935" s="347"/>
      <c r="O4935" s="132"/>
    </row>
    <row r="4936" spans="2:15" ht="26.25" customHeight="1" x14ac:dyDescent="0.25">
      <c r="B4936" s="130"/>
      <c r="C4936" s="135"/>
      <c r="D4936" s="177"/>
      <c r="E4936" s="178"/>
      <c r="F4936" s="178"/>
      <c r="G4936" s="340"/>
      <c r="H4936" s="340"/>
      <c r="I4936" s="179"/>
      <c r="J4936" s="344"/>
      <c r="K4936" s="345"/>
      <c r="L4936" s="346"/>
      <c r="M4936" s="347"/>
      <c r="N4936" s="347"/>
      <c r="O4936" s="132"/>
    </row>
    <row r="4937" spans="2:15" ht="26.25" customHeight="1" x14ac:dyDescent="0.25">
      <c r="B4937" s="130"/>
      <c r="C4937" s="135"/>
      <c r="D4937" s="177"/>
      <c r="E4937" s="178"/>
      <c r="F4937" s="178"/>
      <c r="G4937" s="340"/>
      <c r="H4937" s="340"/>
      <c r="I4937" s="179"/>
      <c r="J4937" s="344"/>
      <c r="K4937" s="345"/>
      <c r="L4937" s="346"/>
      <c r="M4937" s="347"/>
      <c r="N4937" s="347"/>
      <c r="O4937" s="132"/>
    </row>
    <row r="4938" spans="2:15" ht="26.25" customHeight="1" x14ac:dyDescent="0.25">
      <c r="B4938" s="130"/>
      <c r="C4938" s="135"/>
      <c r="D4938" s="177"/>
      <c r="E4938" s="178"/>
      <c r="F4938" s="178"/>
      <c r="G4938" s="340"/>
      <c r="H4938" s="340"/>
      <c r="I4938" s="179"/>
      <c r="J4938" s="344"/>
      <c r="K4938" s="345"/>
      <c r="L4938" s="346"/>
      <c r="M4938" s="347"/>
      <c r="N4938" s="347"/>
      <c r="O4938" s="132"/>
    </row>
    <row r="4939" spans="2:15" ht="26.25" customHeight="1" x14ac:dyDescent="0.25">
      <c r="B4939" s="130"/>
      <c r="C4939" s="135"/>
      <c r="D4939" s="177"/>
      <c r="E4939" s="178"/>
      <c r="F4939" s="178"/>
      <c r="G4939" s="340"/>
      <c r="H4939" s="340"/>
      <c r="I4939" s="179"/>
      <c r="J4939" s="344"/>
      <c r="K4939" s="345"/>
      <c r="L4939" s="346"/>
      <c r="M4939" s="347"/>
      <c r="N4939" s="347"/>
      <c r="O4939" s="132"/>
    </row>
    <row r="4940" spans="2:15" ht="26.25" customHeight="1" x14ac:dyDescent="0.25">
      <c r="B4940" s="130"/>
      <c r="C4940" s="135"/>
      <c r="D4940" s="177"/>
      <c r="E4940" s="178"/>
      <c r="F4940" s="178"/>
      <c r="G4940" s="340"/>
      <c r="H4940" s="340"/>
      <c r="I4940" s="179"/>
      <c r="J4940" s="344"/>
      <c r="K4940" s="345"/>
      <c r="L4940" s="346"/>
      <c r="M4940" s="347"/>
      <c r="N4940" s="347"/>
      <c r="O4940" s="132"/>
    </row>
    <row r="4941" spans="2:15" ht="26.25" customHeight="1" x14ac:dyDescent="0.25">
      <c r="B4941" s="130"/>
      <c r="C4941" s="135"/>
      <c r="D4941" s="177"/>
      <c r="E4941" s="178"/>
      <c r="F4941" s="178"/>
      <c r="G4941" s="340"/>
      <c r="H4941" s="340"/>
      <c r="I4941" s="179"/>
      <c r="J4941" s="344"/>
      <c r="K4941" s="345"/>
      <c r="L4941" s="346"/>
      <c r="M4941" s="347"/>
      <c r="N4941" s="347"/>
      <c r="O4941" s="132"/>
    </row>
    <row r="4942" spans="2:15" ht="26.25" customHeight="1" x14ac:dyDescent="0.25">
      <c r="B4942" s="130"/>
      <c r="C4942" s="135"/>
      <c r="D4942" s="177"/>
      <c r="E4942" s="178"/>
      <c r="F4942" s="178"/>
      <c r="G4942" s="340"/>
      <c r="H4942" s="340"/>
      <c r="I4942" s="179"/>
      <c r="J4942" s="344"/>
      <c r="K4942" s="345"/>
      <c r="L4942" s="346"/>
      <c r="M4942" s="347"/>
      <c r="N4942" s="347"/>
      <c r="O4942" s="132"/>
    </row>
    <row r="4943" spans="2:15" ht="26.25" customHeight="1" x14ac:dyDescent="0.25">
      <c r="B4943" s="130"/>
      <c r="C4943" s="135"/>
      <c r="D4943" s="177"/>
      <c r="E4943" s="178"/>
      <c r="F4943" s="178"/>
      <c r="G4943" s="340"/>
      <c r="H4943" s="340"/>
      <c r="I4943" s="179"/>
      <c r="J4943" s="344"/>
      <c r="K4943" s="345"/>
      <c r="L4943" s="346"/>
      <c r="M4943" s="347"/>
      <c r="N4943" s="347"/>
      <c r="O4943" s="132"/>
    </row>
    <row r="4944" spans="2:15" ht="26.25" customHeight="1" x14ac:dyDescent="0.25">
      <c r="B4944" s="130"/>
      <c r="C4944" s="135"/>
      <c r="D4944" s="177"/>
      <c r="E4944" s="178"/>
      <c r="F4944" s="178"/>
      <c r="G4944" s="340"/>
      <c r="H4944" s="340"/>
      <c r="I4944" s="179"/>
      <c r="J4944" s="344"/>
      <c r="K4944" s="345"/>
      <c r="L4944" s="346"/>
      <c r="M4944" s="347"/>
      <c r="N4944" s="347"/>
      <c r="O4944" s="132"/>
    </row>
    <row r="4945" spans="2:15" ht="26.25" customHeight="1" x14ac:dyDescent="0.25">
      <c r="B4945" s="130"/>
      <c r="C4945" s="135"/>
      <c r="D4945" s="177"/>
      <c r="E4945" s="178"/>
      <c r="F4945" s="178"/>
      <c r="G4945" s="340"/>
      <c r="H4945" s="340"/>
      <c r="I4945" s="179"/>
      <c r="J4945" s="344"/>
      <c r="K4945" s="345"/>
      <c r="L4945" s="346"/>
      <c r="M4945" s="347"/>
      <c r="N4945" s="347"/>
      <c r="O4945" s="132"/>
    </row>
    <row r="4946" spans="2:15" ht="26.25" customHeight="1" x14ac:dyDescent="0.25">
      <c r="B4946" s="130"/>
      <c r="C4946" s="135"/>
      <c r="D4946" s="177"/>
      <c r="E4946" s="178"/>
      <c r="F4946" s="178"/>
      <c r="G4946" s="340"/>
      <c r="H4946" s="340"/>
      <c r="I4946" s="179"/>
      <c r="J4946" s="344"/>
      <c r="K4946" s="345"/>
      <c r="L4946" s="346"/>
      <c r="M4946" s="347"/>
      <c r="N4946" s="347"/>
      <c r="O4946" s="132"/>
    </row>
    <row r="4947" spans="2:15" ht="26.25" customHeight="1" x14ac:dyDescent="0.25">
      <c r="B4947" s="130"/>
      <c r="C4947" s="135"/>
      <c r="D4947" s="177"/>
      <c r="E4947" s="178"/>
      <c r="F4947" s="178"/>
      <c r="G4947" s="340"/>
      <c r="H4947" s="340"/>
      <c r="I4947" s="179"/>
      <c r="J4947" s="344"/>
      <c r="K4947" s="345"/>
      <c r="L4947" s="346"/>
      <c r="M4947" s="347"/>
      <c r="N4947" s="347"/>
      <c r="O4947" s="132"/>
    </row>
    <row r="4948" spans="2:15" ht="26.25" customHeight="1" x14ac:dyDescent="0.25">
      <c r="B4948" s="130"/>
      <c r="C4948" s="135"/>
      <c r="D4948" s="177"/>
      <c r="E4948" s="178"/>
      <c r="F4948" s="178"/>
      <c r="G4948" s="340"/>
      <c r="H4948" s="340"/>
      <c r="I4948" s="179"/>
      <c r="J4948" s="344"/>
      <c r="K4948" s="345"/>
      <c r="L4948" s="346"/>
      <c r="M4948" s="347"/>
      <c r="N4948" s="347"/>
      <c r="O4948" s="132"/>
    </row>
    <row r="4949" spans="2:15" ht="26.25" customHeight="1" x14ac:dyDescent="0.25">
      <c r="B4949" s="130"/>
      <c r="C4949" s="135"/>
      <c r="D4949" s="177"/>
      <c r="E4949" s="178"/>
      <c r="F4949" s="178"/>
      <c r="G4949" s="340"/>
      <c r="H4949" s="340"/>
      <c r="I4949" s="179"/>
      <c r="J4949" s="344"/>
      <c r="K4949" s="345"/>
      <c r="L4949" s="346"/>
      <c r="M4949" s="347"/>
      <c r="N4949" s="347"/>
      <c r="O4949" s="132"/>
    </row>
    <row r="4950" spans="2:15" ht="26.25" customHeight="1" x14ac:dyDescent="0.25">
      <c r="B4950" s="130"/>
      <c r="C4950" s="135"/>
      <c r="D4950" s="177"/>
      <c r="E4950" s="178"/>
      <c r="F4950" s="178"/>
      <c r="G4950" s="340"/>
      <c r="H4950" s="340"/>
      <c r="I4950" s="179"/>
      <c r="J4950" s="344"/>
      <c r="K4950" s="345"/>
      <c r="L4950" s="346"/>
      <c r="M4950" s="347"/>
      <c r="N4950" s="347"/>
      <c r="O4950" s="132"/>
    </row>
    <row r="4951" spans="2:15" ht="26.25" customHeight="1" x14ac:dyDescent="0.25">
      <c r="B4951" s="130"/>
      <c r="C4951" s="135"/>
      <c r="D4951" s="177"/>
      <c r="E4951" s="178"/>
      <c r="F4951" s="178"/>
      <c r="G4951" s="340"/>
      <c r="H4951" s="340"/>
      <c r="I4951" s="179"/>
      <c r="J4951" s="344"/>
      <c r="K4951" s="345"/>
      <c r="L4951" s="346"/>
      <c r="M4951" s="347"/>
      <c r="N4951" s="347"/>
      <c r="O4951" s="132"/>
    </row>
    <row r="4952" spans="2:15" ht="26.25" customHeight="1" x14ac:dyDescent="0.25">
      <c r="B4952" s="130"/>
      <c r="C4952" s="135"/>
      <c r="D4952" s="177"/>
      <c r="E4952" s="178"/>
      <c r="F4952" s="178"/>
      <c r="G4952" s="340"/>
      <c r="H4952" s="340"/>
      <c r="I4952" s="179"/>
      <c r="J4952" s="344"/>
      <c r="K4952" s="345"/>
      <c r="L4952" s="346"/>
      <c r="M4952" s="347"/>
      <c r="N4952" s="347"/>
      <c r="O4952" s="132"/>
    </row>
    <row r="4953" spans="2:15" ht="26.25" customHeight="1" x14ac:dyDescent="0.25">
      <c r="B4953" s="130"/>
      <c r="C4953" s="135"/>
      <c r="D4953" s="177"/>
      <c r="E4953" s="178"/>
      <c r="F4953" s="178"/>
      <c r="G4953" s="340"/>
      <c r="H4953" s="340"/>
      <c r="I4953" s="179"/>
      <c r="J4953" s="344"/>
      <c r="K4953" s="345"/>
      <c r="L4953" s="346"/>
      <c r="M4953" s="347"/>
      <c r="N4953" s="347"/>
      <c r="O4953" s="132"/>
    </row>
    <row r="4954" spans="2:15" ht="26.25" customHeight="1" x14ac:dyDescent="0.25">
      <c r="B4954" s="130"/>
      <c r="C4954" s="135"/>
      <c r="D4954" s="177"/>
      <c r="E4954" s="178"/>
      <c r="F4954" s="178"/>
      <c r="G4954" s="340"/>
      <c r="H4954" s="340"/>
      <c r="I4954" s="179"/>
      <c r="J4954" s="344"/>
      <c r="K4954" s="345"/>
      <c r="L4954" s="346"/>
      <c r="M4954" s="347"/>
      <c r="N4954" s="347"/>
      <c r="O4954" s="132"/>
    </row>
    <row r="4955" spans="2:15" ht="26.25" customHeight="1" x14ac:dyDescent="0.25">
      <c r="B4955" s="130"/>
      <c r="C4955" s="135"/>
      <c r="D4955" s="177"/>
      <c r="E4955" s="178"/>
      <c r="F4955" s="178"/>
      <c r="G4955" s="340"/>
      <c r="H4955" s="340"/>
      <c r="I4955" s="179"/>
      <c r="J4955" s="344"/>
      <c r="K4955" s="345"/>
      <c r="L4955" s="346"/>
      <c r="M4955" s="347"/>
      <c r="N4955" s="347"/>
      <c r="O4955" s="132"/>
    </row>
    <row r="4956" spans="2:15" ht="26.25" customHeight="1" x14ac:dyDescent="0.25">
      <c r="B4956" s="130"/>
      <c r="C4956" s="135"/>
      <c r="D4956" s="177"/>
      <c r="E4956" s="178"/>
      <c r="F4956" s="178"/>
      <c r="G4956" s="340"/>
      <c r="H4956" s="340"/>
      <c r="I4956" s="179"/>
      <c r="J4956" s="344"/>
      <c r="K4956" s="345"/>
      <c r="L4956" s="346"/>
      <c r="M4956" s="347"/>
      <c r="N4956" s="347"/>
      <c r="O4956" s="132"/>
    </row>
    <row r="4957" spans="2:15" ht="26.25" customHeight="1" x14ac:dyDescent="0.25">
      <c r="B4957" s="130"/>
      <c r="C4957" s="135"/>
      <c r="D4957" s="177"/>
      <c r="E4957" s="178"/>
      <c r="F4957" s="178"/>
      <c r="G4957" s="340"/>
      <c r="H4957" s="340"/>
      <c r="I4957" s="179"/>
      <c r="J4957" s="344"/>
      <c r="K4957" s="345"/>
      <c r="L4957" s="346"/>
      <c r="M4957" s="347"/>
      <c r="N4957" s="347"/>
      <c r="O4957" s="132"/>
    </row>
    <row r="4958" spans="2:15" ht="26.25" customHeight="1" x14ac:dyDescent="0.25">
      <c r="B4958" s="130"/>
      <c r="C4958" s="135"/>
      <c r="D4958" s="177"/>
      <c r="E4958" s="178"/>
      <c r="F4958" s="178"/>
      <c r="G4958" s="340"/>
      <c r="H4958" s="340"/>
      <c r="I4958" s="179"/>
      <c r="J4958" s="344"/>
      <c r="K4958" s="345"/>
      <c r="L4958" s="346"/>
      <c r="M4958" s="347"/>
      <c r="N4958" s="347"/>
      <c r="O4958" s="132"/>
    </row>
    <row r="4959" spans="2:15" ht="26.25" customHeight="1" x14ac:dyDescent="0.25">
      <c r="B4959" s="130"/>
      <c r="C4959" s="135"/>
      <c r="D4959" s="177"/>
      <c r="E4959" s="178"/>
      <c r="F4959" s="178"/>
      <c r="G4959" s="340"/>
      <c r="H4959" s="340"/>
      <c r="I4959" s="179"/>
      <c r="J4959" s="344"/>
      <c r="K4959" s="345"/>
      <c r="L4959" s="346"/>
      <c r="M4959" s="347"/>
      <c r="N4959" s="347"/>
      <c r="O4959" s="132"/>
    </row>
    <row r="4960" spans="2:15" ht="26.25" customHeight="1" x14ac:dyDescent="0.25">
      <c r="B4960" s="130"/>
      <c r="C4960" s="135"/>
      <c r="D4960" s="177"/>
      <c r="E4960" s="178"/>
      <c r="F4960" s="178"/>
      <c r="G4960" s="340"/>
      <c r="H4960" s="340"/>
      <c r="I4960" s="179"/>
      <c r="J4960" s="344"/>
      <c r="K4960" s="345"/>
      <c r="L4960" s="346"/>
      <c r="M4960" s="347"/>
      <c r="N4960" s="347"/>
      <c r="O4960" s="132"/>
    </row>
    <row r="4961" spans="2:15" ht="26.25" customHeight="1" x14ac:dyDescent="0.25">
      <c r="B4961" s="130"/>
      <c r="C4961" s="135"/>
      <c r="D4961" s="177"/>
      <c r="E4961" s="178"/>
      <c r="F4961" s="178"/>
      <c r="G4961" s="340"/>
      <c r="H4961" s="340"/>
      <c r="I4961" s="179"/>
      <c r="J4961" s="344"/>
      <c r="K4961" s="345"/>
      <c r="L4961" s="346"/>
      <c r="M4961" s="347"/>
      <c r="N4961" s="347"/>
      <c r="O4961" s="132"/>
    </row>
    <row r="4962" spans="2:15" ht="26.25" customHeight="1" x14ac:dyDescent="0.25">
      <c r="B4962" s="130"/>
      <c r="C4962" s="135"/>
      <c r="D4962" s="177"/>
      <c r="E4962" s="178"/>
      <c r="F4962" s="178"/>
      <c r="G4962" s="340"/>
      <c r="H4962" s="340"/>
      <c r="I4962" s="179"/>
      <c r="J4962" s="344"/>
      <c r="K4962" s="345"/>
      <c r="L4962" s="346"/>
      <c r="M4962" s="347"/>
      <c r="N4962" s="347"/>
      <c r="O4962" s="132"/>
    </row>
    <row r="4963" spans="2:15" ht="26.25" customHeight="1" x14ac:dyDescent="0.25">
      <c r="B4963" s="130"/>
      <c r="C4963" s="135"/>
      <c r="D4963" s="177"/>
      <c r="E4963" s="178"/>
      <c r="F4963" s="178"/>
      <c r="G4963" s="340"/>
      <c r="H4963" s="340"/>
      <c r="I4963" s="179"/>
      <c r="J4963" s="344"/>
      <c r="K4963" s="345"/>
      <c r="L4963" s="346"/>
      <c r="M4963" s="347"/>
      <c r="N4963" s="347"/>
      <c r="O4963" s="132"/>
    </row>
    <row r="4964" spans="2:15" ht="26.25" customHeight="1" x14ac:dyDescent="0.25">
      <c r="B4964" s="130"/>
      <c r="C4964" s="135"/>
      <c r="D4964" s="177"/>
      <c r="E4964" s="178"/>
      <c r="F4964" s="178"/>
      <c r="G4964" s="340"/>
      <c r="H4964" s="340"/>
      <c r="I4964" s="179"/>
      <c r="J4964" s="344"/>
      <c r="K4964" s="345"/>
      <c r="L4964" s="346"/>
      <c r="M4964" s="347"/>
      <c r="N4964" s="347"/>
      <c r="O4964" s="132"/>
    </row>
    <row r="4965" spans="2:15" ht="26.25" customHeight="1" x14ac:dyDescent="0.25">
      <c r="B4965" s="130"/>
      <c r="C4965" s="135"/>
      <c r="D4965" s="177"/>
      <c r="E4965" s="178"/>
      <c r="F4965" s="178"/>
      <c r="G4965" s="340"/>
      <c r="H4965" s="340"/>
      <c r="I4965" s="179"/>
      <c r="J4965" s="344"/>
      <c r="K4965" s="345"/>
      <c r="L4965" s="346"/>
      <c r="M4965" s="347"/>
      <c r="N4965" s="347"/>
      <c r="O4965" s="132"/>
    </row>
    <row r="4966" spans="2:15" ht="26.25" customHeight="1" x14ac:dyDescent="0.25">
      <c r="B4966" s="130"/>
      <c r="C4966" s="135"/>
      <c r="D4966" s="177"/>
      <c r="E4966" s="178"/>
      <c r="F4966" s="178"/>
      <c r="G4966" s="340"/>
      <c r="H4966" s="340"/>
      <c r="I4966" s="179"/>
      <c r="J4966" s="344"/>
      <c r="K4966" s="345"/>
      <c r="L4966" s="346"/>
      <c r="M4966" s="347"/>
      <c r="N4966" s="347"/>
      <c r="O4966" s="132"/>
    </row>
    <row r="4967" spans="2:15" ht="26.25" customHeight="1" x14ac:dyDescent="0.25">
      <c r="B4967" s="130"/>
      <c r="C4967" s="135"/>
      <c r="D4967" s="177"/>
      <c r="E4967" s="178"/>
      <c r="F4967" s="178"/>
      <c r="G4967" s="340"/>
      <c r="H4967" s="340"/>
      <c r="I4967" s="179"/>
      <c r="J4967" s="344"/>
      <c r="K4967" s="345"/>
      <c r="L4967" s="346"/>
      <c r="M4967" s="347"/>
      <c r="N4967" s="347"/>
      <c r="O4967" s="132"/>
    </row>
    <row r="4968" spans="2:15" ht="26.25" customHeight="1" x14ac:dyDescent="0.25">
      <c r="B4968" s="130"/>
      <c r="C4968" s="135"/>
      <c r="D4968" s="177"/>
      <c r="E4968" s="178"/>
      <c r="F4968" s="178"/>
      <c r="G4968" s="340"/>
      <c r="H4968" s="340"/>
      <c r="I4968" s="179"/>
      <c r="J4968" s="344"/>
      <c r="K4968" s="345"/>
      <c r="L4968" s="346"/>
      <c r="M4968" s="347"/>
      <c r="N4968" s="347"/>
      <c r="O4968" s="132"/>
    </row>
    <row r="4969" spans="2:15" ht="26.25" customHeight="1" x14ac:dyDescent="0.25">
      <c r="B4969" s="130"/>
      <c r="C4969" s="135"/>
      <c r="D4969" s="177"/>
      <c r="E4969" s="178"/>
      <c r="F4969" s="178"/>
      <c r="G4969" s="340"/>
      <c r="H4969" s="340"/>
      <c r="I4969" s="179"/>
      <c r="J4969" s="344"/>
      <c r="K4969" s="345"/>
      <c r="L4969" s="346"/>
      <c r="M4969" s="347"/>
      <c r="N4969" s="347"/>
      <c r="O4969" s="132"/>
    </row>
    <row r="4970" spans="2:15" ht="26.25" customHeight="1" x14ac:dyDescent="0.25">
      <c r="B4970" s="130"/>
      <c r="C4970" s="135"/>
      <c r="D4970" s="177"/>
      <c r="E4970" s="178"/>
      <c r="F4970" s="178"/>
      <c r="G4970" s="340"/>
      <c r="H4970" s="340"/>
      <c r="I4970" s="179"/>
      <c r="J4970" s="344"/>
      <c r="K4970" s="345"/>
      <c r="L4970" s="346"/>
      <c r="M4970" s="347"/>
      <c r="N4970" s="347"/>
      <c r="O4970" s="132"/>
    </row>
    <row r="4971" spans="2:15" ht="26.25" customHeight="1" x14ac:dyDescent="0.25">
      <c r="B4971" s="130"/>
      <c r="C4971" s="135"/>
      <c r="D4971" s="177"/>
      <c r="E4971" s="178"/>
      <c r="F4971" s="178"/>
      <c r="G4971" s="340"/>
      <c r="H4971" s="340"/>
      <c r="I4971" s="179"/>
      <c r="J4971" s="344"/>
      <c r="K4971" s="345"/>
      <c r="L4971" s="346"/>
      <c r="M4971" s="347"/>
      <c r="N4971" s="347"/>
      <c r="O4971" s="132"/>
    </row>
    <row r="4972" spans="2:15" ht="26.25" customHeight="1" x14ac:dyDescent="0.25">
      <c r="B4972" s="130"/>
      <c r="C4972" s="135"/>
      <c r="D4972" s="177"/>
      <c r="E4972" s="178"/>
      <c r="F4972" s="178"/>
      <c r="G4972" s="340"/>
      <c r="H4972" s="340"/>
      <c r="I4972" s="179"/>
      <c r="J4972" s="344"/>
      <c r="K4972" s="345"/>
      <c r="L4972" s="346"/>
      <c r="M4972" s="347"/>
      <c r="N4972" s="347"/>
      <c r="O4972" s="132"/>
    </row>
    <row r="4973" spans="2:15" ht="26.25" customHeight="1" x14ac:dyDescent="0.25">
      <c r="B4973" s="130"/>
      <c r="C4973" s="135"/>
      <c r="D4973" s="177"/>
      <c r="E4973" s="178"/>
      <c r="F4973" s="178"/>
      <c r="G4973" s="340"/>
      <c r="H4973" s="340"/>
      <c r="I4973" s="179"/>
      <c r="J4973" s="344"/>
      <c r="K4973" s="345"/>
      <c r="L4973" s="346"/>
      <c r="M4973" s="347"/>
      <c r="N4973" s="347"/>
      <c r="O4973" s="132"/>
    </row>
    <row r="4974" spans="2:15" ht="26.25" customHeight="1" x14ac:dyDescent="0.25">
      <c r="B4974" s="130"/>
      <c r="C4974" s="135"/>
      <c r="D4974" s="177"/>
      <c r="E4974" s="178"/>
      <c r="F4974" s="178"/>
      <c r="G4974" s="340"/>
      <c r="H4974" s="340"/>
      <c r="I4974" s="179"/>
      <c r="J4974" s="344"/>
      <c r="K4974" s="345"/>
      <c r="L4974" s="346"/>
      <c r="M4974" s="347"/>
      <c r="N4974" s="347"/>
      <c r="O4974" s="132"/>
    </row>
    <row r="4975" spans="2:15" ht="26.25" customHeight="1" x14ac:dyDescent="0.25">
      <c r="B4975" s="130"/>
      <c r="C4975" s="135"/>
      <c r="D4975" s="177"/>
      <c r="E4975" s="178"/>
      <c r="F4975" s="178"/>
      <c r="G4975" s="340"/>
      <c r="H4975" s="340"/>
      <c r="I4975" s="179"/>
      <c r="J4975" s="344"/>
      <c r="K4975" s="345"/>
      <c r="L4975" s="346"/>
      <c r="M4975" s="347"/>
      <c r="N4975" s="347"/>
      <c r="O4975" s="132"/>
    </row>
    <row r="4976" spans="2:15" ht="26.25" customHeight="1" x14ac:dyDescent="0.25">
      <c r="B4976" s="130"/>
      <c r="C4976" s="135"/>
      <c r="D4976" s="177"/>
      <c r="E4976" s="178"/>
      <c r="F4976" s="178"/>
      <c r="G4976" s="340"/>
      <c r="H4976" s="340"/>
      <c r="I4976" s="179"/>
      <c r="J4976" s="344"/>
      <c r="K4976" s="345"/>
      <c r="L4976" s="346"/>
      <c r="M4976" s="347"/>
      <c r="N4976" s="347"/>
      <c r="O4976" s="132"/>
    </row>
    <row r="4977" spans="2:15" ht="26.25" customHeight="1" x14ac:dyDescent="0.25">
      <c r="B4977" s="130"/>
      <c r="C4977" s="135"/>
      <c r="D4977" s="177"/>
      <c r="E4977" s="178"/>
      <c r="F4977" s="178"/>
      <c r="G4977" s="340"/>
      <c r="H4977" s="340"/>
      <c r="I4977" s="179"/>
      <c r="J4977" s="344"/>
      <c r="K4977" s="345"/>
      <c r="L4977" s="346"/>
      <c r="M4977" s="347"/>
      <c r="N4977" s="347"/>
      <c r="O4977" s="132"/>
    </row>
    <row r="4978" spans="2:15" ht="26.25" customHeight="1" x14ac:dyDescent="0.25">
      <c r="B4978" s="130"/>
      <c r="C4978" s="135"/>
      <c r="D4978" s="177"/>
      <c r="E4978" s="178"/>
      <c r="F4978" s="178"/>
      <c r="G4978" s="340"/>
      <c r="H4978" s="340"/>
      <c r="I4978" s="179"/>
      <c r="J4978" s="344"/>
      <c r="K4978" s="345"/>
      <c r="L4978" s="346"/>
      <c r="M4978" s="347"/>
      <c r="N4978" s="347"/>
      <c r="O4978" s="132"/>
    </row>
    <row r="4979" spans="2:15" ht="26.25" customHeight="1" x14ac:dyDescent="0.25">
      <c r="B4979" s="130"/>
      <c r="C4979" s="135"/>
      <c r="D4979" s="177"/>
      <c r="E4979" s="178"/>
      <c r="F4979" s="178"/>
      <c r="G4979" s="340"/>
      <c r="H4979" s="340"/>
      <c r="I4979" s="179"/>
      <c r="J4979" s="344"/>
      <c r="K4979" s="345"/>
      <c r="L4979" s="346"/>
      <c r="M4979" s="347"/>
      <c r="N4979" s="347"/>
      <c r="O4979" s="132"/>
    </row>
    <row r="4980" spans="2:15" ht="26.25" customHeight="1" x14ac:dyDescent="0.25">
      <c r="B4980" s="130"/>
      <c r="C4980" s="135"/>
      <c r="D4980" s="177"/>
      <c r="E4980" s="178"/>
      <c r="F4980" s="178"/>
      <c r="G4980" s="340"/>
      <c r="H4980" s="340"/>
      <c r="I4980" s="179"/>
      <c r="J4980" s="344"/>
      <c r="K4980" s="345"/>
      <c r="L4980" s="346"/>
      <c r="M4980" s="347"/>
      <c r="N4980" s="347"/>
      <c r="O4980" s="132"/>
    </row>
    <row r="4981" spans="2:15" ht="26.25" customHeight="1" x14ac:dyDescent="0.25">
      <c r="B4981" s="130"/>
      <c r="C4981" s="135"/>
      <c r="D4981" s="177"/>
      <c r="E4981" s="178"/>
      <c r="F4981" s="178"/>
      <c r="G4981" s="340"/>
      <c r="H4981" s="340"/>
      <c r="I4981" s="179"/>
      <c r="J4981" s="344"/>
      <c r="K4981" s="345"/>
      <c r="L4981" s="346"/>
      <c r="M4981" s="347"/>
      <c r="N4981" s="347"/>
      <c r="O4981" s="132"/>
    </row>
    <row r="4982" spans="2:15" ht="26.25" customHeight="1" x14ac:dyDescent="0.25">
      <c r="B4982" s="130"/>
      <c r="C4982" s="135"/>
      <c r="D4982" s="177"/>
      <c r="E4982" s="178"/>
      <c r="F4982" s="178"/>
      <c r="G4982" s="340"/>
      <c r="H4982" s="340"/>
      <c r="I4982" s="179"/>
      <c r="J4982" s="344"/>
      <c r="K4982" s="345"/>
      <c r="L4982" s="346"/>
      <c r="M4982" s="347"/>
      <c r="N4982" s="347"/>
      <c r="O4982" s="132"/>
    </row>
    <row r="4983" spans="2:15" ht="26.25" customHeight="1" x14ac:dyDescent="0.25">
      <c r="B4983" s="130"/>
      <c r="C4983" s="135"/>
      <c r="D4983" s="177"/>
      <c r="E4983" s="178"/>
      <c r="F4983" s="178"/>
      <c r="G4983" s="340"/>
      <c r="H4983" s="340"/>
      <c r="I4983" s="179"/>
      <c r="J4983" s="344"/>
      <c r="K4983" s="345"/>
      <c r="L4983" s="346"/>
      <c r="M4983" s="347"/>
      <c r="N4983" s="347"/>
      <c r="O4983" s="132"/>
    </row>
    <row r="4984" spans="2:15" ht="26.25" customHeight="1" x14ac:dyDescent="0.25">
      <c r="B4984" s="130"/>
      <c r="C4984" s="135"/>
      <c r="D4984" s="177"/>
      <c r="E4984" s="178"/>
      <c r="F4984" s="178"/>
      <c r="G4984" s="340"/>
      <c r="H4984" s="340"/>
      <c r="I4984" s="179"/>
      <c r="J4984" s="344"/>
      <c r="K4984" s="345"/>
      <c r="L4984" s="346"/>
      <c r="M4984" s="347"/>
      <c r="N4984" s="347"/>
      <c r="O4984" s="132"/>
    </row>
    <row r="4985" spans="2:15" ht="26.25" customHeight="1" x14ac:dyDescent="0.25">
      <c r="B4985" s="130"/>
      <c r="C4985" s="135"/>
      <c r="D4985" s="177"/>
      <c r="E4985" s="178"/>
      <c r="F4985" s="178"/>
      <c r="G4985" s="340"/>
      <c r="H4985" s="340"/>
      <c r="I4985" s="179"/>
      <c r="J4985" s="344"/>
      <c r="K4985" s="345"/>
      <c r="L4985" s="346"/>
      <c r="M4985" s="347"/>
      <c r="N4985" s="347"/>
      <c r="O4985" s="132"/>
    </row>
    <row r="4986" spans="2:15" ht="26.25" customHeight="1" x14ac:dyDescent="0.25">
      <c r="B4986" s="130"/>
      <c r="C4986" s="135"/>
      <c r="D4986" s="177"/>
      <c r="E4986" s="178"/>
      <c r="F4986" s="178"/>
      <c r="G4986" s="340"/>
      <c r="H4986" s="340"/>
      <c r="I4986" s="179"/>
      <c r="J4986" s="344"/>
      <c r="K4986" s="345"/>
      <c r="L4986" s="346"/>
      <c r="M4986" s="347"/>
      <c r="N4986" s="347"/>
      <c r="O4986" s="132"/>
    </row>
    <row r="4987" spans="2:15" ht="26.25" customHeight="1" x14ac:dyDescent="0.25">
      <c r="B4987" s="130"/>
      <c r="C4987" s="135"/>
      <c r="D4987" s="177"/>
      <c r="E4987" s="178"/>
      <c r="F4987" s="178"/>
      <c r="G4987" s="340"/>
      <c r="H4987" s="340"/>
      <c r="I4987" s="179"/>
      <c r="J4987" s="344"/>
      <c r="K4987" s="345"/>
      <c r="L4987" s="346"/>
      <c r="M4987" s="347"/>
      <c r="N4987" s="347"/>
      <c r="O4987" s="132"/>
    </row>
    <row r="4988" spans="2:15" ht="26.25" customHeight="1" x14ac:dyDescent="0.25">
      <c r="B4988" s="130"/>
      <c r="C4988" s="135"/>
      <c r="D4988" s="177"/>
      <c r="E4988" s="178"/>
      <c r="F4988" s="178"/>
      <c r="G4988" s="340"/>
      <c r="H4988" s="340"/>
      <c r="I4988" s="179"/>
      <c r="J4988" s="344"/>
      <c r="K4988" s="345"/>
      <c r="L4988" s="346"/>
      <c r="M4988" s="347"/>
      <c r="N4988" s="347"/>
      <c r="O4988" s="132"/>
    </row>
    <row r="4989" spans="2:15" ht="26.25" customHeight="1" x14ac:dyDescent="0.25">
      <c r="B4989" s="130"/>
      <c r="C4989" s="135"/>
      <c r="D4989" s="177"/>
      <c r="E4989" s="178"/>
      <c r="F4989" s="178"/>
      <c r="G4989" s="340"/>
      <c r="H4989" s="340"/>
      <c r="I4989" s="179"/>
      <c r="J4989" s="344"/>
      <c r="K4989" s="345"/>
      <c r="L4989" s="346"/>
      <c r="M4989" s="347"/>
      <c r="N4989" s="347"/>
      <c r="O4989" s="132"/>
    </row>
    <row r="4990" spans="2:15" ht="26.25" customHeight="1" x14ac:dyDescent="0.25">
      <c r="B4990" s="130"/>
      <c r="C4990" s="135"/>
      <c r="D4990" s="177"/>
      <c r="E4990" s="178"/>
      <c r="F4990" s="178"/>
      <c r="G4990" s="340"/>
      <c r="H4990" s="340"/>
      <c r="I4990" s="179"/>
      <c r="J4990" s="344"/>
      <c r="K4990" s="345"/>
      <c r="L4990" s="346"/>
      <c r="M4990" s="347"/>
      <c r="N4990" s="347"/>
      <c r="O4990" s="132"/>
    </row>
    <row r="4991" spans="2:15" ht="26.25" customHeight="1" x14ac:dyDescent="0.25">
      <c r="B4991" s="130"/>
      <c r="C4991" s="135"/>
      <c r="D4991" s="177"/>
      <c r="E4991" s="178"/>
      <c r="F4991" s="178"/>
      <c r="G4991" s="340"/>
      <c r="H4991" s="340"/>
      <c r="I4991" s="179"/>
      <c r="J4991" s="344"/>
      <c r="K4991" s="345"/>
      <c r="L4991" s="346"/>
      <c r="M4991" s="347"/>
      <c r="N4991" s="347"/>
      <c r="O4991" s="132"/>
    </row>
    <row r="4992" spans="2:15" ht="26.25" customHeight="1" x14ac:dyDescent="0.25">
      <c r="B4992" s="130"/>
      <c r="C4992" s="135"/>
      <c r="D4992" s="177"/>
      <c r="E4992" s="178"/>
      <c r="F4992" s="178"/>
      <c r="G4992" s="340"/>
      <c r="H4992" s="340"/>
      <c r="I4992" s="179"/>
      <c r="J4992" s="344"/>
      <c r="K4992" s="345"/>
      <c r="L4992" s="346"/>
      <c r="M4992" s="347"/>
      <c r="N4992" s="347"/>
      <c r="O4992" s="132"/>
    </row>
    <row r="4993" spans="2:15" ht="26.25" customHeight="1" x14ac:dyDescent="0.25">
      <c r="B4993" s="130"/>
      <c r="C4993" s="135"/>
      <c r="D4993" s="177"/>
      <c r="E4993" s="178"/>
      <c r="F4993" s="178"/>
      <c r="G4993" s="340"/>
      <c r="H4993" s="340"/>
      <c r="I4993" s="179"/>
      <c r="J4993" s="344"/>
      <c r="K4993" s="345"/>
      <c r="L4993" s="346"/>
      <c r="M4993" s="347"/>
      <c r="N4993" s="347"/>
      <c r="O4993" s="132"/>
    </row>
    <row r="4994" spans="2:15" ht="26.25" customHeight="1" x14ac:dyDescent="0.25">
      <c r="B4994" s="130"/>
      <c r="C4994" s="135"/>
      <c r="D4994" s="177"/>
      <c r="E4994" s="178"/>
      <c r="F4994" s="178"/>
      <c r="G4994" s="340"/>
      <c r="H4994" s="340"/>
      <c r="I4994" s="179"/>
      <c r="J4994" s="344"/>
      <c r="K4994" s="345"/>
      <c r="L4994" s="346"/>
      <c r="M4994" s="347"/>
      <c r="N4994" s="347"/>
      <c r="O4994" s="132"/>
    </row>
    <row r="4995" spans="2:15" ht="26.25" customHeight="1" x14ac:dyDescent="0.25">
      <c r="B4995" s="130"/>
      <c r="C4995" s="135"/>
      <c r="D4995" s="177"/>
      <c r="E4995" s="178"/>
      <c r="F4995" s="178"/>
      <c r="G4995" s="340"/>
      <c r="H4995" s="340"/>
      <c r="I4995" s="179"/>
      <c r="J4995" s="344"/>
      <c r="K4995" s="345"/>
      <c r="L4995" s="346"/>
      <c r="M4995" s="347"/>
      <c r="N4995" s="347"/>
      <c r="O4995" s="132"/>
    </row>
    <row r="4996" spans="2:15" ht="26.25" customHeight="1" x14ac:dyDescent="0.25">
      <c r="B4996" s="130"/>
      <c r="C4996" s="135"/>
      <c r="D4996" s="177"/>
      <c r="E4996" s="178"/>
      <c r="F4996" s="178"/>
      <c r="G4996" s="340"/>
      <c r="H4996" s="340"/>
      <c r="I4996" s="179"/>
      <c r="J4996" s="344"/>
      <c r="K4996" s="345"/>
      <c r="L4996" s="346"/>
      <c r="M4996" s="347"/>
      <c r="N4996" s="347"/>
      <c r="O4996" s="132"/>
    </row>
    <row r="4997" spans="2:15" ht="26.25" customHeight="1" x14ac:dyDescent="0.25">
      <c r="B4997" s="130"/>
      <c r="C4997" s="135"/>
      <c r="D4997" s="177"/>
      <c r="E4997" s="178"/>
      <c r="F4997" s="178"/>
      <c r="G4997" s="340"/>
      <c r="H4997" s="340"/>
      <c r="I4997" s="179"/>
      <c r="J4997" s="344"/>
      <c r="K4997" s="345"/>
      <c r="L4997" s="346"/>
      <c r="M4997" s="347"/>
      <c r="N4997" s="347"/>
      <c r="O4997" s="132"/>
    </row>
    <row r="4998" spans="2:15" ht="26.25" customHeight="1" x14ac:dyDescent="0.25">
      <c r="B4998" s="130"/>
      <c r="C4998" s="135"/>
      <c r="D4998" s="177"/>
      <c r="E4998" s="178"/>
      <c r="F4998" s="178"/>
      <c r="G4998" s="340"/>
      <c r="H4998" s="340"/>
      <c r="I4998" s="179"/>
      <c r="J4998" s="344"/>
      <c r="K4998" s="345"/>
      <c r="L4998" s="346"/>
      <c r="M4998" s="347"/>
      <c r="N4998" s="347"/>
      <c r="O4998" s="132"/>
    </row>
    <row r="4999" spans="2:15" ht="26.25" customHeight="1" x14ac:dyDescent="0.25">
      <c r="B4999" s="130"/>
      <c r="C4999" s="135"/>
      <c r="D4999" s="177"/>
      <c r="E4999" s="178"/>
      <c r="F4999" s="178"/>
      <c r="G4999" s="340"/>
      <c r="H4999" s="340"/>
      <c r="I4999" s="179"/>
      <c r="J4999" s="344"/>
      <c r="K4999" s="345"/>
      <c r="L4999" s="346"/>
      <c r="M4999" s="347"/>
      <c r="N4999" s="347"/>
      <c r="O4999" s="132"/>
    </row>
    <row r="5000" spans="2:15" ht="26.25" customHeight="1" x14ac:dyDescent="0.25">
      <c r="B5000" s="130"/>
      <c r="C5000" s="135"/>
      <c r="D5000" s="177"/>
      <c r="E5000" s="178"/>
      <c r="F5000" s="178"/>
      <c r="G5000" s="340"/>
      <c r="H5000" s="340"/>
      <c r="I5000" s="179"/>
      <c r="J5000" s="344"/>
      <c r="K5000" s="345"/>
      <c r="L5000" s="346"/>
      <c r="M5000" s="347"/>
      <c r="N5000" s="347"/>
      <c r="O5000" s="132"/>
    </row>
    <row r="5001" spans="2:15" ht="26.25" customHeight="1" x14ac:dyDescent="0.25">
      <c r="B5001" s="130"/>
      <c r="C5001" s="135"/>
      <c r="D5001" s="177"/>
      <c r="E5001" s="178"/>
      <c r="F5001" s="178"/>
      <c r="G5001" s="340"/>
      <c r="H5001" s="340"/>
      <c r="I5001" s="179"/>
      <c r="J5001" s="344"/>
      <c r="K5001" s="345"/>
      <c r="L5001" s="346"/>
      <c r="M5001" s="347"/>
      <c r="N5001" s="347"/>
      <c r="O5001" s="132"/>
    </row>
    <row r="5002" spans="2:15" ht="26.25" customHeight="1" x14ac:dyDescent="0.25">
      <c r="B5002" s="130"/>
      <c r="C5002" s="135"/>
      <c r="D5002" s="177"/>
      <c r="E5002" s="178"/>
      <c r="F5002" s="178"/>
      <c r="G5002" s="340"/>
      <c r="H5002" s="340"/>
      <c r="I5002" s="179"/>
      <c r="J5002" s="344"/>
      <c r="K5002" s="345"/>
      <c r="L5002" s="346"/>
      <c r="M5002" s="347"/>
      <c r="N5002" s="347"/>
      <c r="O5002" s="132"/>
    </row>
    <row r="5003" spans="2:15" ht="26.25" customHeight="1" x14ac:dyDescent="0.25">
      <c r="B5003" s="130"/>
      <c r="C5003" s="135"/>
      <c r="D5003" s="177"/>
      <c r="E5003" s="178"/>
      <c r="F5003" s="178"/>
      <c r="G5003" s="340"/>
      <c r="H5003" s="340"/>
      <c r="I5003" s="179"/>
      <c r="J5003" s="344"/>
      <c r="K5003" s="345"/>
      <c r="L5003" s="346"/>
      <c r="M5003" s="347"/>
      <c r="N5003" s="347"/>
      <c r="O5003" s="132"/>
    </row>
    <row r="5004" spans="2:15" ht="26.25" customHeight="1" x14ac:dyDescent="0.25">
      <c r="B5004" s="130"/>
      <c r="C5004" s="135"/>
      <c r="D5004" s="177"/>
      <c r="E5004" s="178"/>
      <c r="F5004" s="178"/>
      <c r="G5004" s="340"/>
      <c r="H5004" s="340"/>
      <c r="I5004" s="179"/>
      <c r="J5004" s="344"/>
      <c r="K5004" s="345"/>
      <c r="L5004" s="346"/>
      <c r="M5004" s="347"/>
      <c r="N5004" s="347"/>
      <c r="O5004" s="132"/>
    </row>
    <row r="5005" spans="2:15" ht="26.25" customHeight="1" x14ac:dyDescent="0.25">
      <c r="B5005" s="130"/>
      <c r="C5005" s="135"/>
      <c r="D5005" s="177"/>
      <c r="E5005" s="178"/>
      <c r="F5005" s="178"/>
      <c r="G5005" s="340"/>
      <c r="H5005" s="340"/>
      <c r="I5005" s="179"/>
      <c r="J5005" s="344"/>
      <c r="K5005" s="345"/>
      <c r="L5005" s="346"/>
      <c r="M5005" s="347"/>
      <c r="N5005" s="347"/>
      <c r="O5005" s="132"/>
    </row>
    <row r="5006" spans="2:15" ht="26.25" customHeight="1" x14ac:dyDescent="0.25">
      <c r="B5006" s="130"/>
      <c r="C5006" s="135"/>
      <c r="D5006" s="177"/>
      <c r="E5006" s="178"/>
      <c r="F5006" s="178"/>
      <c r="G5006" s="340"/>
      <c r="H5006" s="340"/>
      <c r="I5006" s="179"/>
      <c r="J5006" s="344"/>
      <c r="K5006" s="345"/>
      <c r="L5006" s="346"/>
      <c r="M5006" s="347"/>
      <c r="N5006" s="347"/>
      <c r="O5006" s="132"/>
    </row>
    <row r="5007" spans="2:15" ht="26.25" customHeight="1" x14ac:dyDescent="0.25">
      <c r="B5007" s="130"/>
      <c r="C5007" s="135"/>
      <c r="D5007" s="177"/>
      <c r="E5007" s="178"/>
      <c r="F5007" s="178"/>
      <c r="G5007" s="340"/>
      <c r="H5007" s="340"/>
      <c r="I5007" s="179"/>
      <c r="J5007" s="344"/>
      <c r="K5007" s="345"/>
      <c r="L5007" s="346"/>
      <c r="M5007" s="347"/>
      <c r="N5007" s="347"/>
      <c r="O5007" s="132"/>
    </row>
    <row r="5008" spans="2:15" ht="26.25" customHeight="1" x14ac:dyDescent="0.25">
      <c r="B5008" s="130"/>
      <c r="C5008" s="135"/>
      <c r="D5008" s="177"/>
      <c r="E5008" s="178"/>
      <c r="F5008" s="178"/>
      <c r="G5008" s="340"/>
      <c r="H5008" s="340"/>
      <c r="I5008" s="179"/>
      <c r="J5008" s="344"/>
      <c r="K5008" s="345"/>
      <c r="L5008" s="346"/>
      <c r="M5008" s="347"/>
      <c r="N5008" s="347"/>
      <c r="O5008" s="132"/>
    </row>
    <row r="5009" spans="2:15" ht="26.25" customHeight="1" x14ac:dyDescent="0.25">
      <c r="B5009" s="130"/>
      <c r="C5009" s="135"/>
      <c r="D5009" s="177"/>
      <c r="E5009" s="178"/>
      <c r="F5009" s="178"/>
      <c r="G5009" s="340"/>
      <c r="H5009" s="340"/>
      <c r="I5009" s="179"/>
      <c r="J5009" s="344"/>
      <c r="K5009" s="345"/>
      <c r="L5009" s="346"/>
      <c r="M5009" s="347"/>
      <c r="N5009" s="347"/>
      <c r="O5009" s="132"/>
    </row>
    <row r="5010" spans="2:15" ht="26.25" customHeight="1" x14ac:dyDescent="0.25">
      <c r="B5010" s="130"/>
      <c r="C5010" s="135"/>
      <c r="D5010" s="177"/>
      <c r="E5010" s="178"/>
      <c r="F5010" s="178"/>
      <c r="G5010" s="340"/>
      <c r="H5010" s="340"/>
      <c r="I5010" s="179"/>
      <c r="J5010" s="344"/>
      <c r="K5010" s="345"/>
      <c r="L5010" s="346"/>
      <c r="M5010" s="347"/>
      <c r="N5010" s="347"/>
      <c r="O5010" s="132"/>
    </row>
    <row r="5011" spans="2:15" ht="26.25" customHeight="1" x14ac:dyDescent="0.25">
      <c r="B5011" s="130"/>
      <c r="C5011" s="135"/>
      <c r="D5011" s="177"/>
      <c r="E5011" s="178"/>
      <c r="F5011" s="178"/>
      <c r="G5011" s="340"/>
      <c r="H5011" s="340"/>
      <c r="I5011" s="179"/>
      <c r="J5011" s="344"/>
      <c r="K5011" s="345"/>
      <c r="L5011" s="346"/>
      <c r="M5011" s="347"/>
      <c r="N5011" s="347"/>
      <c r="O5011" s="132"/>
    </row>
    <row r="5012" spans="2:15" ht="26.25" customHeight="1" x14ac:dyDescent="0.25">
      <c r="B5012" s="130"/>
      <c r="C5012" s="135"/>
      <c r="D5012" s="177"/>
      <c r="E5012" s="178"/>
      <c r="F5012" s="178"/>
      <c r="G5012" s="340"/>
      <c r="H5012" s="340"/>
      <c r="I5012" s="179"/>
      <c r="J5012" s="344"/>
      <c r="K5012" s="345"/>
      <c r="L5012" s="346"/>
      <c r="M5012" s="347"/>
      <c r="N5012" s="347"/>
      <c r="O5012" s="132"/>
    </row>
    <row r="5013" spans="2:15" ht="26.25" customHeight="1" x14ac:dyDescent="0.25">
      <c r="B5013" s="130"/>
      <c r="C5013" s="135"/>
      <c r="D5013" s="177"/>
      <c r="E5013" s="178"/>
      <c r="F5013" s="178"/>
      <c r="G5013" s="340"/>
      <c r="H5013" s="340"/>
      <c r="I5013" s="179"/>
      <c r="J5013" s="344"/>
      <c r="K5013" s="345"/>
      <c r="L5013" s="346"/>
      <c r="M5013" s="347"/>
      <c r="N5013" s="347"/>
      <c r="O5013" s="132"/>
    </row>
    <row r="5014" spans="2:15" ht="26.25" customHeight="1" x14ac:dyDescent="0.25">
      <c r="B5014" s="130"/>
      <c r="C5014" s="135"/>
      <c r="D5014" s="177"/>
      <c r="E5014" s="178"/>
      <c r="F5014" s="178"/>
      <c r="G5014" s="340"/>
      <c r="H5014" s="340"/>
      <c r="I5014" s="179"/>
      <c r="J5014" s="344"/>
      <c r="K5014" s="345"/>
      <c r="L5014" s="346"/>
      <c r="M5014" s="347"/>
      <c r="N5014" s="347"/>
      <c r="O5014" s="132"/>
    </row>
    <row r="5015" spans="2:15" ht="26.25" customHeight="1" x14ac:dyDescent="0.25">
      <c r="B5015" s="130"/>
      <c r="C5015" s="135"/>
      <c r="D5015" s="177"/>
      <c r="E5015" s="178"/>
      <c r="F5015" s="178"/>
      <c r="G5015" s="340"/>
      <c r="H5015" s="340"/>
      <c r="I5015" s="179"/>
      <c r="J5015" s="344"/>
      <c r="K5015" s="345"/>
      <c r="L5015" s="346"/>
      <c r="M5015" s="347"/>
      <c r="N5015" s="347"/>
      <c r="O5015" s="132"/>
    </row>
    <row r="5016" spans="2:15" ht="26.25" customHeight="1" x14ac:dyDescent="0.25">
      <c r="B5016" s="130"/>
      <c r="C5016" s="135"/>
      <c r="D5016" s="177"/>
      <c r="E5016" s="178"/>
      <c r="F5016" s="178"/>
      <c r="G5016" s="340"/>
      <c r="H5016" s="340"/>
      <c r="I5016" s="179"/>
      <c r="J5016" s="344"/>
      <c r="K5016" s="345"/>
      <c r="L5016" s="346"/>
      <c r="M5016" s="347"/>
      <c r="N5016" s="347"/>
      <c r="O5016" s="132"/>
    </row>
    <row r="5017" spans="2:15" ht="26.25" customHeight="1" x14ac:dyDescent="0.25">
      <c r="B5017" s="130"/>
      <c r="C5017" s="135"/>
      <c r="D5017" s="177"/>
      <c r="E5017" s="178"/>
      <c r="F5017" s="178"/>
      <c r="G5017" s="340"/>
      <c r="H5017" s="340"/>
      <c r="I5017" s="179"/>
      <c r="J5017" s="344"/>
      <c r="K5017" s="345"/>
      <c r="L5017" s="346"/>
      <c r="M5017" s="347"/>
      <c r="N5017" s="347"/>
      <c r="O5017" s="132"/>
    </row>
    <row r="5018" spans="2:15" ht="26.25" customHeight="1" x14ac:dyDescent="0.25">
      <c r="B5018" s="130"/>
      <c r="C5018" s="135"/>
      <c r="D5018" s="177"/>
      <c r="E5018" s="178"/>
      <c r="F5018" s="178"/>
      <c r="G5018" s="340"/>
      <c r="H5018" s="340"/>
      <c r="I5018" s="179"/>
      <c r="J5018" s="344"/>
      <c r="K5018" s="345"/>
      <c r="L5018" s="346"/>
      <c r="M5018" s="347"/>
      <c r="N5018" s="347"/>
      <c r="O5018" s="132"/>
    </row>
    <row r="5019" spans="2:15" ht="26.25" customHeight="1" x14ac:dyDescent="0.25">
      <c r="B5019" s="130"/>
      <c r="C5019" s="135"/>
      <c r="D5019" s="177"/>
      <c r="E5019" s="178"/>
      <c r="F5019" s="178"/>
      <c r="G5019" s="340"/>
      <c r="H5019" s="340"/>
      <c r="I5019" s="179"/>
      <c r="J5019" s="344"/>
      <c r="K5019" s="345"/>
      <c r="L5019" s="346"/>
      <c r="M5019" s="347"/>
      <c r="N5019" s="347"/>
      <c r="O5019" s="132"/>
    </row>
    <row r="5020" spans="2:15" ht="26.25" customHeight="1" x14ac:dyDescent="0.25">
      <c r="B5020" s="130"/>
      <c r="C5020" s="135"/>
      <c r="D5020" s="177"/>
      <c r="E5020" s="178"/>
      <c r="F5020" s="178"/>
      <c r="G5020" s="340"/>
      <c r="H5020" s="340"/>
      <c r="I5020" s="179"/>
      <c r="J5020" s="344"/>
      <c r="K5020" s="345"/>
      <c r="L5020" s="346"/>
      <c r="M5020" s="347"/>
      <c r="N5020" s="347"/>
      <c r="O5020" s="132"/>
    </row>
    <row r="5021" spans="2:15" ht="26.25" customHeight="1" x14ac:dyDescent="0.25">
      <c r="B5021" s="130"/>
      <c r="C5021" s="135"/>
      <c r="D5021" s="177"/>
      <c r="E5021" s="178"/>
      <c r="F5021" s="178"/>
      <c r="G5021" s="340"/>
      <c r="H5021" s="340"/>
      <c r="I5021" s="179"/>
      <c r="J5021" s="344"/>
      <c r="K5021" s="345"/>
      <c r="L5021" s="346"/>
      <c r="M5021" s="347"/>
      <c r="N5021" s="347"/>
      <c r="O5021" s="132"/>
    </row>
    <row r="5022" spans="2:15" ht="26.25" customHeight="1" x14ac:dyDescent="0.25">
      <c r="B5022" s="130"/>
      <c r="C5022" s="135"/>
      <c r="D5022" s="177"/>
      <c r="E5022" s="178"/>
      <c r="F5022" s="178"/>
      <c r="G5022" s="340"/>
      <c r="H5022" s="340"/>
      <c r="I5022" s="179"/>
      <c r="J5022" s="344"/>
      <c r="K5022" s="345"/>
      <c r="L5022" s="346"/>
      <c r="M5022" s="347"/>
      <c r="N5022" s="347"/>
      <c r="O5022" s="132"/>
    </row>
    <row r="5023" spans="2:15" ht="26.25" customHeight="1" x14ac:dyDescent="0.25">
      <c r="B5023" s="130"/>
      <c r="C5023" s="135"/>
      <c r="D5023" s="177"/>
      <c r="E5023" s="178"/>
      <c r="F5023" s="178"/>
      <c r="G5023" s="340"/>
      <c r="H5023" s="340"/>
      <c r="I5023" s="179"/>
      <c r="J5023" s="344"/>
      <c r="K5023" s="345"/>
      <c r="L5023" s="346"/>
      <c r="M5023" s="347"/>
      <c r="N5023" s="347"/>
      <c r="O5023" s="132"/>
    </row>
    <row r="5024" spans="2:15" ht="26.25" customHeight="1" x14ac:dyDescent="0.25">
      <c r="B5024" s="130"/>
      <c r="C5024" s="135"/>
      <c r="D5024" s="177"/>
      <c r="E5024" s="178"/>
      <c r="F5024" s="178"/>
      <c r="G5024" s="340"/>
      <c r="H5024" s="340"/>
      <c r="I5024" s="179"/>
      <c r="J5024" s="344"/>
      <c r="K5024" s="345"/>
      <c r="L5024" s="346"/>
      <c r="M5024" s="347"/>
      <c r="N5024" s="347"/>
      <c r="O5024" s="132"/>
    </row>
    <row r="5025" spans="2:15" ht="26.25" customHeight="1" x14ac:dyDescent="0.25">
      <c r="B5025" s="130"/>
      <c r="C5025" s="135"/>
      <c r="D5025" s="177"/>
      <c r="E5025" s="178"/>
      <c r="F5025" s="178"/>
      <c r="G5025" s="340"/>
      <c r="H5025" s="340"/>
      <c r="I5025" s="179"/>
      <c r="J5025" s="344"/>
      <c r="K5025" s="345"/>
      <c r="L5025" s="346"/>
      <c r="M5025" s="347"/>
      <c r="N5025" s="347"/>
      <c r="O5025" s="132"/>
    </row>
    <row r="5026" spans="2:15" ht="26.25" customHeight="1" x14ac:dyDescent="0.25">
      <c r="B5026" s="130"/>
      <c r="C5026" s="135"/>
      <c r="D5026" s="177"/>
      <c r="E5026" s="178"/>
      <c r="F5026" s="178"/>
      <c r="G5026" s="340"/>
      <c r="H5026" s="340"/>
      <c r="I5026" s="179"/>
      <c r="J5026" s="344"/>
      <c r="K5026" s="345"/>
      <c r="L5026" s="346"/>
      <c r="M5026" s="347"/>
      <c r="N5026" s="347"/>
      <c r="O5026" s="132"/>
    </row>
    <row r="5027" spans="2:15" ht="26.25" customHeight="1" x14ac:dyDescent="0.25">
      <c r="B5027" s="130"/>
      <c r="C5027" s="135"/>
      <c r="D5027" s="177"/>
      <c r="E5027" s="178"/>
      <c r="F5027" s="178"/>
      <c r="G5027" s="340"/>
      <c r="H5027" s="340"/>
      <c r="I5027" s="179"/>
      <c r="J5027" s="344"/>
      <c r="K5027" s="345"/>
      <c r="L5027" s="346"/>
      <c r="M5027" s="347"/>
      <c r="N5027" s="347"/>
      <c r="O5027" s="132"/>
    </row>
    <row r="5028" spans="2:15" ht="26.25" customHeight="1" x14ac:dyDescent="0.25">
      <c r="B5028" s="130"/>
      <c r="C5028" s="135"/>
      <c r="D5028" s="177"/>
      <c r="E5028" s="178"/>
      <c r="F5028" s="178"/>
      <c r="G5028" s="340"/>
      <c r="H5028" s="340"/>
      <c r="I5028" s="179"/>
      <c r="J5028" s="344"/>
      <c r="K5028" s="345"/>
      <c r="L5028" s="346"/>
      <c r="M5028" s="347"/>
      <c r="N5028" s="347"/>
      <c r="O5028" s="132"/>
    </row>
    <row r="5029" spans="2:15" ht="26.25" customHeight="1" x14ac:dyDescent="0.25">
      <c r="B5029" s="130"/>
      <c r="C5029" s="135"/>
      <c r="D5029" s="177"/>
      <c r="E5029" s="178"/>
      <c r="F5029" s="178"/>
      <c r="G5029" s="340"/>
      <c r="H5029" s="340"/>
      <c r="I5029" s="179"/>
      <c r="J5029" s="344"/>
      <c r="K5029" s="345"/>
      <c r="L5029" s="346"/>
      <c r="M5029" s="347"/>
      <c r="N5029" s="347"/>
      <c r="O5029" s="132"/>
    </row>
    <row r="5030" spans="2:15" ht="26.25" customHeight="1" x14ac:dyDescent="0.25">
      <c r="B5030" s="130"/>
      <c r="C5030" s="135"/>
      <c r="D5030" s="177"/>
      <c r="E5030" s="178"/>
      <c r="F5030" s="178"/>
      <c r="G5030" s="340"/>
      <c r="H5030" s="340"/>
      <c r="I5030" s="179"/>
      <c r="J5030" s="344"/>
      <c r="K5030" s="345"/>
      <c r="L5030" s="346"/>
      <c r="M5030" s="347"/>
      <c r="N5030" s="347"/>
      <c r="O5030" s="132"/>
    </row>
    <row r="5031" spans="2:15" ht="26.25" customHeight="1" x14ac:dyDescent="0.25">
      <c r="B5031" s="130"/>
      <c r="C5031" s="135"/>
      <c r="D5031" s="177"/>
      <c r="E5031" s="178"/>
      <c r="F5031" s="178"/>
      <c r="G5031" s="340"/>
      <c r="H5031" s="340"/>
      <c r="I5031" s="179"/>
      <c r="J5031" s="344"/>
      <c r="K5031" s="345"/>
      <c r="L5031" s="346"/>
      <c r="M5031" s="347"/>
      <c r="N5031" s="347"/>
      <c r="O5031" s="132"/>
    </row>
    <row r="5032" spans="2:15" ht="26.25" customHeight="1" x14ac:dyDescent="0.25">
      <c r="B5032" s="130"/>
      <c r="C5032" s="135"/>
      <c r="D5032" s="177"/>
      <c r="E5032" s="178"/>
      <c r="F5032" s="178"/>
      <c r="G5032" s="340"/>
      <c r="H5032" s="340"/>
      <c r="I5032" s="179"/>
      <c r="J5032" s="344"/>
      <c r="K5032" s="345"/>
      <c r="L5032" s="346"/>
      <c r="M5032" s="347"/>
      <c r="N5032" s="347"/>
      <c r="O5032" s="132"/>
    </row>
    <row r="5033" spans="2:15" ht="26.25" customHeight="1" x14ac:dyDescent="0.25">
      <c r="B5033" s="130"/>
      <c r="C5033" s="135"/>
      <c r="D5033" s="177"/>
      <c r="E5033" s="178"/>
      <c r="F5033" s="178"/>
      <c r="G5033" s="340"/>
      <c r="H5033" s="340"/>
      <c r="I5033" s="179"/>
      <c r="J5033" s="344"/>
      <c r="K5033" s="345"/>
      <c r="L5033" s="346"/>
      <c r="M5033" s="347"/>
      <c r="N5033" s="347"/>
      <c r="O5033" s="132"/>
    </row>
    <row r="5034" spans="2:15" ht="26.25" customHeight="1" x14ac:dyDescent="0.25">
      <c r="B5034" s="130"/>
      <c r="C5034" s="135"/>
      <c r="D5034" s="177"/>
      <c r="E5034" s="178"/>
      <c r="F5034" s="178"/>
      <c r="G5034" s="340"/>
      <c r="H5034" s="340"/>
      <c r="I5034" s="179"/>
      <c r="J5034" s="344"/>
      <c r="K5034" s="345"/>
      <c r="L5034" s="346"/>
      <c r="M5034" s="347"/>
      <c r="N5034" s="347"/>
      <c r="O5034" s="132"/>
    </row>
    <row r="5035" spans="2:15" ht="26.25" customHeight="1" x14ac:dyDescent="0.25">
      <c r="B5035" s="130"/>
      <c r="C5035" s="135"/>
      <c r="D5035" s="177"/>
      <c r="E5035" s="178"/>
      <c r="F5035" s="178"/>
      <c r="G5035" s="340"/>
      <c r="H5035" s="340"/>
      <c r="I5035" s="179"/>
      <c r="J5035" s="344"/>
      <c r="K5035" s="345"/>
      <c r="L5035" s="346"/>
      <c r="M5035" s="347"/>
      <c r="N5035" s="347"/>
      <c r="O5035" s="132"/>
    </row>
    <row r="5036" spans="2:15" ht="26.25" customHeight="1" x14ac:dyDescent="0.25">
      <c r="B5036" s="130"/>
      <c r="C5036" s="135"/>
      <c r="D5036" s="177"/>
      <c r="E5036" s="178"/>
      <c r="F5036" s="178"/>
      <c r="G5036" s="340"/>
      <c r="H5036" s="340"/>
      <c r="I5036" s="179"/>
      <c r="J5036" s="344"/>
      <c r="K5036" s="345"/>
      <c r="L5036" s="346"/>
      <c r="M5036" s="347"/>
      <c r="N5036" s="347"/>
      <c r="O5036" s="132"/>
    </row>
    <row r="5037" spans="2:15" ht="26.25" customHeight="1" x14ac:dyDescent="0.25">
      <c r="B5037" s="130"/>
      <c r="C5037" s="135"/>
      <c r="D5037" s="177"/>
      <c r="E5037" s="178"/>
      <c r="F5037" s="178"/>
      <c r="G5037" s="340"/>
      <c r="H5037" s="340"/>
      <c r="I5037" s="179"/>
      <c r="J5037" s="344"/>
      <c r="K5037" s="345"/>
      <c r="L5037" s="346"/>
      <c r="M5037" s="347"/>
      <c r="N5037" s="347"/>
      <c r="O5037" s="132"/>
    </row>
    <row r="5038" spans="2:15" ht="26.25" customHeight="1" x14ac:dyDescent="0.25">
      <c r="B5038" s="130"/>
      <c r="C5038" s="135"/>
      <c r="D5038" s="177"/>
      <c r="E5038" s="178"/>
      <c r="F5038" s="178"/>
      <c r="G5038" s="340"/>
      <c r="H5038" s="340"/>
      <c r="I5038" s="179"/>
      <c r="J5038" s="344"/>
      <c r="K5038" s="345"/>
      <c r="L5038" s="346"/>
      <c r="M5038" s="347"/>
      <c r="N5038" s="347"/>
      <c r="O5038" s="132"/>
    </row>
    <row r="5039" spans="2:15" ht="26.25" customHeight="1" x14ac:dyDescent="0.25">
      <c r="B5039" s="130"/>
      <c r="C5039" s="135"/>
      <c r="D5039" s="177"/>
      <c r="E5039" s="178"/>
      <c r="F5039" s="178"/>
      <c r="G5039" s="340"/>
      <c r="H5039" s="340"/>
      <c r="I5039" s="179"/>
      <c r="J5039" s="344"/>
      <c r="K5039" s="345"/>
      <c r="L5039" s="346"/>
      <c r="M5039" s="347"/>
      <c r="N5039" s="347"/>
      <c r="O5039" s="132"/>
    </row>
    <row r="5040" spans="2:15" ht="26.25" customHeight="1" x14ac:dyDescent="0.25">
      <c r="B5040" s="130"/>
      <c r="C5040" s="135"/>
      <c r="D5040" s="177"/>
      <c r="E5040" s="178"/>
      <c r="F5040" s="178"/>
      <c r="G5040" s="340"/>
      <c r="H5040" s="340"/>
      <c r="I5040" s="179"/>
      <c r="J5040" s="344"/>
      <c r="K5040" s="345"/>
      <c r="L5040" s="346"/>
      <c r="M5040" s="347"/>
      <c r="N5040" s="347"/>
      <c r="O5040" s="132"/>
    </row>
    <row r="5041" spans="2:15" ht="26.25" customHeight="1" x14ac:dyDescent="0.25">
      <c r="B5041" s="130"/>
      <c r="C5041" s="135"/>
      <c r="D5041" s="177"/>
      <c r="E5041" s="178"/>
      <c r="F5041" s="178"/>
      <c r="G5041" s="340"/>
      <c r="H5041" s="340"/>
      <c r="I5041" s="179"/>
      <c r="J5041" s="344"/>
      <c r="K5041" s="345"/>
      <c r="L5041" s="346"/>
      <c r="M5041" s="347"/>
      <c r="N5041" s="347"/>
      <c r="O5041" s="132"/>
    </row>
    <row r="5042" spans="2:15" ht="26.25" customHeight="1" x14ac:dyDescent="0.25">
      <c r="B5042" s="130"/>
      <c r="C5042" s="135"/>
      <c r="D5042" s="177"/>
      <c r="E5042" s="178"/>
      <c r="F5042" s="178"/>
      <c r="G5042" s="340"/>
      <c r="H5042" s="340"/>
      <c r="I5042" s="179"/>
      <c r="J5042" s="344"/>
      <c r="K5042" s="345"/>
      <c r="L5042" s="346"/>
      <c r="M5042" s="347"/>
      <c r="N5042" s="347"/>
      <c r="O5042" s="132"/>
    </row>
    <row r="5043" spans="2:15" ht="26.25" customHeight="1" x14ac:dyDescent="0.25">
      <c r="B5043" s="130"/>
      <c r="C5043" s="135"/>
      <c r="D5043" s="177"/>
      <c r="E5043" s="178"/>
      <c r="F5043" s="178"/>
      <c r="G5043" s="340"/>
      <c r="H5043" s="340"/>
      <c r="I5043" s="179"/>
      <c r="J5043" s="344"/>
      <c r="K5043" s="345"/>
      <c r="L5043" s="346"/>
      <c r="M5043" s="347"/>
      <c r="N5043" s="347"/>
      <c r="O5043" s="132"/>
    </row>
    <row r="5044" spans="2:15" ht="26.25" customHeight="1" x14ac:dyDescent="0.25">
      <c r="B5044" s="130"/>
      <c r="C5044" s="135"/>
      <c r="D5044" s="177"/>
      <c r="E5044" s="178"/>
      <c r="F5044" s="178"/>
      <c r="G5044" s="340"/>
      <c r="H5044" s="340"/>
      <c r="I5044" s="179"/>
      <c r="J5044" s="344"/>
      <c r="K5044" s="345"/>
      <c r="L5044" s="346"/>
      <c r="M5044" s="347"/>
      <c r="N5044" s="347"/>
      <c r="O5044" s="132"/>
    </row>
    <row r="5045" spans="2:15" ht="26.25" customHeight="1" x14ac:dyDescent="0.25">
      <c r="B5045" s="130"/>
      <c r="C5045" s="135"/>
      <c r="D5045" s="177"/>
      <c r="E5045" s="178"/>
      <c r="F5045" s="178"/>
      <c r="G5045" s="340"/>
      <c r="H5045" s="340"/>
      <c r="I5045" s="179"/>
      <c r="J5045" s="344"/>
      <c r="K5045" s="345"/>
      <c r="L5045" s="346"/>
      <c r="M5045" s="347"/>
      <c r="N5045" s="347"/>
      <c r="O5045" s="132"/>
    </row>
    <row r="5046" spans="2:15" ht="26.25" customHeight="1" x14ac:dyDescent="0.25">
      <c r="B5046" s="130"/>
      <c r="C5046" s="135"/>
      <c r="D5046" s="177"/>
      <c r="E5046" s="178"/>
      <c r="F5046" s="178"/>
      <c r="G5046" s="340"/>
      <c r="H5046" s="340"/>
      <c r="I5046" s="179"/>
      <c r="J5046" s="344"/>
      <c r="K5046" s="345"/>
      <c r="L5046" s="346"/>
      <c r="M5046" s="347"/>
      <c r="N5046" s="347"/>
      <c r="O5046" s="132"/>
    </row>
    <row r="5047" spans="2:15" ht="26.25" customHeight="1" x14ac:dyDescent="0.25">
      <c r="B5047" s="130"/>
      <c r="C5047" s="135"/>
      <c r="D5047" s="177"/>
      <c r="E5047" s="178"/>
      <c r="F5047" s="178"/>
      <c r="G5047" s="340"/>
      <c r="H5047" s="340"/>
      <c r="I5047" s="179"/>
      <c r="J5047" s="344"/>
      <c r="K5047" s="345"/>
      <c r="L5047" s="346"/>
      <c r="M5047" s="347"/>
      <c r="N5047" s="347"/>
      <c r="O5047" s="132"/>
    </row>
    <row r="5048" spans="2:15" ht="26.25" customHeight="1" x14ac:dyDescent="0.25">
      <c r="B5048" s="130"/>
      <c r="C5048" s="135"/>
      <c r="D5048" s="177"/>
      <c r="E5048" s="178"/>
      <c r="F5048" s="178"/>
      <c r="G5048" s="340"/>
      <c r="H5048" s="340"/>
      <c r="I5048" s="179"/>
      <c r="J5048" s="344"/>
      <c r="K5048" s="345"/>
      <c r="L5048" s="346"/>
      <c r="M5048" s="347"/>
      <c r="N5048" s="347"/>
      <c r="O5048" s="132"/>
    </row>
    <row r="5049" spans="2:15" ht="26.25" customHeight="1" x14ac:dyDescent="0.25">
      <c r="B5049" s="130"/>
      <c r="C5049" s="135"/>
      <c r="D5049" s="177"/>
      <c r="E5049" s="178"/>
      <c r="F5049" s="178"/>
      <c r="G5049" s="340"/>
      <c r="H5049" s="340"/>
      <c r="I5049" s="179"/>
      <c r="J5049" s="344"/>
      <c r="K5049" s="345"/>
      <c r="L5049" s="346"/>
      <c r="M5049" s="347"/>
      <c r="N5049" s="347"/>
      <c r="O5049" s="132"/>
    </row>
    <row r="5050" spans="2:15" ht="26.25" customHeight="1" x14ac:dyDescent="0.25">
      <c r="B5050" s="130"/>
      <c r="C5050" s="135"/>
      <c r="D5050" s="177"/>
      <c r="E5050" s="178"/>
      <c r="F5050" s="178"/>
      <c r="G5050" s="340"/>
      <c r="H5050" s="340"/>
      <c r="I5050" s="179"/>
      <c r="J5050" s="344"/>
      <c r="K5050" s="345"/>
      <c r="L5050" s="346"/>
      <c r="M5050" s="347"/>
      <c r="N5050" s="347"/>
      <c r="O5050" s="132"/>
    </row>
    <row r="5051" spans="2:15" ht="26.25" customHeight="1" x14ac:dyDescent="0.25">
      <c r="B5051" s="130"/>
      <c r="C5051" s="135"/>
      <c r="D5051" s="177"/>
      <c r="E5051" s="178"/>
      <c r="F5051" s="178"/>
      <c r="G5051" s="340"/>
      <c r="H5051" s="340"/>
      <c r="I5051" s="179"/>
      <c r="J5051" s="344"/>
      <c r="K5051" s="345"/>
      <c r="L5051" s="346"/>
      <c r="M5051" s="347"/>
      <c r="N5051" s="347"/>
      <c r="O5051" s="132"/>
    </row>
    <row r="5052" spans="2:15" ht="26.25" customHeight="1" x14ac:dyDescent="0.25">
      <c r="B5052" s="130"/>
      <c r="C5052" s="135"/>
      <c r="D5052" s="177"/>
      <c r="E5052" s="178"/>
      <c r="F5052" s="178"/>
      <c r="G5052" s="340"/>
      <c r="H5052" s="340"/>
      <c r="I5052" s="179"/>
      <c r="J5052" s="344"/>
      <c r="K5052" s="345"/>
      <c r="L5052" s="346"/>
      <c r="M5052" s="347"/>
      <c r="N5052" s="347"/>
      <c r="O5052" s="132"/>
    </row>
    <row r="5053" spans="2:15" ht="26.25" customHeight="1" x14ac:dyDescent="0.25">
      <c r="B5053" s="130"/>
      <c r="C5053" s="135"/>
      <c r="D5053" s="177"/>
      <c r="E5053" s="178"/>
      <c r="F5053" s="178"/>
      <c r="G5053" s="340"/>
      <c r="H5053" s="340"/>
      <c r="I5053" s="179"/>
      <c r="J5053" s="344"/>
      <c r="K5053" s="345"/>
      <c r="L5053" s="346"/>
      <c r="M5053" s="347"/>
      <c r="N5053" s="347"/>
      <c r="O5053" s="132"/>
    </row>
    <row r="5054" spans="2:15" ht="26.25" customHeight="1" x14ac:dyDescent="0.25">
      <c r="B5054" s="130"/>
      <c r="C5054" s="135"/>
      <c r="D5054" s="177"/>
      <c r="E5054" s="178"/>
      <c r="F5054" s="178"/>
      <c r="G5054" s="340"/>
      <c r="H5054" s="340"/>
      <c r="I5054" s="179"/>
      <c r="J5054" s="344"/>
      <c r="K5054" s="345"/>
      <c r="L5054" s="346"/>
      <c r="M5054" s="347"/>
      <c r="N5054" s="347"/>
      <c r="O5054" s="132"/>
    </row>
    <row r="5055" spans="2:15" ht="26.25" customHeight="1" x14ac:dyDescent="0.25">
      <c r="B5055" s="130"/>
      <c r="C5055" s="135"/>
      <c r="D5055" s="177"/>
      <c r="E5055" s="178"/>
      <c r="F5055" s="178"/>
      <c r="G5055" s="340"/>
      <c r="H5055" s="340"/>
      <c r="I5055" s="179"/>
      <c r="J5055" s="344"/>
      <c r="K5055" s="345"/>
      <c r="L5055" s="346"/>
      <c r="M5055" s="347"/>
      <c r="N5055" s="347"/>
      <c r="O5055" s="132"/>
    </row>
    <row r="5056" spans="2:15" ht="26.25" customHeight="1" x14ac:dyDescent="0.25">
      <c r="B5056" s="130"/>
      <c r="C5056" s="135"/>
      <c r="D5056" s="177"/>
      <c r="E5056" s="178"/>
      <c r="F5056" s="178"/>
      <c r="G5056" s="340"/>
      <c r="H5056" s="340"/>
      <c r="I5056" s="179"/>
      <c r="J5056" s="344"/>
      <c r="K5056" s="345"/>
      <c r="L5056" s="346"/>
      <c r="M5056" s="347"/>
      <c r="N5056" s="347"/>
      <c r="O5056" s="132"/>
    </row>
    <row r="5057" spans="2:15" ht="26.25" customHeight="1" x14ac:dyDescent="0.25">
      <c r="B5057" s="130"/>
      <c r="C5057" s="135"/>
      <c r="D5057" s="177"/>
      <c r="E5057" s="178"/>
      <c r="F5057" s="178"/>
      <c r="G5057" s="340"/>
      <c r="H5057" s="340"/>
      <c r="I5057" s="179"/>
      <c r="J5057" s="344"/>
      <c r="K5057" s="345"/>
      <c r="L5057" s="346"/>
      <c r="M5057" s="347"/>
      <c r="N5057" s="347"/>
      <c r="O5057" s="132"/>
    </row>
    <row r="5058" spans="2:15" ht="26.25" customHeight="1" x14ac:dyDescent="0.25">
      <c r="B5058" s="130"/>
      <c r="C5058" s="135"/>
      <c r="D5058" s="177"/>
      <c r="E5058" s="178"/>
      <c r="F5058" s="178"/>
      <c r="G5058" s="340"/>
      <c r="H5058" s="340"/>
      <c r="I5058" s="179"/>
      <c r="J5058" s="344"/>
      <c r="K5058" s="345"/>
      <c r="L5058" s="346"/>
      <c r="M5058" s="347"/>
      <c r="N5058" s="347"/>
      <c r="O5058" s="132"/>
    </row>
    <row r="5059" spans="2:15" ht="26.25" customHeight="1" x14ac:dyDescent="0.25">
      <c r="B5059" s="130"/>
      <c r="C5059" s="135"/>
      <c r="D5059" s="177"/>
      <c r="E5059" s="178"/>
      <c r="F5059" s="178"/>
      <c r="G5059" s="340"/>
      <c r="H5059" s="340"/>
      <c r="I5059" s="179"/>
      <c r="J5059" s="344"/>
      <c r="K5059" s="345"/>
      <c r="L5059" s="346"/>
      <c r="M5059" s="347"/>
      <c r="N5059" s="347"/>
      <c r="O5059" s="132"/>
    </row>
    <row r="5060" spans="2:15" ht="26.25" customHeight="1" x14ac:dyDescent="0.25">
      <c r="B5060" s="130"/>
      <c r="C5060" s="135"/>
      <c r="D5060" s="177"/>
      <c r="E5060" s="178"/>
      <c r="F5060" s="178"/>
      <c r="G5060" s="340"/>
      <c r="H5060" s="340"/>
      <c r="I5060" s="179"/>
      <c r="J5060" s="344"/>
      <c r="K5060" s="345"/>
      <c r="L5060" s="346"/>
      <c r="M5060" s="347"/>
      <c r="N5060" s="347"/>
      <c r="O5060" s="132"/>
    </row>
    <row r="5061" spans="2:15" ht="26.25" customHeight="1" x14ac:dyDescent="0.25">
      <c r="B5061" s="130"/>
      <c r="C5061" s="135"/>
      <c r="D5061" s="177"/>
      <c r="E5061" s="178"/>
      <c r="F5061" s="178"/>
      <c r="G5061" s="340"/>
      <c r="H5061" s="340"/>
      <c r="I5061" s="179"/>
      <c r="J5061" s="344"/>
      <c r="K5061" s="345"/>
      <c r="L5061" s="346"/>
      <c r="M5061" s="347"/>
      <c r="N5061" s="347"/>
      <c r="O5061" s="132"/>
    </row>
    <row r="5062" spans="2:15" ht="26.25" customHeight="1" x14ac:dyDescent="0.25">
      <c r="B5062" s="130"/>
      <c r="C5062" s="135"/>
      <c r="D5062" s="177"/>
      <c r="E5062" s="178"/>
      <c r="F5062" s="178"/>
      <c r="G5062" s="340"/>
      <c r="H5062" s="340"/>
      <c r="I5062" s="179"/>
      <c r="J5062" s="344"/>
      <c r="K5062" s="345"/>
      <c r="L5062" s="346"/>
      <c r="M5062" s="347"/>
      <c r="N5062" s="347"/>
      <c r="O5062" s="132"/>
    </row>
    <row r="5063" spans="2:15" ht="26.25" customHeight="1" x14ac:dyDescent="0.25">
      <c r="B5063" s="130"/>
      <c r="C5063" s="135"/>
      <c r="D5063" s="177"/>
      <c r="E5063" s="178"/>
      <c r="F5063" s="178"/>
      <c r="G5063" s="340"/>
      <c r="H5063" s="340"/>
      <c r="I5063" s="179"/>
      <c r="J5063" s="344"/>
      <c r="K5063" s="345"/>
      <c r="L5063" s="346"/>
      <c r="M5063" s="347"/>
      <c r="N5063" s="347"/>
      <c r="O5063" s="132"/>
    </row>
    <row r="5064" spans="2:15" ht="26.25" customHeight="1" x14ac:dyDescent="0.25">
      <c r="B5064" s="130"/>
      <c r="C5064" s="135"/>
      <c r="D5064" s="177"/>
      <c r="E5064" s="178"/>
      <c r="F5064" s="178"/>
      <c r="G5064" s="340"/>
      <c r="H5064" s="340"/>
      <c r="I5064" s="179"/>
      <c r="J5064" s="344"/>
      <c r="K5064" s="345"/>
      <c r="L5064" s="346"/>
      <c r="M5064" s="347"/>
      <c r="N5064" s="347"/>
      <c r="O5064" s="132"/>
    </row>
    <row r="5065" spans="2:15" ht="26.25" customHeight="1" x14ac:dyDescent="0.25">
      <c r="B5065" s="130"/>
      <c r="C5065" s="135"/>
      <c r="D5065" s="177"/>
      <c r="E5065" s="178"/>
      <c r="F5065" s="178"/>
      <c r="G5065" s="340"/>
      <c r="H5065" s="340"/>
      <c r="I5065" s="179"/>
      <c r="J5065" s="344"/>
      <c r="K5065" s="345"/>
      <c r="L5065" s="346"/>
      <c r="M5065" s="347"/>
      <c r="N5065" s="347"/>
      <c r="O5065" s="132"/>
    </row>
    <row r="5066" spans="2:15" ht="26.25" customHeight="1" x14ac:dyDescent="0.25">
      <c r="B5066" s="130"/>
      <c r="C5066" s="135"/>
      <c r="D5066" s="177"/>
      <c r="E5066" s="178"/>
      <c r="F5066" s="178"/>
      <c r="G5066" s="340"/>
      <c r="H5066" s="340"/>
      <c r="I5066" s="179"/>
      <c r="J5066" s="344"/>
      <c r="K5066" s="345"/>
      <c r="L5066" s="346"/>
      <c r="M5066" s="347"/>
      <c r="N5066" s="347"/>
      <c r="O5066" s="132"/>
    </row>
    <row r="5067" spans="2:15" ht="26.25" customHeight="1" x14ac:dyDescent="0.25">
      <c r="B5067" s="130"/>
      <c r="C5067" s="135"/>
      <c r="D5067" s="177"/>
      <c r="E5067" s="178"/>
      <c r="F5067" s="178"/>
      <c r="G5067" s="340"/>
      <c r="H5067" s="340"/>
      <c r="I5067" s="179"/>
      <c r="J5067" s="344"/>
      <c r="K5067" s="345"/>
      <c r="L5067" s="346"/>
      <c r="M5067" s="347"/>
      <c r="N5067" s="347"/>
      <c r="O5067" s="132"/>
    </row>
    <row r="5068" spans="2:15" ht="26.25" customHeight="1" x14ac:dyDescent="0.25">
      <c r="B5068" s="130"/>
      <c r="C5068" s="135"/>
      <c r="D5068" s="177"/>
      <c r="E5068" s="178"/>
      <c r="F5068" s="178"/>
      <c r="G5068" s="340"/>
      <c r="H5068" s="340"/>
      <c r="I5068" s="179"/>
      <c r="J5068" s="344"/>
      <c r="K5068" s="345"/>
      <c r="L5068" s="346"/>
      <c r="M5068" s="347"/>
      <c r="N5068" s="347"/>
      <c r="O5068" s="132"/>
    </row>
    <row r="5069" spans="2:15" ht="26.25" customHeight="1" x14ac:dyDescent="0.25">
      <c r="B5069" s="130"/>
      <c r="C5069" s="135"/>
      <c r="D5069" s="177"/>
      <c r="E5069" s="178"/>
      <c r="F5069" s="178"/>
      <c r="G5069" s="340"/>
      <c r="H5069" s="340"/>
      <c r="I5069" s="179"/>
      <c r="J5069" s="344"/>
      <c r="K5069" s="345"/>
      <c r="L5069" s="346"/>
      <c r="M5069" s="347"/>
      <c r="N5069" s="347"/>
      <c r="O5069" s="132"/>
    </row>
    <row r="5070" spans="2:15" ht="26.25" customHeight="1" x14ac:dyDescent="0.25">
      <c r="B5070" s="130"/>
      <c r="C5070" s="135"/>
      <c r="D5070" s="177"/>
      <c r="E5070" s="178"/>
      <c r="F5070" s="178"/>
      <c r="G5070" s="340"/>
      <c r="H5070" s="340"/>
      <c r="I5070" s="179"/>
      <c r="J5070" s="344"/>
      <c r="K5070" s="345"/>
      <c r="L5070" s="346"/>
      <c r="M5070" s="347"/>
      <c r="N5070" s="347"/>
      <c r="O5070" s="132"/>
    </row>
    <row r="5071" spans="2:15" ht="26.25" customHeight="1" x14ac:dyDescent="0.25">
      <c r="B5071" s="130"/>
      <c r="C5071" s="135"/>
      <c r="D5071" s="177"/>
      <c r="E5071" s="178"/>
      <c r="F5071" s="178"/>
      <c r="G5071" s="340"/>
      <c r="H5071" s="340"/>
      <c r="I5071" s="179"/>
      <c r="J5071" s="344"/>
      <c r="K5071" s="345"/>
      <c r="L5071" s="346"/>
      <c r="M5071" s="347"/>
      <c r="N5071" s="347"/>
      <c r="O5071" s="132"/>
    </row>
    <row r="5072" spans="2:15" ht="26.25" customHeight="1" x14ac:dyDescent="0.25">
      <c r="B5072" s="130"/>
      <c r="C5072" s="135"/>
      <c r="D5072" s="177"/>
      <c r="E5072" s="178"/>
      <c r="F5072" s="178"/>
      <c r="G5072" s="340"/>
      <c r="H5072" s="340"/>
      <c r="I5072" s="179"/>
      <c r="J5072" s="344"/>
      <c r="K5072" s="345"/>
      <c r="L5072" s="346"/>
      <c r="M5072" s="347"/>
      <c r="N5072" s="347"/>
      <c r="O5072" s="132"/>
    </row>
    <row r="5073" spans="2:15" ht="26.25" customHeight="1" x14ac:dyDescent="0.25">
      <c r="B5073" s="130"/>
      <c r="C5073" s="135"/>
      <c r="D5073" s="177"/>
      <c r="E5073" s="178"/>
      <c r="F5073" s="178"/>
      <c r="G5073" s="340"/>
      <c r="H5073" s="340"/>
      <c r="I5073" s="179"/>
      <c r="J5073" s="344"/>
      <c r="K5073" s="345"/>
      <c r="L5073" s="346"/>
      <c r="M5073" s="347"/>
      <c r="N5073" s="347"/>
      <c r="O5073" s="132"/>
    </row>
    <row r="5074" spans="2:15" ht="26.25" customHeight="1" x14ac:dyDescent="0.25">
      <c r="B5074" s="130"/>
      <c r="C5074" s="135"/>
      <c r="D5074" s="177"/>
      <c r="E5074" s="178"/>
      <c r="F5074" s="178"/>
      <c r="G5074" s="340"/>
      <c r="H5074" s="340"/>
      <c r="I5074" s="179"/>
      <c r="J5074" s="344"/>
      <c r="K5074" s="345"/>
      <c r="L5074" s="346"/>
      <c r="M5074" s="347"/>
      <c r="N5074" s="347"/>
      <c r="O5074" s="132"/>
    </row>
    <row r="5075" spans="2:15" ht="26.25" customHeight="1" x14ac:dyDescent="0.25">
      <c r="B5075" s="130"/>
      <c r="C5075" s="135"/>
      <c r="D5075" s="177"/>
      <c r="E5075" s="178"/>
      <c r="F5075" s="178"/>
      <c r="G5075" s="340"/>
      <c r="H5075" s="340"/>
      <c r="I5075" s="179"/>
      <c r="J5075" s="344"/>
      <c r="K5075" s="345"/>
      <c r="L5075" s="346"/>
      <c r="M5075" s="347"/>
      <c r="N5075" s="347"/>
      <c r="O5075" s="132"/>
    </row>
    <row r="5076" spans="2:15" ht="26.25" customHeight="1" x14ac:dyDescent="0.25">
      <c r="B5076" s="130"/>
      <c r="C5076" s="135"/>
      <c r="D5076" s="177"/>
      <c r="E5076" s="178"/>
      <c r="F5076" s="178"/>
      <c r="G5076" s="340"/>
      <c r="H5076" s="340"/>
      <c r="I5076" s="179"/>
      <c r="J5076" s="344"/>
      <c r="K5076" s="345"/>
      <c r="L5076" s="346"/>
      <c r="M5076" s="347"/>
      <c r="N5076" s="347"/>
      <c r="O5076" s="132"/>
    </row>
    <row r="5077" spans="2:15" ht="26.25" customHeight="1" x14ac:dyDescent="0.25">
      <c r="B5077" s="130"/>
      <c r="C5077" s="135"/>
      <c r="D5077" s="177"/>
      <c r="E5077" s="178"/>
      <c r="F5077" s="178"/>
      <c r="G5077" s="340"/>
      <c r="H5077" s="340"/>
      <c r="I5077" s="179"/>
      <c r="J5077" s="344"/>
      <c r="K5077" s="345"/>
      <c r="L5077" s="346"/>
      <c r="M5077" s="347"/>
      <c r="N5077" s="347"/>
      <c r="O5077" s="132"/>
    </row>
    <row r="5078" spans="2:15" ht="26.25" customHeight="1" x14ac:dyDescent="0.25">
      <c r="B5078" s="130"/>
      <c r="C5078" s="135"/>
      <c r="D5078" s="177"/>
      <c r="E5078" s="178"/>
      <c r="F5078" s="178"/>
      <c r="G5078" s="340"/>
      <c r="H5078" s="340"/>
      <c r="I5078" s="179"/>
      <c r="J5078" s="344"/>
      <c r="K5078" s="345"/>
      <c r="L5078" s="346"/>
      <c r="M5078" s="347"/>
      <c r="N5078" s="347"/>
      <c r="O5078" s="132"/>
    </row>
    <row r="5079" spans="2:15" ht="26.25" customHeight="1" x14ac:dyDescent="0.25">
      <c r="B5079" s="130"/>
      <c r="C5079" s="135"/>
      <c r="D5079" s="177"/>
      <c r="E5079" s="178"/>
      <c r="F5079" s="178"/>
      <c r="G5079" s="340"/>
      <c r="H5079" s="340"/>
      <c r="I5079" s="179"/>
      <c r="J5079" s="344"/>
      <c r="K5079" s="345"/>
      <c r="L5079" s="346"/>
      <c r="M5079" s="347"/>
      <c r="N5079" s="347"/>
      <c r="O5079" s="132"/>
    </row>
    <row r="5080" spans="2:15" ht="26.25" customHeight="1" x14ac:dyDescent="0.25">
      <c r="B5080" s="130"/>
      <c r="C5080" s="135"/>
      <c r="D5080" s="177"/>
      <c r="E5080" s="178"/>
      <c r="F5080" s="178"/>
      <c r="G5080" s="340"/>
      <c r="H5080" s="340"/>
      <c r="I5080" s="179"/>
      <c r="J5080" s="344"/>
      <c r="K5080" s="345"/>
      <c r="L5080" s="346"/>
      <c r="M5080" s="347"/>
      <c r="N5080" s="347"/>
      <c r="O5080" s="132"/>
    </row>
    <row r="5081" spans="2:15" ht="26.25" customHeight="1" x14ac:dyDescent="0.25">
      <c r="B5081" s="130"/>
      <c r="C5081" s="135"/>
      <c r="D5081" s="177"/>
      <c r="E5081" s="178"/>
      <c r="F5081" s="178"/>
      <c r="G5081" s="340"/>
      <c r="H5081" s="340"/>
      <c r="I5081" s="179"/>
      <c r="J5081" s="344"/>
      <c r="K5081" s="345"/>
      <c r="L5081" s="346"/>
      <c r="M5081" s="347"/>
      <c r="N5081" s="347"/>
      <c r="O5081" s="132"/>
    </row>
    <row r="5082" spans="2:15" ht="26.25" customHeight="1" x14ac:dyDescent="0.25">
      <c r="B5082" s="130"/>
      <c r="C5082" s="135"/>
      <c r="D5082" s="177"/>
      <c r="E5082" s="178"/>
      <c r="F5082" s="178"/>
      <c r="G5082" s="340"/>
      <c r="H5082" s="340"/>
      <c r="I5082" s="179"/>
      <c r="J5082" s="344"/>
      <c r="K5082" s="345"/>
      <c r="L5082" s="346"/>
      <c r="M5082" s="347"/>
      <c r="N5082" s="347"/>
      <c r="O5082" s="132"/>
    </row>
    <row r="5083" spans="2:15" ht="26.25" customHeight="1" x14ac:dyDescent="0.25">
      <c r="B5083" s="130"/>
      <c r="C5083" s="135"/>
      <c r="D5083" s="177"/>
      <c r="E5083" s="178"/>
      <c r="F5083" s="178"/>
      <c r="G5083" s="340"/>
      <c r="H5083" s="340"/>
      <c r="I5083" s="179"/>
      <c r="J5083" s="344"/>
      <c r="K5083" s="345"/>
      <c r="L5083" s="346"/>
      <c r="M5083" s="347"/>
      <c r="N5083" s="347"/>
      <c r="O5083" s="132"/>
    </row>
    <row r="5084" spans="2:15" ht="26.25" customHeight="1" x14ac:dyDescent="0.25">
      <c r="B5084" s="130"/>
      <c r="C5084" s="135"/>
      <c r="D5084" s="177"/>
      <c r="E5084" s="178"/>
      <c r="F5084" s="178"/>
      <c r="G5084" s="340"/>
      <c r="H5084" s="340"/>
      <c r="I5084" s="179"/>
      <c r="J5084" s="344"/>
      <c r="K5084" s="345"/>
      <c r="L5084" s="346"/>
      <c r="M5084" s="347"/>
      <c r="N5084" s="347"/>
      <c r="O5084" s="132"/>
    </row>
    <row r="5085" spans="2:15" ht="26.25" customHeight="1" x14ac:dyDescent="0.25">
      <c r="B5085" s="130"/>
      <c r="C5085" s="135"/>
      <c r="D5085" s="177"/>
      <c r="E5085" s="178"/>
      <c r="F5085" s="178"/>
      <c r="G5085" s="340"/>
      <c r="H5085" s="340"/>
      <c r="I5085" s="179"/>
      <c r="J5085" s="344"/>
      <c r="K5085" s="345"/>
      <c r="L5085" s="346"/>
      <c r="M5085" s="347"/>
      <c r="N5085" s="347"/>
      <c r="O5085" s="132"/>
    </row>
    <row r="5086" spans="2:15" ht="26.25" customHeight="1" x14ac:dyDescent="0.25">
      <c r="B5086" s="130"/>
      <c r="C5086" s="135"/>
      <c r="D5086" s="177"/>
      <c r="E5086" s="178"/>
      <c r="F5086" s="178"/>
      <c r="G5086" s="340"/>
      <c r="H5086" s="340"/>
      <c r="I5086" s="179"/>
      <c r="J5086" s="344"/>
      <c r="K5086" s="345"/>
      <c r="L5086" s="346"/>
      <c r="M5086" s="347"/>
      <c r="N5086" s="347"/>
      <c r="O5086" s="132"/>
    </row>
    <row r="5087" spans="2:15" ht="26.25" customHeight="1" x14ac:dyDescent="0.25">
      <c r="B5087" s="130"/>
      <c r="C5087" s="135"/>
      <c r="D5087" s="177"/>
      <c r="E5087" s="178"/>
      <c r="F5087" s="178"/>
      <c r="G5087" s="340"/>
      <c r="H5087" s="340"/>
      <c r="I5087" s="179"/>
      <c r="J5087" s="344"/>
      <c r="K5087" s="345"/>
      <c r="L5087" s="346"/>
      <c r="M5087" s="347"/>
      <c r="N5087" s="347"/>
      <c r="O5087" s="132"/>
    </row>
    <row r="5088" spans="2:15" ht="26.25" customHeight="1" x14ac:dyDescent="0.25">
      <c r="B5088" s="130"/>
      <c r="C5088" s="135"/>
      <c r="D5088" s="177"/>
      <c r="E5088" s="178"/>
      <c r="F5088" s="178"/>
      <c r="G5088" s="340"/>
      <c r="H5088" s="340"/>
      <c r="I5088" s="179"/>
      <c r="J5088" s="344"/>
      <c r="K5088" s="345"/>
      <c r="L5088" s="346"/>
      <c r="M5088" s="347"/>
      <c r="N5088" s="347"/>
      <c r="O5088" s="132"/>
    </row>
    <row r="5089" spans="2:15" ht="26.25" customHeight="1" x14ac:dyDescent="0.25">
      <c r="B5089" s="130"/>
      <c r="C5089" s="135"/>
      <c r="D5089" s="177"/>
      <c r="E5089" s="178"/>
      <c r="F5089" s="178"/>
      <c r="G5089" s="340"/>
      <c r="H5089" s="340"/>
      <c r="I5089" s="179"/>
      <c r="J5089" s="344"/>
      <c r="K5089" s="345"/>
      <c r="L5089" s="346"/>
      <c r="M5089" s="347"/>
      <c r="N5089" s="347"/>
      <c r="O5089" s="132"/>
    </row>
    <row r="5090" spans="2:15" ht="26.25" customHeight="1" x14ac:dyDescent="0.25">
      <c r="B5090" s="130"/>
      <c r="C5090" s="135"/>
      <c r="D5090" s="177"/>
      <c r="E5090" s="178"/>
      <c r="F5090" s="178"/>
      <c r="G5090" s="340"/>
      <c r="H5090" s="340"/>
      <c r="I5090" s="179"/>
      <c r="J5090" s="344"/>
      <c r="K5090" s="345"/>
      <c r="L5090" s="346"/>
      <c r="M5090" s="347"/>
      <c r="N5090" s="347"/>
      <c r="O5090" s="132"/>
    </row>
    <row r="5091" spans="2:15" ht="26.25" customHeight="1" x14ac:dyDescent="0.25">
      <c r="B5091" s="130"/>
      <c r="C5091" s="135"/>
      <c r="D5091" s="177"/>
      <c r="E5091" s="178"/>
      <c r="F5091" s="178"/>
      <c r="G5091" s="340"/>
      <c r="H5091" s="340"/>
      <c r="I5091" s="179"/>
      <c r="J5091" s="344"/>
      <c r="K5091" s="345"/>
      <c r="L5091" s="346"/>
      <c r="M5091" s="347"/>
      <c r="N5091" s="347"/>
      <c r="O5091" s="132"/>
    </row>
    <row r="5092" spans="2:15" ht="26.25" customHeight="1" x14ac:dyDescent="0.25">
      <c r="B5092" s="130"/>
      <c r="C5092" s="135"/>
      <c r="D5092" s="177"/>
      <c r="E5092" s="178"/>
      <c r="F5092" s="178"/>
      <c r="G5092" s="340"/>
      <c r="H5092" s="340"/>
      <c r="I5092" s="179"/>
      <c r="J5092" s="344"/>
      <c r="K5092" s="345"/>
      <c r="L5092" s="346"/>
      <c r="M5092" s="347"/>
      <c r="N5092" s="347"/>
      <c r="O5092" s="132"/>
    </row>
    <row r="5093" spans="2:15" ht="26.25" customHeight="1" x14ac:dyDescent="0.25">
      <c r="B5093" s="130"/>
      <c r="C5093" s="135"/>
      <c r="D5093" s="177"/>
      <c r="E5093" s="178"/>
      <c r="F5093" s="178"/>
      <c r="G5093" s="340"/>
      <c r="H5093" s="340"/>
      <c r="I5093" s="179"/>
      <c r="J5093" s="344"/>
      <c r="K5093" s="345"/>
      <c r="L5093" s="346"/>
      <c r="M5093" s="347"/>
      <c r="N5093" s="347"/>
      <c r="O5093" s="132"/>
    </row>
    <row r="5094" spans="2:15" ht="26.25" customHeight="1" x14ac:dyDescent="0.25">
      <c r="B5094" s="130"/>
      <c r="C5094" s="135"/>
      <c r="D5094" s="177"/>
      <c r="E5094" s="178"/>
      <c r="F5094" s="178"/>
      <c r="G5094" s="340"/>
      <c r="H5094" s="340"/>
      <c r="I5094" s="179"/>
      <c r="J5094" s="344"/>
      <c r="K5094" s="345"/>
      <c r="L5094" s="346"/>
      <c r="M5094" s="347"/>
      <c r="N5094" s="347"/>
      <c r="O5094" s="132"/>
    </row>
    <row r="5095" spans="2:15" ht="26.25" customHeight="1" x14ac:dyDescent="0.25">
      <c r="B5095" s="130"/>
      <c r="C5095" s="135"/>
      <c r="D5095" s="177"/>
      <c r="E5095" s="178"/>
      <c r="F5095" s="178"/>
      <c r="G5095" s="340"/>
      <c r="H5095" s="340"/>
      <c r="I5095" s="179"/>
      <c r="J5095" s="344"/>
      <c r="K5095" s="345"/>
      <c r="L5095" s="346"/>
      <c r="M5095" s="347"/>
      <c r="N5095" s="347"/>
      <c r="O5095" s="132"/>
    </row>
    <row r="5096" spans="2:15" ht="26.25" customHeight="1" x14ac:dyDescent="0.25">
      <c r="B5096" s="130"/>
      <c r="C5096" s="135"/>
      <c r="D5096" s="177"/>
      <c r="E5096" s="178"/>
      <c r="F5096" s="178"/>
      <c r="G5096" s="340"/>
      <c r="H5096" s="340"/>
      <c r="I5096" s="179"/>
      <c r="J5096" s="344"/>
      <c r="K5096" s="345"/>
      <c r="L5096" s="346"/>
      <c r="M5096" s="347"/>
      <c r="N5096" s="347"/>
      <c r="O5096" s="132"/>
    </row>
    <row r="5097" spans="2:15" ht="26.25" customHeight="1" x14ac:dyDescent="0.25">
      <c r="B5097" s="130"/>
      <c r="C5097" s="135"/>
      <c r="D5097" s="177"/>
      <c r="E5097" s="178"/>
      <c r="F5097" s="178"/>
      <c r="G5097" s="340"/>
      <c r="H5097" s="340"/>
      <c r="I5097" s="179"/>
      <c r="J5097" s="344"/>
      <c r="K5097" s="345"/>
      <c r="L5097" s="346"/>
      <c r="M5097" s="347"/>
      <c r="N5097" s="347"/>
      <c r="O5097" s="132"/>
    </row>
    <row r="5098" spans="2:15" ht="26.25" customHeight="1" x14ac:dyDescent="0.25">
      <c r="B5098" s="130"/>
      <c r="C5098" s="135"/>
      <c r="D5098" s="177"/>
      <c r="E5098" s="178"/>
      <c r="F5098" s="178"/>
      <c r="G5098" s="340"/>
      <c r="H5098" s="340"/>
      <c r="I5098" s="179"/>
      <c r="J5098" s="344"/>
      <c r="K5098" s="345"/>
      <c r="L5098" s="346"/>
      <c r="M5098" s="347"/>
      <c r="N5098" s="347"/>
      <c r="O5098" s="132"/>
    </row>
    <row r="5099" spans="2:15" ht="26.25" customHeight="1" x14ac:dyDescent="0.25">
      <c r="B5099" s="130"/>
      <c r="C5099" s="135"/>
      <c r="D5099" s="177"/>
      <c r="E5099" s="178"/>
      <c r="F5099" s="178"/>
      <c r="G5099" s="340"/>
      <c r="H5099" s="340"/>
      <c r="I5099" s="179"/>
      <c r="J5099" s="344"/>
      <c r="K5099" s="345"/>
      <c r="L5099" s="346"/>
      <c r="M5099" s="347"/>
      <c r="N5099" s="347"/>
      <c r="O5099" s="132"/>
    </row>
    <row r="5100" spans="2:15" ht="26.25" customHeight="1" x14ac:dyDescent="0.25">
      <c r="B5100" s="130"/>
      <c r="C5100" s="135"/>
      <c r="D5100" s="177"/>
      <c r="E5100" s="178"/>
      <c r="F5100" s="178"/>
      <c r="G5100" s="340"/>
      <c r="H5100" s="340"/>
      <c r="I5100" s="179"/>
      <c r="J5100" s="344"/>
      <c r="K5100" s="345"/>
      <c r="L5100" s="346"/>
      <c r="M5100" s="347"/>
      <c r="N5100" s="347"/>
      <c r="O5100" s="132"/>
    </row>
    <row r="5101" spans="2:15" ht="26.25" customHeight="1" x14ac:dyDescent="0.25">
      <c r="B5101" s="130"/>
      <c r="C5101" s="135"/>
      <c r="D5101" s="177"/>
      <c r="E5101" s="178"/>
      <c r="F5101" s="178"/>
      <c r="G5101" s="340"/>
      <c r="H5101" s="340"/>
      <c r="I5101" s="179"/>
      <c r="J5101" s="344"/>
      <c r="K5101" s="345"/>
      <c r="L5101" s="346"/>
      <c r="M5101" s="347"/>
      <c r="N5101" s="347"/>
      <c r="O5101" s="132"/>
    </row>
    <row r="5102" spans="2:15" ht="26.25" customHeight="1" x14ac:dyDescent="0.25">
      <c r="B5102" s="130"/>
      <c r="C5102" s="135"/>
      <c r="D5102" s="177"/>
      <c r="E5102" s="178"/>
      <c r="F5102" s="178"/>
      <c r="G5102" s="340"/>
      <c r="H5102" s="340"/>
      <c r="I5102" s="179"/>
      <c r="J5102" s="344"/>
      <c r="K5102" s="345"/>
      <c r="L5102" s="346"/>
      <c r="M5102" s="347"/>
      <c r="N5102" s="347"/>
      <c r="O5102" s="132"/>
    </row>
    <row r="5103" spans="2:15" ht="26.25" customHeight="1" x14ac:dyDescent="0.25">
      <c r="B5103" s="130"/>
      <c r="C5103" s="135"/>
      <c r="D5103" s="177"/>
      <c r="E5103" s="178"/>
      <c r="F5103" s="178"/>
      <c r="G5103" s="340"/>
      <c r="H5103" s="340"/>
      <c r="I5103" s="179"/>
      <c r="J5103" s="344"/>
      <c r="K5103" s="345"/>
      <c r="L5103" s="346"/>
      <c r="M5103" s="347"/>
      <c r="N5103" s="347"/>
      <c r="O5103" s="132"/>
    </row>
    <row r="5104" spans="2:15" ht="26.25" customHeight="1" x14ac:dyDescent="0.25">
      <c r="B5104" s="130"/>
      <c r="C5104" s="135"/>
      <c r="D5104" s="177"/>
      <c r="E5104" s="178"/>
      <c r="F5104" s="178"/>
      <c r="G5104" s="340"/>
      <c r="H5104" s="340"/>
      <c r="I5104" s="179"/>
      <c r="J5104" s="344"/>
      <c r="K5104" s="345"/>
      <c r="L5104" s="346"/>
      <c r="M5104" s="347"/>
      <c r="N5104" s="347"/>
      <c r="O5104" s="132"/>
    </row>
    <row r="5105" spans="2:15" ht="26.25" customHeight="1" x14ac:dyDescent="0.25">
      <c r="B5105" s="130"/>
      <c r="C5105" s="135"/>
      <c r="D5105" s="177"/>
      <c r="E5105" s="178"/>
      <c r="F5105" s="178"/>
      <c r="G5105" s="340"/>
      <c r="H5105" s="340"/>
      <c r="I5105" s="179"/>
      <c r="J5105" s="344"/>
      <c r="K5105" s="345"/>
      <c r="L5105" s="346"/>
      <c r="M5105" s="347"/>
      <c r="N5105" s="347"/>
      <c r="O5105" s="132"/>
    </row>
    <row r="5106" spans="2:15" ht="26.25" customHeight="1" x14ac:dyDescent="0.25">
      <c r="B5106" s="130"/>
      <c r="C5106" s="135"/>
      <c r="D5106" s="177"/>
      <c r="E5106" s="178"/>
      <c r="F5106" s="178"/>
      <c r="G5106" s="340"/>
      <c r="H5106" s="340"/>
      <c r="I5106" s="179"/>
      <c r="J5106" s="344"/>
      <c r="K5106" s="345"/>
      <c r="L5106" s="346"/>
      <c r="M5106" s="347"/>
      <c r="N5106" s="347"/>
      <c r="O5106" s="132"/>
    </row>
    <row r="5107" spans="2:15" ht="26.25" customHeight="1" x14ac:dyDescent="0.25">
      <c r="B5107" s="130"/>
      <c r="C5107" s="135"/>
      <c r="D5107" s="177"/>
      <c r="E5107" s="178"/>
      <c r="F5107" s="178"/>
      <c r="G5107" s="340"/>
      <c r="H5107" s="340"/>
      <c r="I5107" s="179"/>
      <c r="J5107" s="344"/>
      <c r="K5107" s="345"/>
      <c r="L5107" s="346"/>
      <c r="M5107" s="347"/>
      <c r="N5107" s="347"/>
      <c r="O5107" s="132"/>
    </row>
    <row r="5108" spans="2:15" ht="26.25" customHeight="1" x14ac:dyDescent="0.25">
      <c r="B5108" s="130"/>
      <c r="C5108" s="135"/>
      <c r="D5108" s="177"/>
      <c r="E5108" s="178"/>
      <c r="F5108" s="178"/>
      <c r="G5108" s="340"/>
      <c r="H5108" s="340"/>
      <c r="I5108" s="179"/>
      <c r="J5108" s="344"/>
      <c r="K5108" s="345"/>
      <c r="L5108" s="346"/>
      <c r="M5108" s="347"/>
      <c r="N5108" s="347"/>
      <c r="O5108" s="132"/>
    </row>
    <row r="5109" spans="2:15" ht="26.25" customHeight="1" x14ac:dyDescent="0.25">
      <c r="B5109" s="130"/>
      <c r="C5109" s="135"/>
      <c r="D5109" s="177"/>
      <c r="E5109" s="178"/>
      <c r="F5109" s="178"/>
      <c r="G5109" s="340"/>
      <c r="H5109" s="340"/>
      <c r="I5109" s="179"/>
      <c r="J5109" s="344"/>
      <c r="K5109" s="345"/>
      <c r="L5109" s="346"/>
      <c r="M5109" s="347"/>
      <c r="N5109" s="347"/>
      <c r="O5109" s="132"/>
    </row>
    <row r="5110" spans="2:15" ht="26.25" customHeight="1" x14ac:dyDescent="0.25">
      <c r="B5110" s="130"/>
      <c r="C5110" s="135"/>
      <c r="D5110" s="177"/>
      <c r="E5110" s="178"/>
      <c r="F5110" s="178"/>
      <c r="G5110" s="340"/>
      <c r="H5110" s="340"/>
      <c r="I5110" s="179"/>
      <c r="J5110" s="344"/>
      <c r="K5110" s="345"/>
      <c r="L5110" s="346"/>
      <c r="M5110" s="347"/>
      <c r="N5110" s="347"/>
      <c r="O5110" s="132"/>
    </row>
    <row r="5111" spans="2:15" ht="26.25" customHeight="1" x14ac:dyDescent="0.25">
      <c r="B5111" s="130"/>
      <c r="C5111" s="135"/>
      <c r="D5111" s="177"/>
      <c r="E5111" s="178"/>
      <c r="F5111" s="178"/>
      <c r="G5111" s="340"/>
      <c r="H5111" s="340"/>
      <c r="I5111" s="179"/>
      <c r="J5111" s="344"/>
      <c r="K5111" s="345"/>
      <c r="L5111" s="346"/>
      <c r="M5111" s="347"/>
      <c r="N5111" s="347"/>
      <c r="O5111" s="132"/>
    </row>
    <row r="5112" spans="2:15" ht="26.25" customHeight="1" x14ac:dyDescent="0.25">
      <c r="B5112" s="130"/>
      <c r="C5112" s="135"/>
      <c r="D5112" s="177"/>
      <c r="E5112" s="178"/>
      <c r="F5112" s="178"/>
      <c r="G5112" s="340"/>
      <c r="H5112" s="340"/>
      <c r="I5112" s="179"/>
      <c r="J5112" s="344"/>
      <c r="K5112" s="345"/>
      <c r="L5112" s="346"/>
      <c r="M5112" s="347"/>
      <c r="N5112" s="347"/>
      <c r="O5112" s="132"/>
    </row>
    <row r="5113" spans="2:15" ht="26.25" customHeight="1" x14ac:dyDescent="0.25">
      <c r="B5113" s="130"/>
      <c r="C5113" s="135"/>
      <c r="D5113" s="177"/>
      <c r="E5113" s="178"/>
      <c r="F5113" s="178"/>
      <c r="G5113" s="340"/>
      <c r="H5113" s="340"/>
      <c r="I5113" s="179"/>
      <c r="J5113" s="344"/>
      <c r="K5113" s="345"/>
      <c r="L5113" s="346"/>
      <c r="M5113" s="347"/>
      <c r="N5113" s="347"/>
      <c r="O5113" s="132"/>
    </row>
    <row r="5114" spans="2:15" ht="26.25" customHeight="1" x14ac:dyDescent="0.25">
      <c r="B5114" s="130"/>
      <c r="C5114" s="135"/>
      <c r="D5114" s="177"/>
      <c r="E5114" s="178"/>
      <c r="F5114" s="178"/>
      <c r="G5114" s="340"/>
      <c r="H5114" s="340"/>
      <c r="I5114" s="179"/>
      <c r="J5114" s="344"/>
      <c r="K5114" s="345"/>
      <c r="L5114" s="346"/>
      <c r="M5114" s="347"/>
      <c r="N5114" s="347"/>
      <c r="O5114" s="132"/>
    </row>
    <row r="5115" spans="2:15" ht="26.25" customHeight="1" x14ac:dyDescent="0.25">
      <c r="B5115" s="130"/>
      <c r="C5115" s="135"/>
      <c r="D5115" s="177"/>
      <c r="E5115" s="178"/>
      <c r="F5115" s="178"/>
      <c r="G5115" s="340"/>
      <c r="H5115" s="340"/>
      <c r="I5115" s="179"/>
      <c r="J5115" s="344"/>
      <c r="K5115" s="345"/>
      <c r="L5115" s="346"/>
      <c r="M5115" s="347"/>
      <c r="N5115" s="347"/>
      <c r="O5115" s="132"/>
    </row>
    <row r="5116" spans="2:15" ht="26.25" customHeight="1" x14ac:dyDescent="0.25">
      <c r="B5116" s="130"/>
      <c r="C5116" s="135"/>
      <c r="D5116" s="177"/>
      <c r="E5116" s="178"/>
      <c r="F5116" s="178"/>
      <c r="G5116" s="340"/>
      <c r="H5116" s="340"/>
      <c r="I5116" s="179"/>
      <c r="J5116" s="344"/>
      <c r="K5116" s="345"/>
      <c r="L5116" s="346"/>
      <c r="M5116" s="347"/>
      <c r="N5116" s="347"/>
      <c r="O5116" s="132"/>
    </row>
    <row r="5117" spans="2:15" ht="26.25" customHeight="1" x14ac:dyDescent="0.25">
      <c r="B5117" s="130"/>
      <c r="C5117" s="135"/>
      <c r="D5117" s="177"/>
      <c r="E5117" s="178"/>
      <c r="F5117" s="178"/>
      <c r="G5117" s="340"/>
      <c r="H5117" s="340"/>
      <c r="I5117" s="179"/>
      <c r="J5117" s="344"/>
      <c r="K5117" s="345"/>
      <c r="L5117" s="346"/>
      <c r="M5117" s="347"/>
      <c r="N5117" s="347"/>
      <c r="O5117" s="132"/>
    </row>
    <row r="5118" spans="2:15" ht="26.25" customHeight="1" x14ac:dyDescent="0.25">
      <c r="B5118" s="130"/>
      <c r="C5118" s="135"/>
      <c r="D5118" s="177"/>
      <c r="E5118" s="178"/>
      <c r="F5118" s="178"/>
      <c r="G5118" s="340"/>
      <c r="H5118" s="340"/>
      <c r="I5118" s="179"/>
      <c r="J5118" s="344"/>
      <c r="K5118" s="345"/>
      <c r="L5118" s="346"/>
      <c r="M5118" s="347"/>
      <c r="N5118" s="347"/>
      <c r="O5118" s="132"/>
    </row>
    <row r="5119" spans="2:15" ht="26.25" customHeight="1" x14ac:dyDescent="0.25">
      <c r="B5119" s="130"/>
      <c r="C5119" s="135"/>
      <c r="D5119" s="177"/>
      <c r="E5119" s="178"/>
      <c r="F5119" s="178"/>
      <c r="G5119" s="340"/>
      <c r="H5119" s="340"/>
      <c r="I5119" s="179"/>
      <c r="J5119" s="344"/>
      <c r="K5119" s="345"/>
      <c r="L5119" s="346"/>
      <c r="M5119" s="347"/>
      <c r="N5119" s="347"/>
      <c r="O5119" s="132"/>
    </row>
    <row r="5120" spans="2:15" ht="26.25" customHeight="1" x14ac:dyDescent="0.25">
      <c r="B5120" s="130"/>
      <c r="C5120" s="135"/>
      <c r="D5120" s="177"/>
      <c r="E5120" s="178"/>
      <c r="F5120" s="178"/>
      <c r="G5120" s="340"/>
      <c r="H5120" s="340"/>
      <c r="I5120" s="179"/>
      <c r="J5120" s="344"/>
      <c r="K5120" s="345"/>
      <c r="L5120" s="346"/>
      <c r="M5120" s="347"/>
      <c r="N5120" s="347"/>
      <c r="O5120" s="132"/>
    </row>
    <row r="5121" spans="2:15" ht="26.25" customHeight="1" x14ac:dyDescent="0.25">
      <c r="B5121" s="130"/>
      <c r="C5121" s="135"/>
      <c r="D5121" s="177"/>
      <c r="E5121" s="178"/>
      <c r="F5121" s="178"/>
      <c r="G5121" s="340"/>
      <c r="H5121" s="340"/>
      <c r="I5121" s="179"/>
      <c r="J5121" s="344"/>
      <c r="K5121" s="345"/>
      <c r="L5121" s="346"/>
      <c r="M5121" s="347"/>
      <c r="N5121" s="347"/>
      <c r="O5121" s="132"/>
    </row>
    <row r="5122" spans="2:15" ht="26.25" customHeight="1" x14ac:dyDescent="0.25">
      <c r="B5122" s="130"/>
      <c r="C5122" s="135"/>
      <c r="D5122" s="177"/>
      <c r="E5122" s="178"/>
      <c r="F5122" s="178"/>
      <c r="G5122" s="340"/>
      <c r="H5122" s="340"/>
      <c r="I5122" s="179"/>
      <c r="J5122" s="344"/>
      <c r="K5122" s="345"/>
      <c r="L5122" s="346"/>
      <c r="M5122" s="347"/>
      <c r="N5122" s="347"/>
      <c r="O5122" s="132"/>
    </row>
    <row r="5123" spans="2:15" ht="26.25" customHeight="1" x14ac:dyDescent="0.25">
      <c r="B5123" s="130"/>
      <c r="C5123" s="135"/>
      <c r="D5123" s="177"/>
      <c r="E5123" s="178"/>
      <c r="F5123" s="178"/>
      <c r="G5123" s="340"/>
      <c r="H5123" s="340"/>
      <c r="I5123" s="179"/>
      <c r="J5123" s="344"/>
      <c r="K5123" s="345"/>
      <c r="L5123" s="346"/>
      <c r="M5123" s="347"/>
      <c r="N5123" s="347"/>
      <c r="O5123" s="132"/>
    </row>
    <row r="5124" spans="2:15" ht="26.25" customHeight="1" x14ac:dyDescent="0.25">
      <c r="B5124" s="130"/>
      <c r="C5124" s="135"/>
      <c r="D5124" s="177"/>
      <c r="E5124" s="178"/>
      <c r="F5124" s="178"/>
      <c r="G5124" s="340"/>
      <c r="H5124" s="340"/>
      <c r="I5124" s="179"/>
      <c r="J5124" s="344"/>
      <c r="K5124" s="345"/>
      <c r="L5124" s="346"/>
      <c r="M5124" s="347"/>
      <c r="N5124" s="347"/>
      <c r="O5124" s="132"/>
    </row>
    <row r="5125" spans="2:15" ht="26.25" customHeight="1" x14ac:dyDescent="0.25">
      <c r="B5125" s="130"/>
      <c r="C5125" s="135"/>
      <c r="D5125" s="177"/>
      <c r="E5125" s="178"/>
      <c r="F5125" s="178"/>
      <c r="G5125" s="340"/>
      <c r="H5125" s="340"/>
      <c r="I5125" s="179"/>
      <c r="J5125" s="344"/>
      <c r="K5125" s="345"/>
      <c r="L5125" s="346"/>
      <c r="M5125" s="347"/>
      <c r="N5125" s="347"/>
      <c r="O5125" s="132"/>
    </row>
    <row r="5126" spans="2:15" ht="26.25" customHeight="1" x14ac:dyDescent="0.25">
      <c r="B5126" s="130"/>
      <c r="C5126" s="135"/>
      <c r="D5126" s="177"/>
      <c r="E5126" s="178"/>
      <c r="F5126" s="178"/>
      <c r="G5126" s="340"/>
      <c r="H5126" s="340"/>
      <c r="I5126" s="179"/>
      <c r="J5126" s="344"/>
      <c r="K5126" s="345"/>
      <c r="L5126" s="346"/>
      <c r="M5126" s="347"/>
      <c r="N5126" s="347"/>
      <c r="O5126" s="132"/>
    </row>
    <row r="5127" spans="2:15" ht="26.25" customHeight="1" x14ac:dyDescent="0.25">
      <c r="B5127" s="130"/>
      <c r="C5127" s="135"/>
      <c r="D5127" s="177"/>
      <c r="E5127" s="178"/>
      <c r="F5127" s="178"/>
      <c r="G5127" s="340"/>
      <c r="H5127" s="340"/>
      <c r="I5127" s="179"/>
      <c r="J5127" s="344"/>
      <c r="K5127" s="345"/>
      <c r="L5127" s="346"/>
      <c r="M5127" s="347"/>
      <c r="N5127" s="347"/>
      <c r="O5127" s="132"/>
    </row>
    <row r="5128" spans="2:15" ht="26.25" customHeight="1" x14ac:dyDescent="0.25">
      <c r="B5128" s="130"/>
      <c r="C5128" s="135"/>
      <c r="D5128" s="177"/>
      <c r="E5128" s="178"/>
      <c r="F5128" s="178"/>
      <c r="G5128" s="340"/>
      <c r="H5128" s="340"/>
      <c r="I5128" s="179"/>
      <c r="J5128" s="344"/>
      <c r="K5128" s="345"/>
      <c r="L5128" s="346"/>
      <c r="M5128" s="347"/>
      <c r="N5128" s="347"/>
      <c r="O5128" s="132"/>
    </row>
    <row r="5129" spans="2:15" ht="26.25" customHeight="1" x14ac:dyDescent="0.25">
      <c r="B5129" s="130"/>
      <c r="C5129" s="135"/>
      <c r="D5129" s="177"/>
      <c r="E5129" s="178"/>
      <c r="F5129" s="178"/>
      <c r="G5129" s="340"/>
      <c r="H5129" s="340"/>
      <c r="I5129" s="179"/>
      <c r="J5129" s="344"/>
      <c r="K5129" s="345"/>
      <c r="L5129" s="346"/>
      <c r="M5129" s="347"/>
      <c r="N5129" s="347"/>
      <c r="O5129" s="132"/>
    </row>
    <row r="5130" spans="2:15" ht="26.25" customHeight="1" x14ac:dyDescent="0.25">
      <c r="B5130" s="130"/>
      <c r="C5130" s="135"/>
      <c r="D5130" s="177"/>
      <c r="E5130" s="178"/>
      <c r="F5130" s="178"/>
      <c r="G5130" s="340"/>
      <c r="H5130" s="340"/>
      <c r="I5130" s="179"/>
      <c r="J5130" s="344"/>
      <c r="K5130" s="345"/>
      <c r="L5130" s="346"/>
      <c r="M5130" s="347"/>
      <c r="N5130" s="347"/>
      <c r="O5130" s="132"/>
    </row>
    <row r="5131" spans="2:15" ht="26.25" customHeight="1" x14ac:dyDescent="0.25">
      <c r="B5131" s="130"/>
      <c r="C5131" s="135"/>
      <c r="D5131" s="177"/>
      <c r="E5131" s="178"/>
      <c r="F5131" s="178"/>
      <c r="G5131" s="340"/>
      <c r="H5131" s="340"/>
      <c r="I5131" s="179"/>
      <c r="J5131" s="344"/>
      <c r="K5131" s="345"/>
      <c r="L5131" s="346"/>
      <c r="M5131" s="347"/>
      <c r="N5131" s="347"/>
      <c r="O5131" s="132"/>
    </row>
    <row r="5132" spans="2:15" ht="26.25" customHeight="1" x14ac:dyDescent="0.25">
      <c r="B5132" s="130"/>
      <c r="C5132" s="135"/>
      <c r="D5132" s="177"/>
      <c r="E5132" s="178"/>
      <c r="F5132" s="178"/>
      <c r="G5132" s="340"/>
      <c r="H5132" s="340"/>
      <c r="I5132" s="179"/>
      <c r="J5132" s="344"/>
      <c r="K5132" s="345"/>
      <c r="L5132" s="346"/>
      <c r="M5132" s="347"/>
      <c r="N5132" s="347"/>
      <c r="O5132" s="132"/>
    </row>
    <row r="5133" spans="2:15" ht="26.25" customHeight="1" x14ac:dyDescent="0.25">
      <c r="B5133" s="130"/>
      <c r="C5133" s="135"/>
      <c r="D5133" s="177"/>
      <c r="E5133" s="178"/>
      <c r="F5133" s="178"/>
      <c r="G5133" s="340"/>
      <c r="H5133" s="340"/>
      <c r="I5133" s="179"/>
      <c r="J5133" s="344"/>
      <c r="K5133" s="345"/>
      <c r="L5133" s="346"/>
      <c r="M5133" s="347"/>
      <c r="N5133" s="347"/>
      <c r="O5133" s="132"/>
    </row>
    <row r="5134" spans="2:15" ht="26.25" customHeight="1" x14ac:dyDescent="0.25">
      <c r="B5134" s="130"/>
      <c r="C5134" s="135"/>
      <c r="D5134" s="177"/>
      <c r="E5134" s="178"/>
      <c r="F5134" s="178"/>
      <c r="G5134" s="340"/>
      <c r="H5134" s="340"/>
      <c r="I5134" s="179"/>
      <c r="J5134" s="344"/>
      <c r="K5134" s="345"/>
      <c r="L5134" s="346"/>
      <c r="M5134" s="347"/>
      <c r="N5134" s="347"/>
      <c r="O5134" s="132"/>
    </row>
    <row r="5135" spans="2:15" ht="26.25" customHeight="1" x14ac:dyDescent="0.25">
      <c r="B5135" s="130"/>
      <c r="C5135" s="135"/>
      <c r="D5135" s="177"/>
      <c r="E5135" s="178"/>
      <c r="F5135" s="178"/>
      <c r="G5135" s="340"/>
      <c r="H5135" s="340"/>
      <c r="I5135" s="179"/>
      <c r="J5135" s="344"/>
      <c r="K5135" s="345"/>
      <c r="L5135" s="346"/>
      <c r="M5135" s="347"/>
      <c r="N5135" s="347"/>
      <c r="O5135" s="132"/>
    </row>
    <row r="5136" spans="2:15" ht="26.25" customHeight="1" x14ac:dyDescent="0.25">
      <c r="B5136" s="130"/>
      <c r="C5136" s="135"/>
      <c r="D5136" s="177"/>
      <c r="E5136" s="178"/>
      <c r="F5136" s="178"/>
      <c r="G5136" s="340"/>
      <c r="H5136" s="340"/>
      <c r="I5136" s="179"/>
      <c r="J5136" s="344"/>
      <c r="K5136" s="345"/>
      <c r="L5136" s="346"/>
      <c r="M5136" s="347"/>
      <c r="N5136" s="347"/>
      <c r="O5136" s="132"/>
    </row>
    <row r="5137" spans="2:15" ht="26.25" customHeight="1" x14ac:dyDescent="0.25">
      <c r="B5137" s="130"/>
      <c r="C5137" s="135"/>
      <c r="D5137" s="177"/>
      <c r="E5137" s="178"/>
      <c r="F5137" s="178"/>
      <c r="G5137" s="340"/>
      <c r="H5137" s="340"/>
      <c r="I5137" s="179"/>
      <c r="J5137" s="344"/>
      <c r="K5137" s="345"/>
      <c r="L5137" s="346"/>
      <c r="M5137" s="347"/>
      <c r="N5137" s="347"/>
      <c r="O5137" s="132"/>
    </row>
    <row r="5138" spans="2:15" ht="26.25" customHeight="1" x14ac:dyDescent="0.25">
      <c r="B5138" s="130"/>
      <c r="C5138" s="135"/>
      <c r="D5138" s="177"/>
      <c r="E5138" s="178"/>
      <c r="F5138" s="178"/>
      <c r="G5138" s="340"/>
      <c r="H5138" s="340"/>
      <c r="I5138" s="179"/>
      <c r="J5138" s="344"/>
      <c r="K5138" s="345"/>
      <c r="L5138" s="346"/>
      <c r="M5138" s="347"/>
      <c r="N5138" s="347"/>
      <c r="O5138" s="132"/>
    </row>
    <row r="5139" spans="2:15" ht="26.25" customHeight="1" x14ac:dyDescent="0.25">
      <c r="B5139" s="130"/>
      <c r="C5139" s="135"/>
      <c r="D5139" s="177"/>
      <c r="E5139" s="178"/>
      <c r="F5139" s="178"/>
      <c r="G5139" s="340"/>
      <c r="H5139" s="340"/>
      <c r="I5139" s="179"/>
      <c r="J5139" s="344"/>
      <c r="K5139" s="345"/>
      <c r="L5139" s="346"/>
      <c r="M5139" s="347"/>
      <c r="N5139" s="347"/>
      <c r="O5139" s="132"/>
    </row>
    <row r="5140" spans="2:15" ht="26.25" customHeight="1" x14ac:dyDescent="0.25">
      <c r="B5140" s="130"/>
      <c r="C5140" s="135"/>
      <c r="D5140" s="177"/>
      <c r="E5140" s="178"/>
      <c r="F5140" s="178"/>
      <c r="G5140" s="340"/>
      <c r="H5140" s="340"/>
      <c r="I5140" s="179"/>
      <c r="J5140" s="344"/>
      <c r="K5140" s="345"/>
      <c r="L5140" s="346"/>
      <c r="M5140" s="347"/>
      <c r="N5140" s="347"/>
      <c r="O5140" s="132"/>
    </row>
    <row r="5141" spans="2:15" ht="26.25" customHeight="1" x14ac:dyDescent="0.25">
      <c r="B5141" s="130"/>
      <c r="C5141" s="135"/>
      <c r="D5141" s="177"/>
      <c r="E5141" s="178"/>
      <c r="F5141" s="178"/>
      <c r="G5141" s="340"/>
      <c r="H5141" s="340"/>
      <c r="I5141" s="179"/>
      <c r="J5141" s="344"/>
      <c r="K5141" s="345"/>
      <c r="L5141" s="346"/>
      <c r="M5141" s="347"/>
      <c r="N5141" s="347"/>
      <c r="O5141" s="132"/>
    </row>
    <row r="5142" spans="2:15" ht="26.25" customHeight="1" x14ac:dyDescent="0.25">
      <c r="B5142" s="130"/>
      <c r="C5142" s="135"/>
      <c r="D5142" s="177"/>
      <c r="E5142" s="178"/>
      <c r="F5142" s="178"/>
      <c r="G5142" s="340"/>
      <c r="H5142" s="340"/>
      <c r="I5142" s="179"/>
      <c r="J5142" s="344"/>
      <c r="K5142" s="345"/>
      <c r="L5142" s="346"/>
      <c r="M5142" s="347"/>
      <c r="N5142" s="347"/>
      <c r="O5142" s="132"/>
    </row>
    <row r="5143" spans="2:15" ht="26.25" customHeight="1" x14ac:dyDescent="0.25">
      <c r="B5143" s="130"/>
      <c r="C5143" s="135"/>
      <c r="D5143" s="177"/>
      <c r="E5143" s="178"/>
      <c r="F5143" s="178"/>
      <c r="G5143" s="340"/>
      <c r="H5143" s="340"/>
      <c r="I5143" s="179"/>
      <c r="J5143" s="344"/>
      <c r="K5143" s="345"/>
      <c r="L5143" s="346"/>
      <c r="M5143" s="347"/>
      <c r="N5143" s="347"/>
      <c r="O5143" s="132"/>
    </row>
    <row r="5144" spans="2:15" ht="26.25" customHeight="1" x14ac:dyDescent="0.25">
      <c r="B5144" s="130"/>
      <c r="C5144" s="135"/>
      <c r="D5144" s="177"/>
      <c r="E5144" s="178"/>
      <c r="F5144" s="178"/>
      <c r="G5144" s="340"/>
      <c r="H5144" s="340"/>
      <c r="I5144" s="179"/>
      <c r="J5144" s="344"/>
      <c r="K5144" s="345"/>
      <c r="L5144" s="346"/>
      <c r="M5144" s="347"/>
      <c r="N5144" s="347"/>
      <c r="O5144" s="132"/>
    </row>
    <row r="5145" spans="2:15" ht="26.25" customHeight="1" x14ac:dyDescent="0.25">
      <c r="B5145" s="130"/>
      <c r="C5145" s="135"/>
      <c r="D5145" s="177"/>
      <c r="E5145" s="178"/>
      <c r="F5145" s="178"/>
      <c r="G5145" s="340"/>
      <c r="H5145" s="340"/>
      <c r="I5145" s="179"/>
      <c r="J5145" s="344"/>
      <c r="K5145" s="345"/>
      <c r="L5145" s="346"/>
      <c r="M5145" s="347"/>
      <c r="N5145" s="347"/>
      <c r="O5145" s="132"/>
    </row>
    <row r="5146" spans="2:15" ht="26.25" customHeight="1" x14ac:dyDescent="0.25">
      <c r="B5146" s="130"/>
      <c r="C5146" s="135"/>
      <c r="D5146" s="177"/>
      <c r="E5146" s="178"/>
      <c r="F5146" s="178"/>
      <c r="G5146" s="340"/>
      <c r="H5146" s="340"/>
      <c r="I5146" s="179"/>
      <c r="J5146" s="344"/>
      <c r="K5146" s="345"/>
      <c r="L5146" s="346"/>
      <c r="M5146" s="347"/>
      <c r="N5146" s="347"/>
      <c r="O5146" s="132"/>
    </row>
    <row r="5147" spans="2:15" ht="26.25" customHeight="1" x14ac:dyDescent="0.25">
      <c r="B5147" s="130"/>
      <c r="C5147" s="135"/>
      <c r="D5147" s="177"/>
      <c r="E5147" s="178"/>
      <c r="F5147" s="178"/>
      <c r="G5147" s="340"/>
      <c r="H5147" s="340"/>
      <c r="I5147" s="179"/>
      <c r="J5147" s="344"/>
      <c r="K5147" s="345"/>
      <c r="L5147" s="346"/>
      <c r="M5147" s="347"/>
      <c r="N5147" s="347"/>
      <c r="O5147" s="132"/>
    </row>
    <row r="5148" spans="2:15" ht="26.25" customHeight="1" x14ac:dyDescent="0.25">
      <c r="B5148" s="130"/>
      <c r="C5148" s="135"/>
      <c r="D5148" s="177"/>
      <c r="E5148" s="178"/>
      <c r="F5148" s="178"/>
      <c r="G5148" s="340"/>
      <c r="H5148" s="340"/>
      <c r="I5148" s="179"/>
      <c r="J5148" s="344"/>
      <c r="K5148" s="345"/>
      <c r="L5148" s="346"/>
      <c r="M5148" s="347"/>
      <c r="N5148" s="347"/>
      <c r="O5148" s="132"/>
    </row>
    <row r="5149" spans="2:15" ht="26.25" customHeight="1" x14ac:dyDescent="0.25">
      <c r="B5149" s="130"/>
      <c r="C5149" s="135"/>
      <c r="D5149" s="177"/>
      <c r="E5149" s="178"/>
      <c r="F5149" s="178"/>
      <c r="G5149" s="340"/>
      <c r="H5149" s="340"/>
      <c r="I5149" s="179"/>
      <c r="J5149" s="344"/>
      <c r="K5149" s="345"/>
      <c r="L5149" s="346"/>
      <c r="M5149" s="347"/>
      <c r="N5149" s="347"/>
      <c r="O5149" s="132"/>
    </row>
    <row r="5150" spans="2:15" ht="26.25" customHeight="1" x14ac:dyDescent="0.25">
      <c r="B5150" s="130"/>
      <c r="C5150" s="135"/>
      <c r="D5150" s="177"/>
      <c r="E5150" s="178"/>
      <c r="F5150" s="178"/>
      <c r="G5150" s="340"/>
      <c r="H5150" s="340"/>
      <c r="I5150" s="179"/>
      <c r="J5150" s="344"/>
      <c r="K5150" s="345"/>
      <c r="L5150" s="346"/>
      <c r="M5150" s="347"/>
      <c r="N5150" s="347"/>
      <c r="O5150" s="132"/>
    </row>
    <row r="5151" spans="2:15" ht="26.25" customHeight="1" x14ac:dyDescent="0.25">
      <c r="B5151" s="130"/>
      <c r="C5151" s="135"/>
      <c r="D5151" s="177"/>
      <c r="E5151" s="178"/>
      <c r="F5151" s="178"/>
      <c r="G5151" s="340"/>
      <c r="H5151" s="340"/>
      <c r="I5151" s="179"/>
      <c r="J5151" s="344"/>
      <c r="K5151" s="345"/>
      <c r="L5151" s="346"/>
      <c r="M5151" s="347"/>
      <c r="N5151" s="347"/>
      <c r="O5151" s="132"/>
    </row>
    <row r="5152" spans="2:15" ht="26.25" customHeight="1" x14ac:dyDescent="0.25">
      <c r="B5152" s="130"/>
      <c r="C5152" s="135"/>
      <c r="D5152" s="177"/>
      <c r="E5152" s="178"/>
      <c r="F5152" s="178"/>
      <c r="G5152" s="340"/>
      <c r="H5152" s="340"/>
      <c r="I5152" s="179"/>
      <c r="J5152" s="344"/>
      <c r="K5152" s="345"/>
      <c r="L5152" s="346"/>
      <c r="M5152" s="347"/>
      <c r="N5152" s="347"/>
      <c r="O5152" s="132"/>
    </row>
    <row r="5153" spans="2:15" ht="26.25" customHeight="1" x14ac:dyDescent="0.25">
      <c r="B5153" s="130"/>
      <c r="C5153" s="135"/>
      <c r="D5153" s="177"/>
      <c r="E5153" s="178"/>
      <c r="F5153" s="178"/>
      <c r="G5153" s="340"/>
      <c r="H5153" s="340"/>
      <c r="I5153" s="179"/>
      <c r="J5153" s="344"/>
      <c r="K5153" s="345"/>
      <c r="L5153" s="346"/>
      <c r="M5153" s="347"/>
      <c r="N5153" s="347"/>
      <c r="O5153" s="132"/>
    </row>
    <row r="5154" spans="2:15" ht="26.25" customHeight="1" x14ac:dyDescent="0.25">
      <c r="B5154" s="130"/>
      <c r="C5154" s="135"/>
      <c r="D5154" s="177"/>
      <c r="E5154" s="178"/>
      <c r="F5154" s="178"/>
      <c r="G5154" s="340"/>
      <c r="H5154" s="340"/>
      <c r="I5154" s="179"/>
      <c r="J5154" s="344"/>
      <c r="K5154" s="345"/>
      <c r="L5154" s="346"/>
      <c r="M5154" s="347"/>
      <c r="N5154" s="347"/>
      <c r="O5154" s="132"/>
    </row>
    <row r="5155" spans="2:15" ht="26.25" customHeight="1" x14ac:dyDescent="0.25">
      <c r="B5155" s="130"/>
      <c r="C5155" s="135"/>
      <c r="D5155" s="177"/>
      <c r="E5155" s="178"/>
      <c r="F5155" s="178"/>
      <c r="G5155" s="340"/>
      <c r="H5155" s="340"/>
      <c r="I5155" s="179"/>
      <c r="J5155" s="344"/>
      <c r="K5155" s="345"/>
      <c r="L5155" s="346"/>
      <c r="M5155" s="347"/>
      <c r="N5155" s="347"/>
      <c r="O5155" s="132"/>
    </row>
    <row r="5156" spans="2:15" ht="26.25" customHeight="1" x14ac:dyDescent="0.25">
      <c r="B5156" s="130"/>
      <c r="C5156" s="135"/>
      <c r="D5156" s="177"/>
      <c r="E5156" s="178"/>
      <c r="F5156" s="178"/>
      <c r="G5156" s="340"/>
      <c r="H5156" s="340"/>
      <c r="I5156" s="179"/>
      <c r="J5156" s="344"/>
      <c r="K5156" s="345"/>
      <c r="L5156" s="346"/>
      <c r="M5156" s="347"/>
      <c r="N5156" s="347"/>
      <c r="O5156" s="132"/>
    </row>
    <row r="5157" spans="2:15" ht="26.25" customHeight="1" x14ac:dyDescent="0.25">
      <c r="B5157" s="130"/>
      <c r="C5157" s="135"/>
      <c r="D5157" s="177"/>
      <c r="E5157" s="178"/>
      <c r="F5157" s="178"/>
      <c r="G5157" s="340"/>
      <c r="H5157" s="340"/>
      <c r="I5157" s="179"/>
      <c r="J5157" s="344"/>
      <c r="K5157" s="345"/>
      <c r="L5157" s="346"/>
      <c r="M5157" s="347"/>
      <c r="N5157" s="347"/>
      <c r="O5157" s="132"/>
    </row>
    <row r="5158" spans="2:15" ht="26.25" customHeight="1" x14ac:dyDescent="0.25">
      <c r="B5158" s="130"/>
      <c r="C5158" s="135"/>
      <c r="D5158" s="177"/>
      <c r="E5158" s="178"/>
      <c r="F5158" s="178"/>
      <c r="G5158" s="340"/>
      <c r="H5158" s="340"/>
      <c r="I5158" s="179"/>
      <c r="J5158" s="344"/>
      <c r="K5158" s="345"/>
      <c r="L5158" s="346"/>
      <c r="M5158" s="347"/>
      <c r="N5158" s="347"/>
      <c r="O5158" s="132"/>
    </row>
    <row r="5159" spans="2:15" ht="26.25" customHeight="1" x14ac:dyDescent="0.25">
      <c r="B5159" s="130"/>
      <c r="C5159" s="135"/>
      <c r="D5159" s="177"/>
      <c r="E5159" s="178"/>
      <c r="F5159" s="178"/>
      <c r="G5159" s="340"/>
      <c r="H5159" s="340"/>
      <c r="I5159" s="179"/>
      <c r="J5159" s="344"/>
      <c r="K5159" s="345"/>
      <c r="L5159" s="346"/>
      <c r="M5159" s="347"/>
      <c r="N5159" s="347"/>
      <c r="O5159" s="132"/>
    </row>
    <row r="5160" spans="2:15" ht="26.25" customHeight="1" x14ac:dyDescent="0.25">
      <c r="B5160" s="130"/>
      <c r="C5160" s="135"/>
      <c r="D5160" s="177"/>
      <c r="E5160" s="178"/>
      <c r="F5160" s="178"/>
      <c r="G5160" s="340"/>
      <c r="H5160" s="340"/>
      <c r="I5160" s="179"/>
      <c r="J5160" s="344"/>
      <c r="K5160" s="345"/>
      <c r="L5160" s="346"/>
      <c r="M5160" s="347"/>
      <c r="N5160" s="347"/>
      <c r="O5160" s="132"/>
    </row>
    <row r="5161" spans="2:15" ht="26.25" customHeight="1" x14ac:dyDescent="0.25">
      <c r="B5161" s="130"/>
      <c r="C5161" s="135"/>
      <c r="D5161" s="177"/>
      <c r="E5161" s="178"/>
      <c r="F5161" s="178"/>
      <c r="G5161" s="340"/>
      <c r="H5161" s="340"/>
      <c r="I5161" s="179"/>
      <c r="J5161" s="344"/>
      <c r="K5161" s="345"/>
      <c r="L5161" s="346"/>
      <c r="M5161" s="347"/>
      <c r="N5161" s="347"/>
      <c r="O5161" s="132"/>
    </row>
    <row r="5162" spans="2:15" ht="26.25" customHeight="1" x14ac:dyDescent="0.25">
      <c r="B5162" s="130"/>
      <c r="C5162" s="135"/>
      <c r="D5162" s="177"/>
      <c r="E5162" s="178"/>
      <c r="F5162" s="178"/>
      <c r="G5162" s="340"/>
      <c r="H5162" s="340"/>
      <c r="I5162" s="179"/>
      <c r="J5162" s="344"/>
      <c r="K5162" s="345"/>
      <c r="L5162" s="346"/>
      <c r="M5162" s="347"/>
      <c r="N5162" s="347"/>
      <c r="O5162" s="132"/>
    </row>
    <row r="5163" spans="2:15" ht="26.25" customHeight="1" x14ac:dyDescent="0.25">
      <c r="B5163" s="130"/>
      <c r="C5163" s="135"/>
      <c r="D5163" s="177"/>
      <c r="E5163" s="178"/>
      <c r="F5163" s="178"/>
      <c r="G5163" s="340"/>
      <c r="H5163" s="340"/>
      <c r="I5163" s="179"/>
      <c r="J5163" s="344"/>
      <c r="K5163" s="345"/>
      <c r="L5163" s="346"/>
      <c r="M5163" s="347"/>
      <c r="N5163" s="347"/>
      <c r="O5163" s="132"/>
    </row>
    <row r="5164" spans="2:15" ht="26.25" customHeight="1" x14ac:dyDescent="0.25">
      <c r="B5164" s="130"/>
      <c r="C5164" s="135"/>
      <c r="D5164" s="177"/>
      <c r="E5164" s="178"/>
      <c r="F5164" s="178"/>
      <c r="G5164" s="340"/>
      <c r="H5164" s="340"/>
      <c r="I5164" s="179"/>
      <c r="J5164" s="344"/>
      <c r="K5164" s="345"/>
      <c r="L5164" s="346"/>
      <c r="M5164" s="347"/>
      <c r="N5164" s="347"/>
      <c r="O5164" s="132"/>
    </row>
    <row r="5165" spans="2:15" ht="26.25" customHeight="1" x14ac:dyDescent="0.25">
      <c r="B5165" s="130"/>
      <c r="C5165" s="135"/>
      <c r="D5165" s="177"/>
      <c r="E5165" s="178"/>
      <c r="F5165" s="178"/>
      <c r="G5165" s="340"/>
      <c r="H5165" s="340"/>
      <c r="I5165" s="179"/>
      <c r="J5165" s="344"/>
      <c r="K5165" s="345"/>
      <c r="L5165" s="346"/>
      <c r="M5165" s="347"/>
      <c r="N5165" s="347"/>
      <c r="O5165" s="132"/>
    </row>
    <row r="5166" spans="2:15" ht="26.25" customHeight="1" x14ac:dyDescent="0.25">
      <c r="B5166" s="130"/>
      <c r="C5166" s="135"/>
      <c r="D5166" s="177"/>
      <c r="E5166" s="178"/>
      <c r="F5166" s="178"/>
      <c r="G5166" s="340"/>
      <c r="H5166" s="340"/>
      <c r="I5166" s="179"/>
      <c r="J5166" s="344"/>
      <c r="K5166" s="345"/>
      <c r="L5166" s="346"/>
      <c r="M5166" s="347"/>
      <c r="N5166" s="347"/>
      <c r="O5166" s="132"/>
    </row>
    <row r="5167" spans="2:15" ht="26.25" customHeight="1" x14ac:dyDescent="0.25">
      <c r="B5167" s="130"/>
      <c r="C5167" s="135"/>
      <c r="D5167" s="177"/>
      <c r="E5167" s="178"/>
      <c r="F5167" s="178"/>
      <c r="G5167" s="340"/>
      <c r="H5167" s="340"/>
      <c r="I5167" s="179"/>
      <c r="J5167" s="344"/>
      <c r="K5167" s="345"/>
      <c r="L5167" s="346"/>
      <c r="M5167" s="347"/>
      <c r="N5167" s="347"/>
      <c r="O5167" s="132"/>
    </row>
    <row r="5168" spans="2:15" ht="26.25" customHeight="1" x14ac:dyDescent="0.25">
      <c r="B5168" s="130"/>
      <c r="C5168" s="135"/>
      <c r="D5168" s="177"/>
      <c r="E5168" s="178"/>
      <c r="F5168" s="178"/>
      <c r="G5168" s="340"/>
      <c r="H5168" s="340"/>
      <c r="I5168" s="179"/>
      <c r="J5168" s="344"/>
      <c r="K5168" s="345"/>
      <c r="L5168" s="346"/>
      <c r="M5168" s="347"/>
      <c r="N5168" s="347"/>
      <c r="O5168" s="132"/>
    </row>
    <row r="5169" spans="2:15" ht="26.25" customHeight="1" x14ac:dyDescent="0.25">
      <c r="B5169" s="130"/>
      <c r="C5169" s="135"/>
      <c r="D5169" s="177"/>
      <c r="E5169" s="178"/>
      <c r="F5169" s="178"/>
      <c r="G5169" s="340"/>
      <c r="H5169" s="340"/>
      <c r="I5169" s="179"/>
      <c r="J5169" s="344"/>
      <c r="K5169" s="345"/>
      <c r="L5169" s="346"/>
      <c r="M5169" s="347"/>
      <c r="N5169" s="347"/>
      <c r="O5169" s="132"/>
    </row>
    <row r="5170" spans="2:15" ht="26.25" customHeight="1" x14ac:dyDescent="0.25">
      <c r="B5170" s="130"/>
      <c r="C5170" s="135"/>
      <c r="D5170" s="177"/>
      <c r="E5170" s="178"/>
      <c r="F5170" s="178"/>
      <c r="G5170" s="340"/>
      <c r="H5170" s="340"/>
      <c r="I5170" s="179"/>
      <c r="J5170" s="344"/>
      <c r="K5170" s="345"/>
      <c r="L5170" s="346"/>
      <c r="M5170" s="347"/>
      <c r="N5170" s="347"/>
      <c r="O5170" s="132"/>
    </row>
    <row r="5171" spans="2:15" ht="26.25" customHeight="1" x14ac:dyDescent="0.25">
      <c r="B5171" s="130"/>
      <c r="C5171" s="135"/>
      <c r="D5171" s="177"/>
      <c r="E5171" s="178"/>
      <c r="F5171" s="178"/>
      <c r="G5171" s="340"/>
      <c r="H5171" s="340"/>
      <c r="I5171" s="179"/>
      <c r="J5171" s="344"/>
      <c r="K5171" s="345"/>
      <c r="L5171" s="346"/>
      <c r="M5171" s="347"/>
      <c r="N5171" s="347"/>
      <c r="O5171" s="132"/>
    </row>
    <row r="5172" spans="2:15" ht="26.25" customHeight="1" x14ac:dyDescent="0.25">
      <c r="B5172" s="130"/>
      <c r="C5172" s="135"/>
      <c r="D5172" s="177"/>
      <c r="E5172" s="178"/>
      <c r="F5172" s="178"/>
      <c r="G5172" s="340"/>
      <c r="H5172" s="340"/>
      <c r="I5172" s="179"/>
      <c r="J5172" s="344"/>
      <c r="K5172" s="345"/>
      <c r="L5172" s="346"/>
      <c r="M5172" s="347"/>
      <c r="N5172" s="347"/>
      <c r="O5172" s="132"/>
    </row>
    <row r="5173" spans="2:15" ht="26.25" customHeight="1" x14ac:dyDescent="0.25">
      <c r="B5173" s="130"/>
      <c r="C5173" s="135"/>
      <c r="D5173" s="177"/>
      <c r="E5173" s="178"/>
      <c r="F5173" s="178"/>
      <c r="G5173" s="340"/>
      <c r="H5173" s="340"/>
      <c r="I5173" s="179"/>
      <c r="J5173" s="344"/>
      <c r="K5173" s="345"/>
      <c r="L5173" s="346"/>
      <c r="M5173" s="347"/>
      <c r="N5173" s="347"/>
      <c r="O5173" s="132"/>
    </row>
    <row r="5174" spans="2:15" ht="26.25" customHeight="1" x14ac:dyDescent="0.25">
      <c r="B5174" s="130"/>
      <c r="C5174" s="135"/>
      <c r="D5174" s="177"/>
      <c r="E5174" s="178"/>
      <c r="F5174" s="178"/>
      <c r="G5174" s="340"/>
      <c r="H5174" s="340"/>
      <c r="I5174" s="179"/>
      <c r="J5174" s="344"/>
      <c r="K5174" s="345"/>
      <c r="L5174" s="346"/>
      <c r="M5174" s="347"/>
      <c r="N5174" s="347"/>
      <c r="O5174" s="132"/>
    </row>
    <row r="5175" spans="2:15" ht="26.25" customHeight="1" x14ac:dyDescent="0.25">
      <c r="B5175" s="130"/>
      <c r="C5175" s="135"/>
      <c r="D5175" s="177"/>
      <c r="E5175" s="178"/>
      <c r="F5175" s="178"/>
      <c r="G5175" s="340"/>
      <c r="H5175" s="340"/>
      <c r="I5175" s="179"/>
      <c r="J5175" s="344"/>
      <c r="K5175" s="345"/>
      <c r="L5175" s="346"/>
      <c r="M5175" s="347"/>
      <c r="N5175" s="347"/>
      <c r="O5175" s="132"/>
    </row>
    <row r="5176" spans="2:15" ht="26.25" customHeight="1" x14ac:dyDescent="0.25">
      <c r="B5176" s="130"/>
      <c r="C5176" s="135"/>
      <c r="D5176" s="177"/>
      <c r="E5176" s="178"/>
      <c r="F5176" s="178"/>
      <c r="G5176" s="340"/>
      <c r="H5176" s="340"/>
      <c r="I5176" s="179"/>
      <c r="J5176" s="344"/>
      <c r="K5176" s="345"/>
      <c r="L5176" s="346"/>
      <c r="M5176" s="347"/>
      <c r="N5176" s="347"/>
      <c r="O5176" s="132"/>
    </row>
    <row r="5177" spans="2:15" ht="26.25" customHeight="1" x14ac:dyDescent="0.25">
      <c r="B5177" s="130"/>
      <c r="C5177" s="135"/>
      <c r="D5177" s="177"/>
      <c r="E5177" s="178"/>
      <c r="F5177" s="178"/>
      <c r="G5177" s="340"/>
      <c r="H5177" s="340"/>
      <c r="I5177" s="179"/>
      <c r="J5177" s="344"/>
      <c r="K5177" s="345"/>
      <c r="L5177" s="346"/>
      <c r="M5177" s="347"/>
      <c r="N5177" s="347"/>
      <c r="O5177" s="132"/>
    </row>
    <row r="5178" spans="2:15" ht="26.25" customHeight="1" x14ac:dyDescent="0.25">
      <c r="B5178" s="130"/>
      <c r="C5178" s="135"/>
      <c r="D5178" s="177"/>
      <c r="E5178" s="178"/>
      <c r="F5178" s="178"/>
      <c r="G5178" s="340"/>
      <c r="H5178" s="340"/>
      <c r="I5178" s="179"/>
      <c r="J5178" s="344"/>
      <c r="K5178" s="345"/>
      <c r="L5178" s="346"/>
      <c r="M5178" s="347"/>
      <c r="N5178" s="347"/>
      <c r="O5178" s="132"/>
    </row>
    <row r="5179" spans="2:15" ht="26.25" customHeight="1" x14ac:dyDescent="0.25">
      <c r="B5179" s="130"/>
      <c r="C5179" s="135"/>
      <c r="D5179" s="177"/>
      <c r="E5179" s="178"/>
      <c r="F5179" s="178"/>
      <c r="G5179" s="340"/>
      <c r="H5179" s="340"/>
      <c r="I5179" s="179"/>
      <c r="J5179" s="344"/>
      <c r="K5179" s="345"/>
      <c r="L5179" s="346"/>
      <c r="M5179" s="347"/>
      <c r="N5179" s="347"/>
      <c r="O5179" s="132"/>
    </row>
    <row r="5180" spans="2:15" ht="26.25" customHeight="1" x14ac:dyDescent="0.25">
      <c r="B5180" s="130"/>
      <c r="C5180" s="135"/>
      <c r="D5180" s="177"/>
      <c r="E5180" s="178"/>
      <c r="F5180" s="178"/>
      <c r="G5180" s="340"/>
      <c r="H5180" s="340"/>
      <c r="I5180" s="179"/>
      <c r="J5180" s="344"/>
      <c r="K5180" s="345"/>
      <c r="L5180" s="346"/>
      <c r="M5180" s="347"/>
      <c r="N5180" s="347"/>
      <c r="O5180" s="132"/>
    </row>
    <row r="5181" spans="2:15" ht="26.25" customHeight="1" x14ac:dyDescent="0.25">
      <c r="B5181" s="130"/>
      <c r="C5181" s="135"/>
      <c r="D5181" s="177"/>
      <c r="E5181" s="178"/>
      <c r="F5181" s="178"/>
      <c r="G5181" s="340"/>
      <c r="H5181" s="340"/>
      <c r="I5181" s="179"/>
      <c r="J5181" s="344"/>
      <c r="K5181" s="345"/>
      <c r="L5181" s="346"/>
      <c r="M5181" s="347"/>
      <c r="N5181" s="347"/>
      <c r="O5181" s="132"/>
    </row>
    <row r="5182" spans="2:15" ht="26.25" customHeight="1" x14ac:dyDescent="0.25">
      <c r="B5182" s="130"/>
      <c r="C5182" s="135"/>
      <c r="D5182" s="177"/>
      <c r="E5182" s="178"/>
      <c r="F5182" s="178"/>
      <c r="G5182" s="340"/>
      <c r="H5182" s="340"/>
      <c r="I5182" s="179"/>
      <c r="J5182" s="344"/>
      <c r="K5182" s="345"/>
      <c r="L5182" s="346"/>
      <c r="M5182" s="347"/>
      <c r="N5182" s="347"/>
      <c r="O5182" s="132"/>
    </row>
    <row r="5183" spans="2:15" ht="26.25" customHeight="1" x14ac:dyDescent="0.25">
      <c r="B5183" s="130"/>
      <c r="C5183" s="135"/>
      <c r="D5183" s="177"/>
      <c r="E5183" s="178"/>
      <c r="F5183" s="178"/>
      <c r="G5183" s="340"/>
      <c r="H5183" s="340"/>
      <c r="I5183" s="179"/>
      <c r="J5183" s="344"/>
      <c r="K5183" s="345"/>
      <c r="L5183" s="346"/>
      <c r="M5183" s="347"/>
      <c r="N5183" s="347"/>
      <c r="O5183" s="132"/>
    </row>
    <row r="5184" spans="2:15" ht="26.25" customHeight="1" x14ac:dyDescent="0.25">
      <c r="B5184" s="130"/>
      <c r="C5184" s="135"/>
      <c r="D5184" s="177"/>
      <c r="E5184" s="178"/>
      <c r="F5184" s="178"/>
      <c r="G5184" s="340"/>
      <c r="H5184" s="340"/>
      <c r="I5184" s="179"/>
      <c r="J5184" s="344"/>
      <c r="K5184" s="345"/>
      <c r="L5184" s="346"/>
      <c r="M5184" s="347"/>
      <c r="N5184" s="347"/>
      <c r="O5184" s="132"/>
    </row>
    <row r="5185" spans="2:15" ht="26.25" customHeight="1" x14ac:dyDescent="0.25">
      <c r="B5185" s="130"/>
      <c r="C5185" s="135"/>
      <c r="D5185" s="177"/>
      <c r="E5185" s="178"/>
      <c r="F5185" s="178"/>
      <c r="G5185" s="340"/>
      <c r="H5185" s="340"/>
      <c r="I5185" s="179"/>
      <c r="J5185" s="344"/>
      <c r="K5185" s="345"/>
      <c r="L5185" s="346"/>
      <c r="M5185" s="347"/>
      <c r="N5185" s="347"/>
      <c r="O5185" s="132"/>
    </row>
    <row r="5186" spans="2:15" ht="26.25" customHeight="1" x14ac:dyDescent="0.25">
      <c r="B5186" s="130"/>
      <c r="C5186" s="135"/>
      <c r="D5186" s="177"/>
      <c r="E5186" s="178"/>
      <c r="F5186" s="178"/>
      <c r="G5186" s="340"/>
      <c r="H5186" s="340"/>
      <c r="I5186" s="179"/>
      <c r="J5186" s="344"/>
      <c r="K5186" s="345"/>
      <c r="L5186" s="346"/>
      <c r="M5186" s="347"/>
      <c r="N5186" s="347"/>
      <c r="O5186" s="132"/>
    </row>
    <row r="5187" spans="2:15" ht="26.25" customHeight="1" x14ac:dyDescent="0.25">
      <c r="B5187" s="130"/>
      <c r="C5187" s="135"/>
      <c r="D5187" s="177"/>
      <c r="E5187" s="178"/>
      <c r="F5187" s="178"/>
      <c r="G5187" s="340"/>
      <c r="H5187" s="340"/>
      <c r="I5187" s="179"/>
      <c r="J5187" s="344"/>
      <c r="K5187" s="345"/>
      <c r="L5187" s="346"/>
      <c r="M5187" s="347"/>
      <c r="N5187" s="347"/>
      <c r="O5187" s="132"/>
    </row>
    <row r="5188" spans="2:15" ht="26.25" customHeight="1" x14ac:dyDescent="0.25">
      <c r="B5188" s="130"/>
      <c r="C5188" s="135"/>
      <c r="D5188" s="177"/>
      <c r="E5188" s="178"/>
      <c r="F5188" s="178"/>
      <c r="G5188" s="340"/>
      <c r="H5188" s="340"/>
      <c r="I5188" s="179"/>
      <c r="J5188" s="344"/>
      <c r="K5188" s="345"/>
      <c r="L5188" s="346"/>
      <c r="M5188" s="347"/>
      <c r="N5188" s="347"/>
      <c r="O5188" s="132"/>
    </row>
    <row r="5189" spans="2:15" ht="26.25" customHeight="1" x14ac:dyDescent="0.25">
      <c r="B5189" s="130"/>
      <c r="C5189" s="135"/>
      <c r="D5189" s="177"/>
      <c r="E5189" s="178"/>
      <c r="F5189" s="178"/>
      <c r="G5189" s="340"/>
      <c r="H5189" s="340"/>
      <c r="I5189" s="179"/>
      <c r="J5189" s="344"/>
      <c r="K5189" s="345"/>
      <c r="L5189" s="346"/>
      <c r="M5189" s="347"/>
      <c r="N5189" s="347"/>
      <c r="O5189" s="132"/>
    </row>
    <row r="5190" spans="2:15" ht="26.25" customHeight="1" x14ac:dyDescent="0.25">
      <c r="B5190" s="130"/>
      <c r="C5190" s="135"/>
      <c r="D5190" s="177"/>
      <c r="E5190" s="178"/>
      <c r="F5190" s="178"/>
      <c r="G5190" s="340"/>
      <c r="H5190" s="340"/>
      <c r="I5190" s="179"/>
      <c r="J5190" s="344"/>
      <c r="K5190" s="345"/>
      <c r="L5190" s="346"/>
      <c r="M5190" s="347"/>
      <c r="N5190" s="347"/>
      <c r="O5190" s="132"/>
    </row>
    <row r="5191" spans="2:15" ht="26.25" customHeight="1" x14ac:dyDescent="0.25">
      <c r="B5191" s="130"/>
      <c r="C5191" s="135"/>
      <c r="D5191" s="177"/>
      <c r="E5191" s="178"/>
      <c r="F5191" s="178"/>
      <c r="G5191" s="340"/>
      <c r="H5191" s="340"/>
      <c r="I5191" s="179"/>
      <c r="J5191" s="344"/>
      <c r="K5191" s="345"/>
      <c r="L5191" s="346"/>
      <c r="M5191" s="347"/>
      <c r="N5191" s="347"/>
      <c r="O5191" s="132"/>
    </row>
    <row r="5192" spans="2:15" ht="26.25" customHeight="1" x14ac:dyDescent="0.25">
      <c r="B5192" s="130"/>
      <c r="C5192" s="135"/>
      <c r="D5192" s="177"/>
      <c r="E5192" s="178"/>
      <c r="F5192" s="178"/>
      <c r="G5192" s="340"/>
      <c r="H5192" s="340"/>
      <c r="I5192" s="179"/>
      <c r="J5192" s="344"/>
      <c r="K5192" s="345"/>
      <c r="L5192" s="346"/>
      <c r="M5192" s="347"/>
      <c r="N5192" s="347"/>
      <c r="O5192" s="132"/>
    </row>
    <row r="5193" spans="2:15" ht="26.25" customHeight="1" x14ac:dyDescent="0.25">
      <c r="B5193" s="130"/>
      <c r="C5193" s="135"/>
      <c r="D5193" s="177"/>
      <c r="E5193" s="178"/>
      <c r="F5193" s="178"/>
      <c r="G5193" s="340"/>
      <c r="H5193" s="340"/>
      <c r="I5193" s="179"/>
      <c r="J5193" s="344"/>
      <c r="K5193" s="345"/>
      <c r="L5193" s="346"/>
      <c r="M5193" s="347"/>
      <c r="N5193" s="347"/>
      <c r="O5193" s="132"/>
    </row>
    <row r="5194" spans="2:15" ht="26.25" customHeight="1" x14ac:dyDescent="0.25">
      <c r="B5194" s="130"/>
      <c r="C5194" s="135"/>
      <c r="D5194" s="177"/>
      <c r="E5194" s="178"/>
      <c r="F5194" s="178"/>
      <c r="G5194" s="340"/>
      <c r="H5194" s="340"/>
      <c r="I5194" s="179"/>
      <c r="J5194" s="344"/>
      <c r="K5194" s="345"/>
      <c r="L5194" s="346"/>
      <c r="M5194" s="347"/>
      <c r="N5194" s="347"/>
      <c r="O5194" s="132"/>
    </row>
    <row r="5195" spans="2:15" ht="26.25" customHeight="1" x14ac:dyDescent="0.25">
      <c r="B5195" s="130"/>
      <c r="C5195" s="135"/>
      <c r="D5195" s="177"/>
      <c r="E5195" s="178"/>
      <c r="F5195" s="178"/>
      <c r="G5195" s="340"/>
      <c r="H5195" s="340"/>
      <c r="I5195" s="179"/>
      <c r="J5195" s="344"/>
      <c r="K5195" s="345"/>
      <c r="L5195" s="346"/>
      <c r="M5195" s="347"/>
      <c r="N5195" s="347"/>
      <c r="O5195" s="132"/>
    </row>
    <row r="5196" spans="2:15" ht="26.25" customHeight="1" x14ac:dyDescent="0.25">
      <c r="B5196" s="130"/>
      <c r="C5196" s="135"/>
      <c r="D5196" s="177"/>
      <c r="E5196" s="178"/>
      <c r="F5196" s="178"/>
      <c r="G5196" s="340"/>
      <c r="H5196" s="340"/>
      <c r="I5196" s="179"/>
      <c r="J5196" s="344"/>
      <c r="K5196" s="345"/>
      <c r="L5196" s="346"/>
      <c r="M5196" s="347"/>
      <c r="N5196" s="347"/>
      <c r="O5196" s="132"/>
    </row>
    <row r="5197" spans="2:15" ht="26.25" customHeight="1" x14ac:dyDescent="0.25">
      <c r="B5197" s="130"/>
      <c r="C5197" s="135"/>
      <c r="D5197" s="177"/>
      <c r="E5197" s="178"/>
      <c r="F5197" s="178"/>
      <c r="G5197" s="340"/>
      <c r="H5197" s="340"/>
      <c r="I5197" s="179"/>
      <c r="J5197" s="344"/>
      <c r="K5197" s="345"/>
      <c r="L5197" s="346"/>
      <c r="M5197" s="347"/>
      <c r="N5197" s="347"/>
      <c r="O5197" s="132"/>
    </row>
    <row r="5198" spans="2:15" ht="26.25" customHeight="1" x14ac:dyDescent="0.25">
      <c r="B5198" s="130"/>
      <c r="C5198" s="135"/>
      <c r="D5198" s="177"/>
      <c r="E5198" s="178"/>
      <c r="F5198" s="178"/>
      <c r="G5198" s="340"/>
      <c r="H5198" s="340"/>
      <c r="I5198" s="179"/>
      <c r="J5198" s="344"/>
      <c r="K5198" s="345"/>
      <c r="L5198" s="346"/>
      <c r="M5198" s="347"/>
      <c r="N5198" s="347"/>
      <c r="O5198" s="132"/>
    </row>
    <row r="5199" spans="2:15" ht="26.25" customHeight="1" x14ac:dyDescent="0.25">
      <c r="B5199" s="130"/>
      <c r="C5199" s="135"/>
      <c r="D5199" s="177"/>
      <c r="E5199" s="178"/>
      <c r="F5199" s="178"/>
      <c r="G5199" s="340"/>
      <c r="H5199" s="340"/>
      <c r="I5199" s="179"/>
      <c r="J5199" s="344"/>
      <c r="K5199" s="345"/>
      <c r="L5199" s="346"/>
      <c r="M5199" s="347"/>
      <c r="N5199" s="347"/>
      <c r="O5199" s="132"/>
    </row>
    <row r="5200" spans="2:15" ht="26.25" customHeight="1" x14ac:dyDescent="0.25">
      <c r="B5200" s="130"/>
      <c r="C5200" s="135"/>
      <c r="D5200" s="177"/>
      <c r="E5200" s="178"/>
      <c r="F5200" s="178"/>
      <c r="G5200" s="340"/>
      <c r="H5200" s="340"/>
      <c r="I5200" s="179"/>
      <c r="J5200" s="344"/>
      <c r="K5200" s="345"/>
      <c r="L5200" s="346"/>
      <c r="M5200" s="347"/>
      <c r="N5200" s="347"/>
      <c r="O5200" s="132"/>
    </row>
    <row r="5201" spans="2:15" ht="26.25" customHeight="1" x14ac:dyDescent="0.25">
      <c r="B5201" s="130"/>
      <c r="C5201" s="135"/>
      <c r="D5201" s="177"/>
      <c r="E5201" s="178"/>
      <c r="F5201" s="178"/>
      <c r="G5201" s="340"/>
      <c r="H5201" s="340"/>
      <c r="I5201" s="179"/>
      <c r="J5201" s="344"/>
      <c r="K5201" s="345"/>
      <c r="L5201" s="346"/>
      <c r="M5201" s="347"/>
      <c r="N5201" s="347"/>
      <c r="O5201" s="132"/>
    </row>
    <row r="5202" spans="2:15" ht="26.25" customHeight="1" x14ac:dyDescent="0.25">
      <c r="B5202" s="130"/>
      <c r="C5202" s="135"/>
      <c r="D5202" s="177"/>
      <c r="E5202" s="178"/>
      <c r="F5202" s="178"/>
      <c r="G5202" s="340"/>
      <c r="H5202" s="340"/>
      <c r="I5202" s="179"/>
      <c r="J5202" s="344"/>
      <c r="K5202" s="345"/>
      <c r="L5202" s="346"/>
      <c r="M5202" s="347"/>
      <c r="N5202" s="347"/>
      <c r="O5202" s="132"/>
    </row>
    <row r="5203" spans="2:15" ht="26.25" customHeight="1" x14ac:dyDescent="0.25">
      <c r="B5203" s="130"/>
      <c r="C5203" s="135"/>
      <c r="D5203" s="177"/>
      <c r="E5203" s="178"/>
      <c r="F5203" s="178"/>
      <c r="G5203" s="340"/>
      <c r="H5203" s="340"/>
      <c r="I5203" s="179"/>
      <c r="J5203" s="344"/>
      <c r="K5203" s="345"/>
      <c r="L5203" s="346"/>
      <c r="M5203" s="347"/>
      <c r="N5203" s="347"/>
      <c r="O5203" s="132"/>
    </row>
    <row r="5204" spans="2:15" ht="26.25" customHeight="1" x14ac:dyDescent="0.25">
      <c r="B5204" s="130"/>
      <c r="C5204" s="135"/>
      <c r="D5204" s="177"/>
      <c r="E5204" s="178"/>
      <c r="F5204" s="178"/>
      <c r="G5204" s="340"/>
      <c r="H5204" s="340"/>
      <c r="I5204" s="179"/>
      <c r="J5204" s="344"/>
      <c r="K5204" s="345"/>
      <c r="L5204" s="346"/>
      <c r="M5204" s="347"/>
      <c r="N5204" s="347"/>
      <c r="O5204" s="132"/>
    </row>
    <row r="5205" spans="2:15" ht="26.25" customHeight="1" x14ac:dyDescent="0.25">
      <c r="B5205" s="130"/>
      <c r="C5205" s="135"/>
      <c r="D5205" s="177"/>
      <c r="E5205" s="178"/>
      <c r="F5205" s="178"/>
      <c r="G5205" s="340"/>
      <c r="H5205" s="340"/>
      <c r="I5205" s="179"/>
      <c r="J5205" s="344"/>
      <c r="K5205" s="345"/>
      <c r="L5205" s="346"/>
      <c r="M5205" s="347"/>
      <c r="N5205" s="347"/>
      <c r="O5205" s="132"/>
    </row>
    <row r="5206" spans="2:15" ht="26.25" customHeight="1" x14ac:dyDescent="0.25">
      <c r="B5206" s="130"/>
      <c r="C5206" s="135"/>
      <c r="D5206" s="177"/>
      <c r="E5206" s="178"/>
      <c r="F5206" s="178"/>
      <c r="G5206" s="340"/>
      <c r="H5206" s="340"/>
      <c r="I5206" s="179"/>
      <c r="J5206" s="344"/>
      <c r="K5206" s="345"/>
      <c r="L5206" s="346"/>
      <c r="M5206" s="347"/>
      <c r="N5206" s="347"/>
      <c r="O5206" s="132"/>
    </row>
    <row r="5207" spans="2:15" ht="26.25" customHeight="1" x14ac:dyDescent="0.25">
      <c r="B5207" s="130"/>
      <c r="C5207" s="135"/>
      <c r="D5207" s="177"/>
      <c r="E5207" s="178"/>
      <c r="F5207" s="178"/>
      <c r="G5207" s="340"/>
      <c r="H5207" s="340"/>
      <c r="I5207" s="179"/>
      <c r="J5207" s="344"/>
      <c r="K5207" s="345"/>
      <c r="L5207" s="346"/>
      <c r="M5207" s="347"/>
      <c r="N5207" s="347"/>
      <c r="O5207" s="132"/>
    </row>
    <row r="5208" spans="2:15" ht="26.25" customHeight="1" x14ac:dyDescent="0.25">
      <c r="B5208" s="130"/>
      <c r="C5208" s="135"/>
      <c r="D5208" s="177"/>
      <c r="E5208" s="178"/>
      <c r="F5208" s="178"/>
      <c r="G5208" s="340"/>
      <c r="H5208" s="340"/>
      <c r="I5208" s="179"/>
      <c r="J5208" s="344"/>
      <c r="K5208" s="345"/>
      <c r="L5208" s="346"/>
      <c r="M5208" s="347"/>
      <c r="N5208" s="347"/>
      <c r="O5208" s="132"/>
    </row>
    <row r="5209" spans="2:15" ht="26.25" customHeight="1" x14ac:dyDescent="0.25">
      <c r="B5209" s="130"/>
      <c r="C5209" s="135"/>
      <c r="D5209" s="177"/>
      <c r="E5209" s="178"/>
      <c r="F5209" s="178"/>
      <c r="G5209" s="340"/>
      <c r="H5209" s="340"/>
      <c r="I5209" s="179"/>
      <c r="J5209" s="344"/>
      <c r="K5209" s="345"/>
      <c r="L5209" s="346"/>
      <c r="M5209" s="347"/>
      <c r="N5209" s="347"/>
      <c r="O5209" s="132"/>
    </row>
    <row r="5210" spans="2:15" ht="26.25" customHeight="1" x14ac:dyDescent="0.25">
      <c r="B5210" s="130"/>
      <c r="C5210" s="135"/>
      <c r="D5210" s="177"/>
      <c r="E5210" s="178"/>
      <c r="F5210" s="178"/>
      <c r="G5210" s="340"/>
      <c r="H5210" s="340"/>
      <c r="I5210" s="179"/>
      <c r="J5210" s="344"/>
      <c r="K5210" s="345"/>
      <c r="L5210" s="346"/>
      <c r="M5210" s="347"/>
      <c r="N5210" s="347"/>
      <c r="O5210" s="132"/>
    </row>
    <row r="5211" spans="2:15" ht="26.25" customHeight="1" x14ac:dyDescent="0.25">
      <c r="B5211" s="130"/>
      <c r="C5211" s="135"/>
      <c r="D5211" s="177"/>
      <c r="E5211" s="178"/>
      <c r="F5211" s="178"/>
      <c r="G5211" s="340"/>
      <c r="H5211" s="340"/>
      <c r="I5211" s="179"/>
      <c r="J5211" s="344"/>
      <c r="K5211" s="345"/>
      <c r="L5211" s="346"/>
      <c r="M5211" s="347"/>
      <c r="N5211" s="347"/>
      <c r="O5211" s="132"/>
    </row>
    <row r="5212" spans="2:15" ht="26.25" customHeight="1" x14ac:dyDescent="0.25">
      <c r="B5212" s="130"/>
      <c r="C5212" s="135"/>
      <c r="D5212" s="177"/>
      <c r="E5212" s="178"/>
      <c r="F5212" s="178"/>
      <c r="G5212" s="340"/>
      <c r="H5212" s="340"/>
      <c r="I5212" s="179"/>
      <c r="J5212" s="344"/>
      <c r="K5212" s="345"/>
      <c r="L5212" s="346"/>
      <c r="M5212" s="347"/>
      <c r="N5212" s="347"/>
      <c r="O5212" s="132"/>
    </row>
    <row r="5213" spans="2:15" ht="26.25" customHeight="1" x14ac:dyDescent="0.25">
      <c r="B5213" s="130"/>
      <c r="C5213" s="135"/>
      <c r="D5213" s="177"/>
      <c r="E5213" s="178"/>
      <c r="F5213" s="178"/>
      <c r="G5213" s="340"/>
      <c r="H5213" s="340"/>
      <c r="I5213" s="179"/>
      <c r="J5213" s="344"/>
      <c r="K5213" s="345"/>
      <c r="L5213" s="346"/>
      <c r="M5213" s="347"/>
      <c r="N5213" s="347"/>
      <c r="O5213" s="132"/>
    </row>
    <row r="5214" spans="2:15" ht="26.25" customHeight="1" x14ac:dyDescent="0.25">
      <c r="B5214" s="130"/>
      <c r="C5214" s="135"/>
      <c r="D5214" s="177"/>
      <c r="E5214" s="178"/>
      <c r="F5214" s="178"/>
      <c r="G5214" s="340"/>
      <c r="H5214" s="340"/>
      <c r="I5214" s="179"/>
      <c r="J5214" s="344"/>
      <c r="K5214" s="345"/>
      <c r="L5214" s="346"/>
      <c r="M5214" s="347"/>
      <c r="N5214" s="347"/>
      <c r="O5214" s="132"/>
    </row>
    <row r="5215" spans="2:15" ht="26.25" customHeight="1" x14ac:dyDescent="0.25">
      <c r="B5215" s="130"/>
      <c r="C5215" s="135"/>
      <c r="D5215" s="177"/>
      <c r="E5215" s="178"/>
      <c r="F5215" s="178"/>
      <c r="G5215" s="340"/>
      <c r="H5215" s="340"/>
      <c r="I5215" s="179"/>
      <c r="J5215" s="344"/>
      <c r="K5215" s="345"/>
      <c r="L5215" s="346"/>
      <c r="M5215" s="347"/>
      <c r="N5215" s="347"/>
      <c r="O5215" s="132"/>
    </row>
    <row r="5216" spans="2:15" ht="26.25" customHeight="1" x14ac:dyDescent="0.25">
      <c r="B5216" s="130"/>
      <c r="C5216" s="135"/>
      <c r="D5216" s="177"/>
      <c r="E5216" s="178"/>
      <c r="F5216" s="178"/>
      <c r="G5216" s="340"/>
      <c r="H5216" s="340"/>
      <c r="I5216" s="179"/>
      <c r="J5216" s="344"/>
      <c r="K5216" s="345"/>
      <c r="L5216" s="346"/>
      <c r="M5216" s="347"/>
      <c r="N5216" s="347"/>
      <c r="O5216" s="132"/>
    </row>
    <row r="5217" spans="2:15" ht="26.25" customHeight="1" x14ac:dyDescent="0.25">
      <c r="B5217" s="130"/>
      <c r="C5217" s="135"/>
      <c r="D5217" s="177"/>
      <c r="E5217" s="178"/>
      <c r="F5217" s="178"/>
      <c r="G5217" s="340"/>
      <c r="H5217" s="340"/>
      <c r="I5217" s="179"/>
      <c r="J5217" s="344"/>
      <c r="K5217" s="345"/>
      <c r="L5217" s="346"/>
      <c r="M5217" s="347"/>
      <c r="N5217" s="347"/>
      <c r="O5217" s="132"/>
    </row>
    <row r="5218" spans="2:15" ht="26.25" customHeight="1" x14ac:dyDescent="0.25">
      <c r="B5218" s="130"/>
      <c r="C5218" s="135"/>
      <c r="D5218" s="177"/>
      <c r="E5218" s="178"/>
      <c r="F5218" s="178"/>
      <c r="G5218" s="340"/>
      <c r="H5218" s="340"/>
      <c r="I5218" s="179"/>
      <c r="J5218" s="344"/>
      <c r="K5218" s="345"/>
      <c r="L5218" s="346"/>
      <c r="M5218" s="347"/>
      <c r="N5218" s="347"/>
      <c r="O5218" s="132"/>
    </row>
    <row r="5219" spans="2:15" ht="26.25" customHeight="1" x14ac:dyDescent="0.25">
      <c r="B5219" s="130"/>
      <c r="C5219" s="135"/>
      <c r="D5219" s="177"/>
      <c r="E5219" s="178"/>
      <c r="F5219" s="178"/>
      <c r="G5219" s="340"/>
      <c r="H5219" s="340"/>
      <c r="I5219" s="179"/>
      <c r="J5219" s="344"/>
      <c r="K5219" s="345"/>
      <c r="L5219" s="346"/>
      <c r="M5219" s="347"/>
      <c r="N5219" s="347"/>
      <c r="O5219" s="132"/>
    </row>
    <row r="5220" spans="2:15" ht="26.25" customHeight="1" x14ac:dyDescent="0.25">
      <c r="B5220" s="130"/>
      <c r="C5220" s="135"/>
      <c r="D5220" s="177"/>
      <c r="E5220" s="178"/>
      <c r="F5220" s="178"/>
      <c r="G5220" s="340"/>
      <c r="H5220" s="340"/>
      <c r="I5220" s="179"/>
      <c r="J5220" s="344"/>
      <c r="K5220" s="345"/>
      <c r="L5220" s="346"/>
      <c r="M5220" s="347"/>
      <c r="N5220" s="347"/>
      <c r="O5220" s="132"/>
    </row>
    <row r="5221" spans="2:15" ht="26.25" customHeight="1" x14ac:dyDescent="0.25">
      <c r="B5221" s="130"/>
      <c r="C5221" s="135"/>
      <c r="D5221" s="177"/>
      <c r="E5221" s="178"/>
      <c r="F5221" s="178"/>
      <c r="G5221" s="340"/>
      <c r="H5221" s="340"/>
      <c r="I5221" s="179"/>
      <c r="J5221" s="344"/>
      <c r="K5221" s="345"/>
      <c r="L5221" s="346"/>
      <c r="M5221" s="347"/>
      <c r="N5221" s="347"/>
      <c r="O5221" s="132"/>
    </row>
    <row r="5222" spans="2:15" ht="26.25" customHeight="1" x14ac:dyDescent="0.25">
      <c r="B5222" s="130"/>
      <c r="C5222" s="135"/>
      <c r="D5222" s="177"/>
      <c r="E5222" s="178"/>
      <c r="F5222" s="178"/>
      <c r="G5222" s="340"/>
      <c r="H5222" s="340"/>
      <c r="I5222" s="179"/>
      <c r="J5222" s="344"/>
      <c r="K5222" s="345"/>
      <c r="L5222" s="346"/>
      <c r="M5222" s="347"/>
      <c r="N5222" s="347"/>
      <c r="O5222" s="132"/>
    </row>
    <row r="5223" spans="2:15" ht="26.25" customHeight="1" x14ac:dyDescent="0.25">
      <c r="B5223" s="130"/>
      <c r="C5223" s="135"/>
      <c r="D5223" s="177"/>
      <c r="E5223" s="178"/>
      <c r="F5223" s="178"/>
      <c r="G5223" s="340"/>
      <c r="H5223" s="340"/>
      <c r="I5223" s="179"/>
      <c r="J5223" s="344"/>
      <c r="K5223" s="345"/>
      <c r="L5223" s="346"/>
      <c r="M5223" s="347"/>
      <c r="N5223" s="347"/>
      <c r="O5223" s="132"/>
    </row>
    <row r="5224" spans="2:15" ht="26.25" customHeight="1" x14ac:dyDescent="0.25">
      <c r="B5224" s="130"/>
      <c r="C5224" s="135"/>
      <c r="D5224" s="177"/>
      <c r="E5224" s="178"/>
      <c r="F5224" s="178"/>
      <c r="G5224" s="340"/>
      <c r="H5224" s="340"/>
      <c r="I5224" s="179"/>
      <c r="J5224" s="344"/>
      <c r="K5224" s="345"/>
      <c r="L5224" s="346"/>
      <c r="M5224" s="347"/>
      <c r="N5224" s="347"/>
      <c r="O5224" s="132"/>
    </row>
    <row r="5225" spans="2:15" ht="26.25" customHeight="1" x14ac:dyDescent="0.25">
      <c r="B5225" s="130"/>
      <c r="C5225" s="135"/>
      <c r="D5225" s="177"/>
      <c r="E5225" s="178"/>
      <c r="F5225" s="178"/>
      <c r="G5225" s="340"/>
      <c r="H5225" s="340"/>
      <c r="I5225" s="179"/>
      <c r="J5225" s="344"/>
      <c r="K5225" s="345"/>
      <c r="L5225" s="346"/>
      <c r="M5225" s="347"/>
      <c r="N5225" s="347"/>
      <c r="O5225" s="132"/>
    </row>
    <row r="5226" spans="2:15" ht="26.25" customHeight="1" x14ac:dyDescent="0.25">
      <c r="B5226" s="130"/>
      <c r="C5226" s="135"/>
      <c r="D5226" s="177"/>
      <c r="E5226" s="178"/>
      <c r="F5226" s="178"/>
      <c r="G5226" s="340"/>
      <c r="H5226" s="340"/>
      <c r="I5226" s="179"/>
      <c r="J5226" s="344"/>
      <c r="K5226" s="345"/>
      <c r="L5226" s="346"/>
      <c r="M5226" s="347"/>
      <c r="N5226" s="347"/>
      <c r="O5226" s="132"/>
    </row>
    <row r="5227" spans="2:15" ht="26.25" customHeight="1" x14ac:dyDescent="0.25">
      <c r="B5227" s="130"/>
      <c r="C5227" s="135"/>
      <c r="D5227" s="177"/>
      <c r="E5227" s="178"/>
      <c r="F5227" s="178"/>
      <c r="G5227" s="340"/>
      <c r="H5227" s="340"/>
      <c r="I5227" s="179"/>
      <c r="J5227" s="344"/>
      <c r="K5227" s="345"/>
      <c r="L5227" s="346"/>
      <c r="M5227" s="347"/>
      <c r="N5227" s="347"/>
      <c r="O5227" s="132"/>
    </row>
    <row r="5228" spans="2:15" ht="26.25" customHeight="1" x14ac:dyDescent="0.25">
      <c r="B5228" s="130"/>
      <c r="C5228" s="135"/>
      <c r="D5228" s="177"/>
      <c r="E5228" s="178"/>
      <c r="F5228" s="178"/>
      <c r="G5228" s="340"/>
      <c r="H5228" s="340"/>
      <c r="I5228" s="179"/>
      <c r="J5228" s="344"/>
      <c r="K5228" s="345"/>
      <c r="L5228" s="346"/>
      <c r="M5228" s="347"/>
      <c r="N5228" s="347"/>
      <c r="O5228" s="132"/>
    </row>
    <row r="5229" spans="2:15" ht="26.25" customHeight="1" x14ac:dyDescent="0.25">
      <c r="B5229" s="130"/>
      <c r="C5229" s="135"/>
      <c r="D5229" s="177"/>
      <c r="E5229" s="178"/>
      <c r="F5229" s="178"/>
      <c r="G5229" s="340"/>
      <c r="H5229" s="340"/>
      <c r="I5229" s="179"/>
      <c r="J5229" s="344"/>
      <c r="K5229" s="345"/>
      <c r="L5229" s="346"/>
      <c r="M5229" s="347"/>
      <c r="N5229" s="347"/>
      <c r="O5229" s="132"/>
    </row>
    <row r="5230" spans="2:15" ht="26.25" customHeight="1" x14ac:dyDescent="0.25">
      <c r="B5230" s="130"/>
      <c r="C5230" s="135"/>
      <c r="D5230" s="177"/>
      <c r="E5230" s="178"/>
      <c r="F5230" s="178"/>
      <c r="G5230" s="340"/>
      <c r="H5230" s="340"/>
      <c r="I5230" s="179"/>
      <c r="J5230" s="344"/>
      <c r="K5230" s="345"/>
      <c r="L5230" s="346"/>
      <c r="M5230" s="347"/>
      <c r="N5230" s="347"/>
      <c r="O5230" s="132"/>
    </row>
    <row r="5231" spans="2:15" ht="26.25" customHeight="1" x14ac:dyDescent="0.25">
      <c r="B5231" s="130"/>
      <c r="C5231" s="135"/>
      <c r="D5231" s="177"/>
      <c r="E5231" s="178"/>
      <c r="F5231" s="178"/>
      <c r="G5231" s="340"/>
      <c r="H5231" s="340"/>
      <c r="I5231" s="179"/>
      <c r="J5231" s="344"/>
      <c r="K5231" s="345"/>
      <c r="L5231" s="346"/>
      <c r="M5231" s="347"/>
      <c r="N5231" s="347"/>
      <c r="O5231" s="132"/>
    </row>
    <row r="5232" spans="2:15" ht="26.25" customHeight="1" x14ac:dyDescent="0.25">
      <c r="B5232" s="130"/>
      <c r="C5232" s="135"/>
      <c r="D5232" s="177"/>
      <c r="E5232" s="178"/>
      <c r="F5232" s="178"/>
      <c r="G5232" s="340"/>
      <c r="H5232" s="340"/>
      <c r="I5232" s="179"/>
      <c r="J5232" s="344"/>
      <c r="K5232" s="345"/>
      <c r="L5232" s="346"/>
      <c r="M5232" s="347"/>
      <c r="N5232" s="347"/>
      <c r="O5232" s="132"/>
    </row>
    <row r="5233" spans="2:15" ht="26.25" customHeight="1" x14ac:dyDescent="0.25">
      <c r="B5233" s="130"/>
      <c r="C5233" s="135"/>
      <c r="D5233" s="177"/>
      <c r="E5233" s="178"/>
      <c r="F5233" s="178"/>
      <c r="G5233" s="340"/>
      <c r="H5233" s="340"/>
      <c r="I5233" s="179"/>
      <c r="J5233" s="344"/>
      <c r="K5233" s="345"/>
      <c r="L5233" s="346"/>
      <c r="M5233" s="347"/>
      <c r="N5233" s="347"/>
      <c r="O5233" s="132"/>
    </row>
    <row r="5234" spans="2:15" ht="26.25" customHeight="1" x14ac:dyDescent="0.25">
      <c r="B5234" s="130"/>
      <c r="C5234" s="135"/>
      <c r="D5234" s="177"/>
      <c r="E5234" s="178"/>
      <c r="F5234" s="178"/>
      <c r="G5234" s="340"/>
      <c r="H5234" s="340"/>
      <c r="I5234" s="179"/>
      <c r="J5234" s="344"/>
      <c r="K5234" s="345"/>
      <c r="L5234" s="346"/>
      <c r="M5234" s="347"/>
      <c r="N5234" s="347"/>
      <c r="O5234" s="132"/>
    </row>
    <row r="5235" spans="2:15" ht="26.25" customHeight="1" x14ac:dyDescent="0.25">
      <c r="B5235" s="130"/>
      <c r="C5235" s="135"/>
      <c r="D5235" s="177"/>
      <c r="E5235" s="178"/>
      <c r="F5235" s="178"/>
      <c r="G5235" s="340"/>
      <c r="H5235" s="340"/>
      <c r="I5235" s="179"/>
      <c r="J5235" s="344"/>
      <c r="K5235" s="345"/>
      <c r="L5235" s="346"/>
      <c r="M5235" s="347"/>
      <c r="N5235" s="347"/>
      <c r="O5235" s="132"/>
    </row>
    <row r="5236" spans="2:15" ht="26.25" customHeight="1" x14ac:dyDescent="0.25">
      <c r="B5236" s="130"/>
      <c r="C5236" s="135"/>
      <c r="D5236" s="177"/>
      <c r="E5236" s="178"/>
      <c r="F5236" s="178"/>
      <c r="G5236" s="340"/>
      <c r="H5236" s="340"/>
      <c r="I5236" s="179"/>
      <c r="J5236" s="344"/>
      <c r="K5236" s="345"/>
      <c r="L5236" s="346"/>
      <c r="M5236" s="347"/>
      <c r="N5236" s="347"/>
      <c r="O5236" s="132"/>
    </row>
    <row r="5237" spans="2:15" ht="26.25" customHeight="1" x14ac:dyDescent="0.25">
      <c r="B5237" s="130"/>
      <c r="C5237" s="135"/>
      <c r="D5237" s="177"/>
      <c r="E5237" s="178"/>
      <c r="F5237" s="178"/>
      <c r="G5237" s="340"/>
      <c r="H5237" s="340"/>
      <c r="I5237" s="179"/>
      <c r="J5237" s="344"/>
      <c r="K5237" s="345"/>
      <c r="L5237" s="346"/>
      <c r="M5237" s="347"/>
      <c r="N5237" s="347"/>
      <c r="O5237" s="132"/>
    </row>
    <row r="5238" spans="2:15" ht="26.25" customHeight="1" x14ac:dyDescent="0.25">
      <c r="B5238" s="130"/>
      <c r="C5238" s="135"/>
      <c r="D5238" s="177"/>
      <c r="E5238" s="178"/>
      <c r="F5238" s="178"/>
      <c r="G5238" s="340"/>
      <c r="H5238" s="340"/>
      <c r="I5238" s="179"/>
      <c r="J5238" s="344"/>
      <c r="K5238" s="345"/>
      <c r="L5238" s="346"/>
      <c r="M5238" s="347"/>
      <c r="N5238" s="347"/>
      <c r="O5238" s="132"/>
    </row>
    <row r="5239" spans="2:15" ht="26.25" customHeight="1" x14ac:dyDescent="0.25">
      <c r="B5239" s="130"/>
      <c r="C5239" s="135"/>
      <c r="D5239" s="177"/>
      <c r="E5239" s="178"/>
      <c r="F5239" s="178"/>
      <c r="G5239" s="340"/>
      <c r="H5239" s="340"/>
      <c r="I5239" s="179"/>
      <c r="J5239" s="344"/>
      <c r="K5239" s="345"/>
      <c r="L5239" s="346"/>
      <c r="M5239" s="347"/>
      <c r="N5239" s="347"/>
      <c r="O5239" s="132"/>
    </row>
    <row r="5240" spans="2:15" ht="26.25" customHeight="1" x14ac:dyDescent="0.25">
      <c r="B5240" s="130"/>
      <c r="C5240" s="135"/>
      <c r="D5240" s="177"/>
      <c r="E5240" s="178"/>
      <c r="F5240" s="178"/>
      <c r="G5240" s="340"/>
      <c r="H5240" s="340"/>
      <c r="I5240" s="179"/>
      <c r="J5240" s="344"/>
      <c r="K5240" s="345"/>
      <c r="L5240" s="346"/>
      <c r="M5240" s="347"/>
      <c r="N5240" s="347"/>
      <c r="O5240" s="132"/>
    </row>
    <row r="5241" spans="2:15" ht="26.25" customHeight="1" x14ac:dyDescent="0.25">
      <c r="B5241" s="130"/>
      <c r="C5241" s="135"/>
      <c r="D5241" s="177"/>
      <c r="E5241" s="178"/>
      <c r="F5241" s="178"/>
      <c r="G5241" s="340"/>
      <c r="H5241" s="340"/>
      <c r="I5241" s="179"/>
      <c r="J5241" s="344"/>
      <c r="K5241" s="345"/>
      <c r="L5241" s="346"/>
      <c r="M5241" s="347"/>
      <c r="N5241" s="347"/>
      <c r="O5241" s="132"/>
    </row>
    <row r="5242" spans="2:15" ht="26.25" customHeight="1" x14ac:dyDescent="0.25">
      <c r="B5242" s="130"/>
      <c r="C5242" s="135"/>
      <c r="D5242" s="177"/>
      <c r="E5242" s="178"/>
      <c r="F5242" s="178"/>
      <c r="G5242" s="340"/>
      <c r="H5242" s="340"/>
      <c r="I5242" s="179"/>
      <c r="J5242" s="344"/>
      <c r="K5242" s="345"/>
      <c r="L5242" s="346"/>
      <c r="M5242" s="347"/>
      <c r="N5242" s="347"/>
      <c r="O5242" s="132"/>
    </row>
    <row r="5243" spans="2:15" ht="26.25" customHeight="1" x14ac:dyDescent="0.25">
      <c r="B5243" s="130"/>
      <c r="C5243" s="135"/>
      <c r="D5243" s="177"/>
      <c r="E5243" s="178"/>
      <c r="F5243" s="178"/>
      <c r="G5243" s="340"/>
      <c r="H5243" s="340"/>
      <c r="I5243" s="179"/>
      <c r="J5243" s="344"/>
      <c r="K5243" s="345"/>
      <c r="L5243" s="346"/>
      <c r="M5243" s="347"/>
      <c r="N5243" s="347"/>
      <c r="O5243" s="132"/>
    </row>
    <row r="5244" spans="2:15" ht="26.25" customHeight="1" x14ac:dyDescent="0.25">
      <c r="B5244" s="130"/>
      <c r="C5244" s="135"/>
      <c r="D5244" s="177"/>
      <c r="E5244" s="178"/>
      <c r="F5244" s="178"/>
      <c r="G5244" s="340"/>
      <c r="H5244" s="340"/>
      <c r="I5244" s="179"/>
      <c r="J5244" s="344"/>
      <c r="K5244" s="345"/>
      <c r="L5244" s="346"/>
      <c r="M5244" s="347"/>
      <c r="N5244" s="347"/>
      <c r="O5244" s="132"/>
    </row>
    <row r="5245" spans="2:15" ht="26.25" customHeight="1" x14ac:dyDescent="0.25">
      <c r="B5245" s="130"/>
      <c r="C5245" s="135"/>
      <c r="D5245" s="177"/>
      <c r="E5245" s="178"/>
      <c r="F5245" s="178"/>
      <c r="G5245" s="340"/>
      <c r="H5245" s="340"/>
      <c r="I5245" s="179"/>
      <c r="J5245" s="344"/>
      <c r="K5245" s="345"/>
      <c r="L5245" s="346"/>
      <c r="M5245" s="347"/>
      <c r="N5245" s="347"/>
      <c r="O5245" s="132"/>
    </row>
    <row r="5246" spans="2:15" ht="26.25" customHeight="1" x14ac:dyDescent="0.25">
      <c r="B5246" s="130"/>
      <c r="C5246" s="135"/>
      <c r="D5246" s="177"/>
      <c r="E5246" s="178"/>
      <c r="F5246" s="178"/>
      <c r="G5246" s="340"/>
      <c r="H5246" s="340"/>
      <c r="I5246" s="179"/>
      <c r="J5246" s="344"/>
      <c r="K5246" s="345"/>
      <c r="L5246" s="346"/>
      <c r="M5246" s="347"/>
      <c r="N5246" s="347"/>
      <c r="O5246" s="132"/>
    </row>
    <row r="5247" spans="2:15" ht="26.25" customHeight="1" x14ac:dyDescent="0.25">
      <c r="B5247" s="130"/>
      <c r="C5247" s="135"/>
      <c r="D5247" s="177"/>
      <c r="E5247" s="178"/>
      <c r="F5247" s="178"/>
      <c r="G5247" s="340"/>
      <c r="H5247" s="340"/>
      <c r="I5247" s="179"/>
      <c r="J5247" s="344"/>
      <c r="K5247" s="345"/>
      <c r="L5247" s="346"/>
      <c r="M5247" s="347"/>
      <c r="N5247" s="347"/>
      <c r="O5247" s="132"/>
    </row>
    <row r="5248" spans="2:15" ht="26.25" customHeight="1" x14ac:dyDescent="0.25">
      <c r="B5248" s="130"/>
      <c r="C5248" s="135"/>
      <c r="D5248" s="177"/>
      <c r="E5248" s="178"/>
      <c r="F5248" s="178"/>
      <c r="G5248" s="340"/>
      <c r="H5248" s="340"/>
      <c r="I5248" s="179"/>
      <c r="J5248" s="344"/>
      <c r="K5248" s="345"/>
      <c r="L5248" s="346"/>
      <c r="M5248" s="347"/>
      <c r="N5248" s="347"/>
      <c r="O5248" s="132"/>
    </row>
    <row r="5249" spans="2:15" ht="26.25" customHeight="1" x14ac:dyDescent="0.25">
      <c r="B5249" s="130"/>
      <c r="C5249" s="135"/>
      <c r="D5249" s="177"/>
      <c r="E5249" s="178"/>
      <c r="F5249" s="178"/>
      <c r="G5249" s="340"/>
      <c r="H5249" s="340"/>
      <c r="I5249" s="179"/>
      <c r="J5249" s="344"/>
      <c r="K5249" s="345"/>
      <c r="L5249" s="346"/>
      <c r="M5249" s="347"/>
      <c r="N5249" s="347"/>
      <c r="O5249" s="132"/>
    </row>
    <row r="5250" spans="2:15" ht="26.25" customHeight="1" x14ac:dyDescent="0.25">
      <c r="B5250" s="130"/>
      <c r="C5250" s="135"/>
      <c r="D5250" s="177"/>
      <c r="E5250" s="178"/>
      <c r="F5250" s="178"/>
      <c r="G5250" s="340"/>
      <c r="H5250" s="340"/>
      <c r="I5250" s="179"/>
      <c r="J5250" s="344"/>
      <c r="K5250" s="345"/>
      <c r="L5250" s="346"/>
      <c r="M5250" s="347"/>
      <c r="N5250" s="347"/>
      <c r="O5250" s="132"/>
    </row>
    <row r="5251" spans="2:15" ht="26.25" customHeight="1" x14ac:dyDescent="0.25">
      <c r="B5251" s="130"/>
      <c r="C5251" s="135"/>
      <c r="D5251" s="177"/>
      <c r="E5251" s="178"/>
      <c r="F5251" s="178"/>
      <c r="G5251" s="340"/>
      <c r="H5251" s="340"/>
      <c r="I5251" s="179"/>
      <c r="J5251" s="344"/>
      <c r="K5251" s="345"/>
      <c r="L5251" s="346"/>
      <c r="M5251" s="347"/>
      <c r="N5251" s="347"/>
      <c r="O5251" s="132"/>
    </row>
    <row r="5252" spans="2:15" ht="26.25" customHeight="1" x14ac:dyDescent="0.25">
      <c r="B5252" s="130"/>
      <c r="C5252" s="135"/>
      <c r="D5252" s="177"/>
      <c r="E5252" s="178"/>
      <c r="F5252" s="178"/>
      <c r="G5252" s="340"/>
      <c r="H5252" s="340"/>
      <c r="I5252" s="179"/>
      <c r="J5252" s="344"/>
      <c r="K5252" s="345"/>
      <c r="L5252" s="346"/>
      <c r="M5252" s="347"/>
      <c r="N5252" s="347"/>
      <c r="O5252" s="132"/>
    </row>
    <row r="5253" spans="2:15" ht="26.25" customHeight="1" x14ac:dyDescent="0.25">
      <c r="B5253" s="130"/>
      <c r="C5253" s="135"/>
      <c r="D5253" s="177"/>
      <c r="E5253" s="178"/>
      <c r="F5253" s="178"/>
      <c r="G5253" s="340"/>
      <c r="H5253" s="340"/>
      <c r="I5253" s="179"/>
      <c r="J5253" s="344"/>
      <c r="K5253" s="345"/>
      <c r="L5253" s="346"/>
      <c r="M5253" s="347"/>
      <c r="N5253" s="347"/>
      <c r="O5253" s="132"/>
    </row>
    <row r="5254" spans="2:15" ht="26.25" customHeight="1" x14ac:dyDescent="0.25">
      <c r="B5254" s="130"/>
      <c r="C5254" s="135"/>
      <c r="D5254" s="177"/>
      <c r="E5254" s="178"/>
      <c r="F5254" s="178"/>
      <c r="G5254" s="340"/>
      <c r="H5254" s="340"/>
      <c r="I5254" s="179"/>
      <c r="J5254" s="344"/>
      <c r="K5254" s="345"/>
      <c r="L5254" s="346"/>
      <c r="M5254" s="347"/>
      <c r="N5254" s="347"/>
      <c r="O5254" s="132"/>
    </row>
    <row r="5255" spans="2:15" ht="26.25" customHeight="1" x14ac:dyDescent="0.25">
      <c r="B5255" s="130"/>
      <c r="C5255" s="135"/>
      <c r="D5255" s="177"/>
      <c r="E5255" s="178"/>
      <c r="F5255" s="178"/>
      <c r="G5255" s="340"/>
      <c r="H5255" s="340"/>
      <c r="I5255" s="179"/>
      <c r="J5255" s="344"/>
      <c r="K5255" s="345"/>
      <c r="L5255" s="346"/>
      <c r="M5255" s="347"/>
      <c r="N5255" s="347"/>
      <c r="O5255" s="132"/>
    </row>
    <row r="5256" spans="2:15" ht="26.25" customHeight="1" x14ac:dyDescent="0.25">
      <c r="B5256" s="130"/>
      <c r="C5256" s="135"/>
      <c r="D5256" s="177"/>
      <c r="E5256" s="178"/>
      <c r="F5256" s="178"/>
      <c r="G5256" s="340"/>
      <c r="H5256" s="340"/>
      <c r="I5256" s="179"/>
      <c r="J5256" s="344"/>
      <c r="K5256" s="345"/>
      <c r="L5256" s="346"/>
      <c r="M5256" s="347"/>
      <c r="N5256" s="347"/>
      <c r="O5256" s="132"/>
    </row>
    <row r="5257" spans="2:15" ht="26.25" customHeight="1" x14ac:dyDescent="0.25">
      <c r="B5257" s="130"/>
      <c r="C5257" s="135"/>
      <c r="D5257" s="177"/>
      <c r="E5257" s="178"/>
      <c r="F5257" s="178"/>
      <c r="G5257" s="340"/>
      <c r="H5257" s="340"/>
      <c r="I5257" s="179"/>
      <c r="J5257" s="344"/>
      <c r="K5257" s="345"/>
      <c r="L5257" s="346"/>
      <c r="M5257" s="347"/>
      <c r="N5257" s="347"/>
      <c r="O5257" s="132"/>
    </row>
    <row r="5258" spans="2:15" ht="26.25" customHeight="1" x14ac:dyDescent="0.25">
      <c r="B5258" s="130"/>
      <c r="C5258" s="135"/>
      <c r="D5258" s="177"/>
      <c r="E5258" s="178"/>
      <c r="F5258" s="178"/>
      <c r="G5258" s="340"/>
      <c r="H5258" s="340"/>
      <c r="I5258" s="179"/>
      <c r="J5258" s="344"/>
      <c r="K5258" s="345"/>
      <c r="L5258" s="346"/>
      <c r="M5258" s="347"/>
      <c r="N5258" s="347"/>
      <c r="O5258" s="132"/>
    </row>
    <row r="5259" spans="2:15" ht="26.25" customHeight="1" x14ac:dyDescent="0.25">
      <c r="B5259" s="130"/>
      <c r="C5259" s="135"/>
      <c r="D5259" s="177"/>
      <c r="E5259" s="178"/>
      <c r="F5259" s="178"/>
      <c r="G5259" s="340"/>
      <c r="H5259" s="340"/>
      <c r="I5259" s="179"/>
      <c r="J5259" s="344"/>
      <c r="K5259" s="345"/>
      <c r="L5259" s="346"/>
      <c r="M5259" s="347"/>
      <c r="N5259" s="347"/>
      <c r="O5259" s="132"/>
    </row>
    <row r="5260" spans="2:15" ht="26.25" customHeight="1" x14ac:dyDescent="0.25">
      <c r="B5260" s="130"/>
      <c r="C5260" s="135"/>
      <c r="D5260" s="177"/>
      <c r="E5260" s="178"/>
      <c r="F5260" s="178"/>
      <c r="G5260" s="340"/>
      <c r="H5260" s="340"/>
      <c r="I5260" s="179"/>
      <c r="J5260" s="344"/>
      <c r="K5260" s="345"/>
      <c r="L5260" s="346"/>
      <c r="M5260" s="347"/>
      <c r="N5260" s="347"/>
      <c r="O5260" s="132"/>
    </row>
    <row r="5261" spans="2:15" ht="26.25" customHeight="1" x14ac:dyDescent="0.25">
      <c r="B5261" s="130"/>
      <c r="C5261" s="135"/>
      <c r="D5261" s="177"/>
      <c r="E5261" s="178"/>
      <c r="F5261" s="178"/>
      <c r="G5261" s="340"/>
      <c r="H5261" s="340"/>
      <c r="I5261" s="179"/>
      <c r="J5261" s="344"/>
      <c r="K5261" s="345"/>
      <c r="L5261" s="346"/>
      <c r="M5261" s="347"/>
      <c r="N5261" s="347"/>
      <c r="O5261" s="132"/>
    </row>
    <row r="5262" spans="2:15" ht="26.25" customHeight="1" x14ac:dyDescent="0.25">
      <c r="B5262" s="130"/>
      <c r="C5262" s="135"/>
      <c r="D5262" s="177"/>
      <c r="E5262" s="178"/>
      <c r="F5262" s="178"/>
      <c r="G5262" s="340"/>
      <c r="H5262" s="340"/>
      <c r="I5262" s="179"/>
      <c r="J5262" s="344"/>
      <c r="K5262" s="345"/>
      <c r="L5262" s="346"/>
      <c r="M5262" s="347"/>
      <c r="N5262" s="347"/>
      <c r="O5262" s="132"/>
    </row>
    <row r="5263" spans="2:15" ht="26.25" customHeight="1" x14ac:dyDescent="0.25">
      <c r="B5263" s="130"/>
      <c r="C5263" s="135"/>
      <c r="D5263" s="177"/>
      <c r="E5263" s="178"/>
      <c r="F5263" s="178"/>
      <c r="G5263" s="340"/>
      <c r="H5263" s="340"/>
      <c r="I5263" s="179"/>
      <c r="J5263" s="344"/>
      <c r="K5263" s="345"/>
      <c r="L5263" s="346"/>
      <c r="M5263" s="347"/>
      <c r="N5263" s="347"/>
      <c r="O5263" s="132"/>
    </row>
    <row r="5264" spans="2:15" ht="26.25" customHeight="1" x14ac:dyDescent="0.25">
      <c r="B5264" s="130"/>
      <c r="C5264" s="135"/>
      <c r="D5264" s="177"/>
      <c r="E5264" s="178"/>
      <c r="F5264" s="178"/>
      <c r="G5264" s="340"/>
      <c r="H5264" s="340"/>
      <c r="I5264" s="179"/>
      <c r="J5264" s="344"/>
      <c r="K5264" s="345"/>
      <c r="L5264" s="346"/>
      <c r="M5264" s="347"/>
      <c r="N5264" s="347"/>
      <c r="O5264" s="132"/>
    </row>
    <row r="5265" spans="2:15" ht="26.25" customHeight="1" x14ac:dyDescent="0.25">
      <c r="B5265" s="130"/>
      <c r="C5265" s="135"/>
      <c r="D5265" s="177"/>
      <c r="E5265" s="178"/>
      <c r="F5265" s="178"/>
      <c r="G5265" s="340"/>
      <c r="H5265" s="340"/>
      <c r="I5265" s="179"/>
      <c r="J5265" s="344"/>
      <c r="K5265" s="345"/>
      <c r="L5265" s="346"/>
      <c r="M5265" s="347"/>
      <c r="N5265" s="347"/>
      <c r="O5265" s="132"/>
    </row>
    <row r="5266" spans="2:15" ht="26.25" customHeight="1" x14ac:dyDescent="0.25">
      <c r="B5266" s="130"/>
      <c r="C5266" s="135"/>
      <c r="D5266" s="177"/>
      <c r="E5266" s="178"/>
      <c r="F5266" s="178"/>
      <c r="G5266" s="340"/>
      <c r="H5266" s="340"/>
      <c r="I5266" s="179"/>
      <c r="J5266" s="344"/>
      <c r="K5266" s="345"/>
      <c r="L5266" s="346"/>
      <c r="M5266" s="347"/>
      <c r="N5266" s="347"/>
      <c r="O5266" s="132"/>
    </row>
    <row r="5267" spans="2:15" ht="26.25" customHeight="1" x14ac:dyDescent="0.25">
      <c r="B5267" s="130"/>
      <c r="C5267" s="135"/>
      <c r="D5267" s="177"/>
      <c r="E5267" s="178"/>
      <c r="F5267" s="178"/>
      <c r="G5267" s="340"/>
      <c r="H5267" s="340"/>
      <c r="I5267" s="179"/>
      <c r="J5267" s="344"/>
      <c r="K5267" s="345"/>
      <c r="L5267" s="346"/>
      <c r="M5267" s="347"/>
      <c r="N5267" s="347"/>
      <c r="O5267" s="132"/>
    </row>
    <row r="5268" spans="2:15" ht="26.25" customHeight="1" x14ac:dyDescent="0.25">
      <c r="B5268" s="130"/>
      <c r="C5268" s="135"/>
      <c r="D5268" s="177"/>
      <c r="E5268" s="178"/>
      <c r="F5268" s="178"/>
      <c r="G5268" s="340"/>
      <c r="H5268" s="340"/>
      <c r="I5268" s="179"/>
      <c r="J5268" s="344"/>
      <c r="K5268" s="345"/>
      <c r="L5268" s="346"/>
      <c r="M5268" s="347"/>
      <c r="N5268" s="347"/>
      <c r="O5268" s="132"/>
    </row>
    <row r="5269" spans="2:15" ht="26.25" customHeight="1" x14ac:dyDescent="0.25">
      <c r="B5269" s="130"/>
      <c r="C5269" s="135"/>
      <c r="D5269" s="177"/>
      <c r="E5269" s="178"/>
      <c r="F5269" s="178"/>
      <c r="G5269" s="340"/>
      <c r="H5269" s="340"/>
      <c r="I5269" s="179"/>
      <c r="J5269" s="344"/>
      <c r="K5269" s="345"/>
      <c r="L5269" s="346"/>
      <c r="M5269" s="347"/>
      <c r="N5269" s="347"/>
      <c r="O5269" s="132"/>
    </row>
    <row r="5270" spans="2:15" ht="26.25" customHeight="1" x14ac:dyDescent="0.25">
      <c r="B5270" s="130"/>
      <c r="C5270" s="135"/>
      <c r="D5270" s="177"/>
      <c r="E5270" s="178"/>
      <c r="F5270" s="178"/>
      <c r="G5270" s="340"/>
      <c r="H5270" s="340"/>
      <c r="I5270" s="179"/>
      <c r="J5270" s="344"/>
      <c r="K5270" s="345"/>
      <c r="L5270" s="346"/>
      <c r="M5270" s="347"/>
      <c r="N5270" s="347"/>
      <c r="O5270" s="132"/>
    </row>
    <row r="5271" spans="2:15" ht="26.25" customHeight="1" x14ac:dyDescent="0.25">
      <c r="B5271" s="130"/>
      <c r="C5271" s="135"/>
      <c r="D5271" s="177"/>
      <c r="E5271" s="178"/>
      <c r="F5271" s="178"/>
      <c r="G5271" s="340"/>
      <c r="H5271" s="340"/>
      <c r="I5271" s="179"/>
      <c r="J5271" s="344"/>
      <c r="K5271" s="345"/>
      <c r="L5271" s="346"/>
      <c r="M5271" s="347"/>
      <c r="N5271" s="347"/>
      <c r="O5271" s="132"/>
    </row>
    <row r="5272" spans="2:15" ht="26.25" customHeight="1" x14ac:dyDescent="0.25">
      <c r="B5272" s="130"/>
      <c r="C5272" s="135"/>
      <c r="D5272" s="177"/>
      <c r="E5272" s="178"/>
      <c r="F5272" s="178"/>
      <c r="G5272" s="340"/>
      <c r="H5272" s="340"/>
      <c r="I5272" s="179"/>
      <c r="J5272" s="344"/>
      <c r="K5272" s="345"/>
      <c r="L5272" s="346"/>
      <c r="M5272" s="347"/>
      <c r="N5272" s="347"/>
      <c r="O5272" s="132"/>
    </row>
    <row r="5273" spans="2:15" ht="26.25" customHeight="1" x14ac:dyDescent="0.25">
      <c r="B5273" s="130"/>
      <c r="C5273" s="135"/>
      <c r="D5273" s="177"/>
      <c r="E5273" s="178"/>
      <c r="F5273" s="178"/>
      <c r="G5273" s="340"/>
      <c r="H5273" s="340"/>
      <c r="I5273" s="179"/>
      <c r="J5273" s="344"/>
      <c r="K5273" s="345"/>
      <c r="L5273" s="346"/>
      <c r="M5273" s="347"/>
      <c r="N5273" s="347"/>
      <c r="O5273" s="132"/>
    </row>
    <row r="5274" spans="2:15" ht="26.25" customHeight="1" x14ac:dyDescent="0.25">
      <c r="B5274" s="130"/>
      <c r="C5274" s="135"/>
      <c r="D5274" s="177"/>
      <c r="E5274" s="178"/>
      <c r="F5274" s="178"/>
      <c r="G5274" s="340"/>
      <c r="H5274" s="340"/>
      <c r="I5274" s="179"/>
      <c r="J5274" s="344"/>
      <c r="K5274" s="345"/>
      <c r="L5274" s="346"/>
      <c r="M5274" s="347"/>
      <c r="N5274" s="347"/>
      <c r="O5274" s="132"/>
    </row>
    <row r="5275" spans="2:15" ht="26.25" customHeight="1" x14ac:dyDescent="0.25">
      <c r="B5275" s="130"/>
      <c r="C5275" s="135"/>
      <c r="D5275" s="177"/>
      <c r="E5275" s="178"/>
      <c r="F5275" s="178"/>
      <c r="G5275" s="340"/>
      <c r="H5275" s="340"/>
      <c r="I5275" s="179"/>
      <c r="J5275" s="344"/>
      <c r="K5275" s="345"/>
      <c r="L5275" s="346"/>
      <c r="M5275" s="347"/>
      <c r="N5275" s="347"/>
      <c r="O5275" s="132"/>
    </row>
    <row r="5276" spans="2:15" ht="26.25" customHeight="1" x14ac:dyDescent="0.25">
      <c r="B5276" s="130"/>
      <c r="C5276" s="135"/>
      <c r="D5276" s="177"/>
      <c r="E5276" s="178"/>
      <c r="F5276" s="178"/>
      <c r="G5276" s="340"/>
      <c r="H5276" s="340"/>
      <c r="I5276" s="179"/>
      <c r="J5276" s="344"/>
      <c r="K5276" s="345"/>
      <c r="L5276" s="346"/>
      <c r="M5276" s="347"/>
      <c r="N5276" s="347"/>
      <c r="O5276" s="132"/>
    </row>
    <row r="5277" spans="2:15" ht="26.25" customHeight="1" x14ac:dyDescent="0.25">
      <c r="B5277" s="130"/>
      <c r="C5277" s="135"/>
      <c r="D5277" s="177"/>
      <c r="E5277" s="178"/>
      <c r="F5277" s="178"/>
      <c r="G5277" s="340"/>
      <c r="H5277" s="340"/>
      <c r="I5277" s="179"/>
      <c r="J5277" s="344"/>
      <c r="K5277" s="345"/>
      <c r="L5277" s="346"/>
      <c r="M5277" s="347"/>
      <c r="N5277" s="347"/>
      <c r="O5277" s="132"/>
    </row>
    <row r="5278" spans="2:15" ht="26.25" customHeight="1" x14ac:dyDescent="0.25">
      <c r="B5278" s="130"/>
      <c r="C5278" s="135"/>
      <c r="D5278" s="177"/>
      <c r="E5278" s="178"/>
      <c r="F5278" s="178"/>
      <c r="G5278" s="340"/>
      <c r="H5278" s="340"/>
      <c r="I5278" s="179"/>
      <c r="J5278" s="344"/>
      <c r="K5278" s="345"/>
      <c r="L5278" s="346"/>
      <c r="M5278" s="347"/>
      <c r="N5278" s="347"/>
      <c r="O5278" s="132"/>
    </row>
    <row r="5279" spans="2:15" ht="26.25" customHeight="1" x14ac:dyDescent="0.25">
      <c r="B5279" s="130"/>
      <c r="C5279" s="135"/>
      <c r="D5279" s="177"/>
      <c r="E5279" s="178"/>
      <c r="F5279" s="178"/>
      <c r="G5279" s="340"/>
      <c r="H5279" s="340"/>
      <c r="I5279" s="179"/>
      <c r="J5279" s="344"/>
      <c r="K5279" s="345"/>
      <c r="L5279" s="346"/>
      <c r="M5279" s="347"/>
      <c r="N5279" s="347"/>
      <c r="O5279" s="132"/>
    </row>
    <row r="5280" spans="2:15" ht="26.25" customHeight="1" x14ac:dyDescent="0.25">
      <c r="B5280" s="130"/>
      <c r="C5280" s="135"/>
      <c r="D5280" s="177"/>
      <c r="E5280" s="178"/>
      <c r="F5280" s="178"/>
      <c r="G5280" s="340"/>
      <c r="H5280" s="340"/>
      <c r="I5280" s="179"/>
      <c r="J5280" s="344"/>
      <c r="K5280" s="345"/>
      <c r="L5280" s="346"/>
      <c r="M5280" s="347"/>
      <c r="N5280" s="347"/>
      <c r="O5280" s="132"/>
    </row>
    <row r="5281" spans="2:15" ht="26.25" customHeight="1" x14ac:dyDescent="0.25">
      <c r="B5281" s="130"/>
      <c r="C5281" s="135"/>
      <c r="D5281" s="177"/>
      <c r="E5281" s="178"/>
      <c r="F5281" s="178"/>
      <c r="G5281" s="340"/>
      <c r="H5281" s="340"/>
      <c r="I5281" s="179"/>
      <c r="J5281" s="344"/>
      <c r="K5281" s="345"/>
      <c r="L5281" s="346"/>
      <c r="M5281" s="347"/>
      <c r="N5281" s="347"/>
      <c r="O5281" s="132"/>
    </row>
    <row r="5282" spans="2:15" ht="26.25" customHeight="1" x14ac:dyDescent="0.25">
      <c r="B5282" s="130"/>
      <c r="C5282" s="135"/>
      <c r="D5282" s="177"/>
      <c r="E5282" s="178"/>
      <c r="F5282" s="178"/>
      <c r="G5282" s="340"/>
      <c r="H5282" s="340"/>
      <c r="I5282" s="179"/>
      <c r="J5282" s="344"/>
      <c r="K5282" s="345"/>
      <c r="L5282" s="346"/>
      <c r="M5282" s="347"/>
      <c r="N5282" s="347"/>
      <c r="O5282" s="132"/>
    </row>
    <row r="5283" spans="2:15" ht="26.25" customHeight="1" x14ac:dyDescent="0.25">
      <c r="B5283" s="130"/>
      <c r="C5283" s="135"/>
      <c r="D5283" s="177"/>
      <c r="E5283" s="178"/>
      <c r="F5283" s="178"/>
      <c r="G5283" s="340"/>
      <c r="H5283" s="340"/>
      <c r="I5283" s="179"/>
      <c r="J5283" s="344"/>
      <c r="K5283" s="345"/>
      <c r="L5283" s="346"/>
      <c r="M5283" s="347"/>
      <c r="N5283" s="347"/>
      <c r="O5283" s="132"/>
    </row>
    <row r="5284" spans="2:15" ht="26.25" customHeight="1" x14ac:dyDescent="0.25">
      <c r="B5284" s="130"/>
      <c r="C5284" s="135"/>
      <c r="D5284" s="177"/>
      <c r="E5284" s="178"/>
      <c r="F5284" s="178"/>
      <c r="G5284" s="340"/>
      <c r="H5284" s="340"/>
      <c r="I5284" s="179"/>
      <c r="J5284" s="344"/>
      <c r="K5284" s="345"/>
      <c r="L5284" s="346"/>
      <c r="M5284" s="347"/>
      <c r="N5284" s="347"/>
      <c r="O5284" s="132"/>
    </row>
    <row r="5285" spans="2:15" ht="26.25" customHeight="1" x14ac:dyDescent="0.25">
      <c r="B5285" s="130"/>
      <c r="C5285" s="135"/>
      <c r="D5285" s="177"/>
      <c r="E5285" s="178"/>
      <c r="F5285" s="178"/>
      <c r="G5285" s="340"/>
      <c r="H5285" s="340"/>
      <c r="I5285" s="179"/>
      <c r="J5285" s="344"/>
      <c r="K5285" s="345"/>
      <c r="L5285" s="346"/>
      <c r="M5285" s="347"/>
      <c r="N5285" s="347"/>
      <c r="O5285" s="132"/>
    </row>
    <row r="5286" spans="2:15" ht="26.25" customHeight="1" x14ac:dyDescent="0.25">
      <c r="B5286" s="130"/>
      <c r="C5286" s="135"/>
      <c r="D5286" s="177"/>
      <c r="E5286" s="178"/>
      <c r="F5286" s="178"/>
      <c r="G5286" s="340"/>
      <c r="H5286" s="340"/>
      <c r="I5286" s="179"/>
      <c r="J5286" s="344"/>
      <c r="K5286" s="345"/>
      <c r="L5286" s="346"/>
      <c r="M5286" s="347"/>
      <c r="N5286" s="347"/>
      <c r="O5286" s="132"/>
    </row>
    <row r="5287" spans="2:15" ht="26.25" customHeight="1" x14ac:dyDescent="0.25">
      <c r="B5287" s="130"/>
      <c r="C5287" s="135"/>
      <c r="D5287" s="177"/>
      <c r="E5287" s="178"/>
      <c r="F5287" s="178"/>
      <c r="G5287" s="340"/>
      <c r="H5287" s="340"/>
      <c r="I5287" s="179"/>
      <c r="J5287" s="344"/>
      <c r="K5287" s="345"/>
      <c r="L5287" s="346"/>
      <c r="M5287" s="347"/>
      <c r="N5287" s="347"/>
      <c r="O5287" s="132"/>
    </row>
    <row r="5288" spans="2:15" ht="26.25" customHeight="1" x14ac:dyDescent="0.25">
      <c r="B5288" s="130"/>
      <c r="C5288" s="135"/>
      <c r="D5288" s="177"/>
      <c r="E5288" s="178"/>
      <c r="F5288" s="178"/>
      <c r="G5288" s="340"/>
      <c r="H5288" s="340"/>
      <c r="I5288" s="179"/>
      <c r="J5288" s="344"/>
      <c r="K5288" s="345"/>
      <c r="L5288" s="346"/>
      <c r="M5288" s="347"/>
      <c r="N5288" s="347"/>
      <c r="O5288" s="132"/>
    </row>
    <row r="5289" spans="2:15" ht="26.25" customHeight="1" x14ac:dyDescent="0.25">
      <c r="B5289" s="130"/>
      <c r="C5289" s="135"/>
      <c r="D5289" s="177"/>
      <c r="E5289" s="178"/>
      <c r="F5289" s="178"/>
      <c r="G5289" s="340"/>
      <c r="H5289" s="340"/>
      <c r="I5289" s="179"/>
      <c r="J5289" s="344"/>
      <c r="K5289" s="345"/>
      <c r="L5289" s="346"/>
      <c r="M5289" s="347"/>
      <c r="N5289" s="347"/>
      <c r="O5289" s="132"/>
    </row>
    <row r="5290" spans="2:15" ht="26.25" customHeight="1" x14ac:dyDescent="0.25">
      <c r="B5290" s="130"/>
      <c r="C5290" s="135"/>
      <c r="D5290" s="177"/>
      <c r="E5290" s="178"/>
      <c r="F5290" s="178"/>
      <c r="G5290" s="340"/>
      <c r="H5290" s="340"/>
      <c r="I5290" s="179"/>
      <c r="J5290" s="344"/>
      <c r="K5290" s="345"/>
      <c r="L5290" s="346"/>
      <c r="M5290" s="347"/>
      <c r="N5290" s="347"/>
      <c r="O5290" s="132"/>
    </row>
    <row r="5291" spans="2:15" ht="26.25" customHeight="1" x14ac:dyDescent="0.25">
      <c r="B5291" s="130"/>
      <c r="C5291" s="135"/>
      <c r="D5291" s="177"/>
      <c r="E5291" s="178"/>
      <c r="F5291" s="178"/>
      <c r="G5291" s="340"/>
      <c r="H5291" s="340"/>
      <c r="I5291" s="179"/>
      <c r="J5291" s="344"/>
      <c r="K5291" s="345"/>
      <c r="L5291" s="346"/>
      <c r="M5291" s="347"/>
      <c r="N5291" s="347"/>
      <c r="O5291" s="132"/>
    </row>
    <row r="5292" spans="2:15" ht="26.25" customHeight="1" x14ac:dyDescent="0.25">
      <c r="B5292" s="130"/>
      <c r="C5292" s="135"/>
      <c r="D5292" s="177"/>
      <c r="E5292" s="178"/>
      <c r="F5292" s="178"/>
      <c r="G5292" s="340"/>
      <c r="H5292" s="340"/>
      <c r="I5292" s="179"/>
      <c r="J5292" s="344"/>
      <c r="K5292" s="345"/>
      <c r="L5292" s="346"/>
      <c r="M5292" s="347"/>
      <c r="N5292" s="347"/>
      <c r="O5292" s="132"/>
    </row>
    <row r="5293" spans="2:15" ht="26.25" customHeight="1" x14ac:dyDescent="0.25">
      <c r="B5293" s="130"/>
      <c r="C5293" s="135"/>
      <c r="D5293" s="177"/>
      <c r="E5293" s="178"/>
      <c r="F5293" s="178"/>
      <c r="G5293" s="340"/>
      <c r="H5293" s="340"/>
      <c r="I5293" s="179"/>
      <c r="J5293" s="344"/>
      <c r="K5293" s="345"/>
      <c r="L5293" s="346"/>
      <c r="M5293" s="347"/>
      <c r="N5293" s="347"/>
      <c r="O5293" s="132"/>
    </row>
    <row r="5294" spans="2:15" ht="26.25" customHeight="1" x14ac:dyDescent="0.25">
      <c r="B5294" s="130"/>
      <c r="C5294" s="135"/>
      <c r="D5294" s="177"/>
      <c r="E5294" s="178"/>
      <c r="F5294" s="178"/>
      <c r="G5294" s="340"/>
      <c r="H5294" s="340"/>
      <c r="I5294" s="179"/>
      <c r="J5294" s="344"/>
      <c r="K5294" s="345"/>
      <c r="L5294" s="346"/>
      <c r="M5294" s="347"/>
      <c r="N5294" s="347"/>
      <c r="O5294" s="132"/>
    </row>
    <row r="5295" spans="2:15" ht="26.25" customHeight="1" x14ac:dyDescent="0.25">
      <c r="B5295" s="130"/>
      <c r="C5295" s="135"/>
      <c r="D5295" s="177"/>
      <c r="E5295" s="178"/>
      <c r="F5295" s="178"/>
      <c r="G5295" s="340"/>
      <c r="H5295" s="340"/>
      <c r="I5295" s="179"/>
      <c r="J5295" s="344"/>
      <c r="K5295" s="345"/>
      <c r="L5295" s="346"/>
      <c r="M5295" s="347"/>
      <c r="N5295" s="347"/>
      <c r="O5295" s="132"/>
    </row>
    <row r="5296" spans="2:15" ht="26.25" customHeight="1" x14ac:dyDescent="0.25">
      <c r="B5296" s="130"/>
      <c r="C5296" s="135"/>
      <c r="D5296" s="177"/>
      <c r="E5296" s="178"/>
      <c r="F5296" s="178"/>
      <c r="G5296" s="340"/>
      <c r="H5296" s="340"/>
      <c r="I5296" s="179"/>
      <c r="J5296" s="344"/>
      <c r="K5296" s="345"/>
      <c r="L5296" s="346"/>
      <c r="M5296" s="347"/>
      <c r="N5296" s="347"/>
      <c r="O5296" s="132"/>
    </row>
    <row r="5297" spans="2:15" ht="26.25" customHeight="1" x14ac:dyDescent="0.25">
      <c r="B5297" s="130"/>
      <c r="C5297" s="135"/>
      <c r="D5297" s="177"/>
      <c r="E5297" s="178"/>
      <c r="F5297" s="178"/>
      <c r="G5297" s="340"/>
      <c r="H5297" s="340"/>
      <c r="I5297" s="179"/>
      <c r="J5297" s="344"/>
      <c r="K5297" s="345"/>
      <c r="L5297" s="346"/>
      <c r="M5297" s="347"/>
      <c r="N5297" s="347"/>
      <c r="O5297" s="132"/>
    </row>
    <row r="5298" spans="2:15" ht="26.25" customHeight="1" x14ac:dyDescent="0.25">
      <c r="B5298" s="130"/>
      <c r="C5298" s="135"/>
      <c r="D5298" s="177"/>
      <c r="E5298" s="178"/>
      <c r="F5298" s="178"/>
      <c r="G5298" s="340"/>
      <c r="H5298" s="340"/>
      <c r="I5298" s="179"/>
      <c r="J5298" s="344"/>
      <c r="K5298" s="345"/>
      <c r="L5298" s="346"/>
      <c r="M5298" s="347"/>
      <c r="N5298" s="347"/>
      <c r="O5298" s="132"/>
    </row>
    <row r="5299" spans="2:15" ht="26.25" customHeight="1" x14ac:dyDescent="0.25">
      <c r="B5299" s="130"/>
      <c r="C5299" s="135"/>
      <c r="D5299" s="177"/>
      <c r="E5299" s="178"/>
      <c r="F5299" s="178"/>
      <c r="G5299" s="340"/>
      <c r="H5299" s="340"/>
      <c r="I5299" s="179"/>
      <c r="J5299" s="344"/>
      <c r="K5299" s="345"/>
      <c r="L5299" s="346"/>
      <c r="M5299" s="347"/>
      <c r="N5299" s="347"/>
      <c r="O5299" s="132"/>
    </row>
    <row r="5300" spans="2:15" ht="26.25" customHeight="1" x14ac:dyDescent="0.25">
      <c r="B5300" s="130"/>
      <c r="C5300" s="135"/>
      <c r="D5300" s="177"/>
      <c r="E5300" s="178"/>
      <c r="F5300" s="178"/>
      <c r="G5300" s="340"/>
      <c r="H5300" s="340"/>
      <c r="I5300" s="179"/>
      <c r="J5300" s="344"/>
      <c r="K5300" s="345"/>
      <c r="L5300" s="346"/>
      <c r="M5300" s="347"/>
      <c r="N5300" s="347"/>
      <c r="O5300" s="132"/>
    </row>
    <row r="5301" spans="2:15" ht="26.25" customHeight="1" x14ac:dyDescent="0.25">
      <c r="B5301" s="130"/>
      <c r="C5301" s="135"/>
      <c r="D5301" s="177"/>
      <c r="E5301" s="178"/>
      <c r="F5301" s="178"/>
      <c r="G5301" s="340"/>
      <c r="H5301" s="340"/>
      <c r="I5301" s="179"/>
      <c r="J5301" s="344"/>
      <c r="K5301" s="345"/>
      <c r="L5301" s="346"/>
      <c r="M5301" s="347"/>
      <c r="N5301" s="347"/>
      <c r="O5301" s="132"/>
    </row>
    <row r="5302" spans="2:15" ht="26.25" customHeight="1" x14ac:dyDescent="0.25">
      <c r="B5302" s="130"/>
      <c r="C5302" s="135"/>
      <c r="D5302" s="177"/>
      <c r="E5302" s="178"/>
      <c r="F5302" s="178"/>
      <c r="G5302" s="340"/>
      <c r="H5302" s="340"/>
      <c r="I5302" s="179"/>
      <c r="J5302" s="344"/>
      <c r="K5302" s="345"/>
      <c r="L5302" s="346"/>
      <c r="M5302" s="347"/>
      <c r="N5302" s="347"/>
      <c r="O5302" s="132"/>
    </row>
    <row r="5303" spans="2:15" ht="26.25" customHeight="1" x14ac:dyDescent="0.25">
      <c r="B5303" s="130"/>
      <c r="C5303" s="135"/>
      <c r="D5303" s="177"/>
      <c r="E5303" s="178"/>
      <c r="F5303" s="178"/>
      <c r="G5303" s="340"/>
      <c r="H5303" s="340"/>
      <c r="I5303" s="179"/>
      <c r="J5303" s="344"/>
      <c r="K5303" s="345"/>
      <c r="L5303" s="346"/>
      <c r="M5303" s="347"/>
      <c r="N5303" s="347"/>
      <c r="O5303" s="132"/>
    </row>
    <row r="5304" spans="2:15" ht="26.25" customHeight="1" x14ac:dyDescent="0.25">
      <c r="B5304" s="130"/>
      <c r="C5304" s="135"/>
      <c r="D5304" s="177"/>
      <c r="E5304" s="178"/>
      <c r="F5304" s="178"/>
      <c r="G5304" s="340"/>
      <c r="H5304" s="340"/>
      <c r="I5304" s="179"/>
      <c r="J5304" s="344"/>
      <c r="K5304" s="345"/>
      <c r="L5304" s="346"/>
      <c r="M5304" s="347"/>
      <c r="N5304" s="347"/>
      <c r="O5304" s="132"/>
    </row>
    <row r="5305" spans="2:15" ht="26.25" customHeight="1" x14ac:dyDescent="0.25">
      <c r="B5305" s="130"/>
      <c r="C5305" s="135"/>
      <c r="D5305" s="177"/>
      <c r="E5305" s="178"/>
      <c r="F5305" s="178"/>
      <c r="G5305" s="340"/>
      <c r="H5305" s="340"/>
      <c r="I5305" s="179"/>
      <c r="J5305" s="344"/>
      <c r="K5305" s="345"/>
      <c r="L5305" s="346"/>
      <c r="M5305" s="347"/>
      <c r="N5305" s="347"/>
      <c r="O5305" s="132"/>
    </row>
    <row r="5306" spans="2:15" ht="26.25" customHeight="1" x14ac:dyDescent="0.25">
      <c r="B5306" s="130"/>
      <c r="C5306" s="135"/>
      <c r="D5306" s="177"/>
      <c r="E5306" s="178"/>
      <c r="F5306" s="178"/>
      <c r="G5306" s="340"/>
      <c r="H5306" s="340"/>
      <c r="I5306" s="179"/>
      <c r="J5306" s="344"/>
      <c r="K5306" s="345"/>
      <c r="L5306" s="346"/>
      <c r="M5306" s="347"/>
      <c r="N5306" s="347"/>
      <c r="O5306" s="132"/>
    </row>
    <row r="5307" spans="2:15" ht="26.25" customHeight="1" x14ac:dyDescent="0.25">
      <c r="B5307" s="130"/>
      <c r="C5307" s="135"/>
      <c r="D5307" s="177"/>
      <c r="E5307" s="178"/>
      <c r="F5307" s="178"/>
      <c r="G5307" s="340"/>
      <c r="H5307" s="340"/>
      <c r="I5307" s="179"/>
      <c r="J5307" s="344"/>
      <c r="K5307" s="345"/>
      <c r="L5307" s="346"/>
      <c r="M5307" s="347"/>
      <c r="N5307" s="347"/>
      <c r="O5307" s="132"/>
    </row>
    <row r="5308" spans="2:15" ht="26.25" customHeight="1" x14ac:dyDescent="0.25">
      <c r="B5308" s="130"/>
      <c r="C5308" s="135"/>
      <c r="D5308" s="177"/>
      <c r="E5308" s="178"/>
      <c r="F5308" s="178"/>
      <c r="G5308" s="340"/>
      <c r="H5308" s="340"/>
      <c r="I5308" s="179"/>
      <c r="J5308" s="344"/>
      <c r="K5308" s="345"/>
      <c r="L5308" s="346"/>
      <c r="M5308" s="347"/>
      <c r="N5308" s="347"/>
      <c r="O5308" s="132"/>
    </row>
    <row r="5309" spans="2:15" ht="26.25" customHeight="1" x14ac:dyDescent="0.25">
      <c r="B5309" s="130"/>
      <c r="C5309" s="135"/>
      <c r="D5309" s="177"/>
      <c r="E5309" s="178"/>
      <c r="F5309" s="178"/>
      <c r="G5309" s="340"/>
      <c r="H5309" s="340"/>
      <c r="I5309" s="179"/>
      <c r="J5309" s="344"/>
      <c r="K5309" s="345"/>
      <c r="L5309" s="346"/>
      <c r="M5309" s="347"/>
      <c r="N5309" s="347"/>
      <c r="O5309" s="132"/>
    </row>
    <row r="5310" spans="2:15" ht="26.25" customHeight="1" x14ac:dyDescent="0.25">
      <c r="B5310" s="130"/>
      <c r="C5310" s="135"/>
      <c r="D5310" s="177"/>
      <c r="E5310" s="178"/>
      <c r="F5310" s="178"/>
      <c r="G5310" s="340"/>
      <c r="H5310" s="340"/>
      <c r="I5310" s="179"/>
      <c r="J5310" s="344"/>
      <c r="K5310" s="345"/>
      <c r="L5310" s="346"/>
      <c r="M5310" s="347"/>
      <c r="N5310" s="347"/>
      <c r="O5310" s="132"/>
    </row>
    <row r="5311" spans="2:15" ht="26.25" customHeight="1" x14ac:dyDescent="0.25">
      <c r="B5311" s="130"/>
      <c r="C5311" s="135"/>
      <c r="D5311" s="177"/>
      <c r="E5311" s="178"/>
      <c r="F5311" s="178"/>
      <c r="G5311" s="340"/>
      <c r="H5311" s="340"/>
      <c r="I5311" s="179"/>
      <c r="J5311" s="344"/>
      <c r="K5311" s="345"/>
      <c r="L5311" s="346"/>
      <c r="M5311" s="347"/>
      <c r="N5311" s="347"/>
      <c r="O5311" s="132"/>
    </row>
    <row r="5312" spans="2:15" ht="26.25" customHeight="1" x14ac:dyDescent="0.25">
      <c r="B5312" s="130"/>
      <c r="C5312" s="135"/>
      <c r="D5312" s="177"/>
      <c r="E5312" s="178"/>
      <c r="F5312" s="178"/>
      <c r="G5312" s="340"/>
      <c r="H5312" s="340"/>
      <c r="I5312" s="179"/>
      <c r="J5312" s="344"/>
      <c r="K5312" s="345"/>
      <c r="L5312" s="346"/>
      <c r="M5312" s="347"/>
      <c r="N5312" s="347"/>
      <c r="O5312" s="132"/>
    </row>
    <row r="5313" spans="2:15" ht="26.25" customHeight="1" x14ac:dyDescent="0.25">
      <c r="B5313" s="130"/>
      <c r="C5313" s="135"/>
      <c r="D5313" s="177"/>
      <c r="E5313" s="178"/>
      <c r="F5313" s="178"/>
      <c r="G5313" s="340"/>
      <c r="H5313" s="340"/>
      <c r="I5313" s="179"/>
      <c r="J5313" s="344"/>
      <c r="K5313" s="345"/>
      <c r="L5313" s="346"/>
      <c r="M5313" s="347"/>
      <c r="N5313" s="347"/>
      <c r="O5313" s="132"/>
    </row>
    <row r="5314" spans="2:15" ht="26.25" customHeight="1" x14ac:dyDescent="0.25">
      <c r="B5314" s="130"/>
      <c r="C5314" s="135"/>
      <c r="D5314" s="177"/>
      <c r="E5314" s="178"/>
      <c r="F5314" s="178"/>
      <c r="G5314" s="340"/>
      <c r="H5314" s="340"/>
      <c r="I5314" s="179"/>
      <c r="J5314" s="344"/>
      <c r="K5314" s="345"/>
      <c r="L5314" s="346"/>
      <c r="M5314" s="347"/>
      <c r="N5314" s="347"/>
      <c r="O5314" s="132"/>
    </row>
    <row r="5315" spans="2:15" ht="26.25" customHeight="1" x14ac:dyDescent="0.25">
      <c r="B5315" s="130"/>
      <c r="C5315" s="135"/>
      <c r="D5315" s="177"/>
      <c r="E5315" s="178"/>
      <c r="F5315" s="178"/>
      <c r="G5315" s="340"/>
      <c r="H5315" s="340"/>
      <c r="I5315" s="179"/>
      <c r="J5315" s="344"/>
      <c r="K5315" s="345"/>
      <c r="L5315" s="346"/>
      <c r="M5315" s="347"/>
      <c r="N5315" s="347"/>
      <c r="O5315" s="132"/>
    </row>
    <row r="5316" spans="2:15" ht="26.25" customHeight="1" x14ac:dyDescent="0.25">
      <c r="B5316" s="130"/>
      <c r="C5316" s="135"/>
      <c r="D5316" s="177"/>
      <c r="E5316" s="178"/>
      <c r="F5316" s="178"/>
      <c r="G5316" s="340"/>
      <c r="H5316" s="340"/>
      <c r="I5316" s="179"/>
      <c r="J5316" s="344"/>
      <c r="K5316" s="345"/>
      <c r="L5316" s="346"/>
      <c r="M5316" s="347"/>
      <c r="N5316" s="347"/>
      <c r="O5316" s="132"/>
    </row>
    <row r="5317" spans="2:15" ht="26.25" customHeight="1" x14ac:dyDescent="0.25">
      <c r="B5317" s="130"/>
      <c r="C5317" s="135"/>
      <c r="D5317" s="177"/>
      <c r="E5317" s="178"/>
      <c r="F5317" s="178"/>
      <c r="G5317" s="340"/>
      <c r="H5317" s="340"/>
      <c r="I5317" s="179"/>
      <c r="J5317" s="344"/>
      <c r="K5317" s="345"/>
      <c r="L5317" s="346"/>
      <c r="M5317" s="347"/>
      <c r="N5317" s="347"/>
      <c r="O5317" s="132"/>
    </row>
    <row r="5318" spans="2:15" ht="26.25" customHeight="1" x14ac:dyDescent="0.25">
      <c r="B5318" s="130"/>
      <c r="C5318" s="135"/>
      <c r="D5318" s="177"/>
      <c r="E5318" s="178"/>
      <c r="F5318" s="178"/>
      <c r="G5318" s="340"/>
      <c r="H5318" s="340"/>
      <c r="I5318" s="179"/>
      <c r="J5318" s="344"/>
      <c r="K5318" s="345"/>
      <c r="L5318" s="346"/>
      <c r="M5318" s="347"/>
      <c r="N5318" s="347"/>
      <c r="O5318" s="132"/>
    </row>
    <row r="5319" spans="2:15" ht="26.25" customHeight="1" x14ac:dyDescent="0.25">
      <c r="B5319" s="130"/>
      <c r="C5319" s="135"/>
      <c r="D5319" s="177"/>
      <c r="E5319" s="178"/>
      <c r="F5319" s="178"/>
      <c r="G5319" s="340"/>
      <c r="H5319" s="340"/>
      <c r="I5319" s="179"/>
      <c r="J5319" s="344"/>
      <c r="K5319" s="345"/>
      <c r="L5319" s="346"/>
      <c r="M5319" s="347"/>
      <c r="N5319" s="347"/>
      <c r="O5319" s="132"/>
    </row>
    <row r="5320" spans="2:15" ht="26.25" customHeight="1" x14ac:dyDescent="0.25">
      <c r="B5320" s="130"/>
      <c r="C5320" s="135"/>
      <c r="D5320" s="177"/>
      <c r="E5320" s="178"/>
      <c r="F5320" s="178"/>
      <c r="G5320" s="340"/>
      <c r="H5320" s="340"/>
      <c r="I5320" s="179"/>
      <c r="J5320" s="344"/>
      <c r="K5320" s="345"/>
      <c r="L5320" s="346"/>
      <c r="M5320" s="347"/>
      <c r="N5320" s="347"/>
      <c r="O5320" s="132"/>
    </row>
    <row r="5321" spans="2:15" ht="26.25" customHeight="1" x14ac:dyDescent="0.25">
      <c r="B5321" s="130"/>
      <c r="C5321" s="135"/>
      <c r="D5321" s="177"/>
      <c r="E5321" s="178"/>
      <c r="F5321" s="178"/>
      <c r="G5321" s="340"/>
      <c r="H5321" s="340"/>
      <c r="I5321" s="179"/>
      <c r="J5321" s="344"/>
      <c r="K5321" s="345"/>
      <c r="L5321" s="346"/>
      <c r="M5321" s="347"/>
      <c r="N5321" s="347"/>
      <c r="O5321" s="132"/>
    </row>
    <row r="5322" spans="2:15" ht="26.25" customHeight="1" x14ac:dyDescent="0.25">
      <c r="B5322" s="130"/>
      <c r="C5322" s="135"/>
      <c r="D5322" s="177"/>
      <c r="E5322" s="178"/>
      <c r="F5322" s="178"/>
      <c r="G5322" s="340"/>
      <c r="H5322" s="340"/>
      <c r="I5322" s="179"/>
      <c r="J5322" s="344"/>
      <c r="K5322" s="345"/>
      <c r="L5322" s="346"/>
      <c r="M5322" s="347"/>
      <c r="N5322" s="347"/>
      <c r="O5322" s="132"/>
    </row>
    <row r="5323" spans="2:15" ht="26.25" customHeight="1" x14ac:dyDescent="0.25">
      <c r="B5323" s="130"/>
      <c r="C5323" s="135"/>
      <c r="D5323" s="177"/>
      <c r="E5323" s="178"/>
      <c r="F5323" s="178"/>
      <c r="G5323" s="340"/>
      <c r="H5323" s="340"/>
      <c r="I5323" s="179"/>
      <c r="J5323" s="344"/>
      <c r="K5323" s="345"/>
      <c r="L5323" s="346"/>
      <c r="M5323" s="347"/>
      <c r="N5323" s="347"/>
      <c r="O5323" s="132"/>
    </row>
    <row r="5324" spans="2:15" ht="26.25" customHeight="1" x14ac:dyDescent="0.25">
      <c r="B5324" s="130"/>
      <c r="C5324" s="135"/>
      <c r="D5324" s="177"/>
      <c r="E5324" s="178"/>
      <c r="F5324" s="178"/>
      <c r="G5324" s="340"/>
      <c r="H5324" s="340"/>
      <c r="I5324" s="179"/>
      <c r="J5324" s="344"/>
      <c r="K5324" s="345"/>
      <c r="L5324" s="346"/>
      <c r="M5324" s="347"/>
      <c r="N5324" s="347"/>
      <c r="O5324" s="132"/>
    </row>
    <row r="5325" spans="2:15" ht="26.25" customHeight="1" x14ac:dyDescent="0.25">
      <c r="B5325" s="130"/>
      <c r="C5325" s="135"/>
      <c r="D5325" s="177"/>
      <c r="E5325" s="178"/>
      <c r="F5325" s="178"/>
      <c r="G5325" s="340"/>
      <c r="H5325" s="340"/>
      <c r="I5325" s="179"/>
      <c r="J5325" s="344"/>
      <c r="K5325" s="345"/>
      <c r="L5325" s="346"/>
      <c r="M5325" s="347"/>
      <c r="N5325" s="347"/>
      <c r="O5325" s="132"/>
    </row>
    <row r="5326" spans="2:15" ht="26.25" customHeight="1" x14ac:dyDescent="0.25">
      <c r="B5326" s="130"/>
      <c r="C5326" s="135"/>
      <c r="D5326" s="177"/>
      <c r="E5326" s="178"/>
      <c r="F5326" s="178"/>
      <c r="G5326" s="340"/>
      <c r="H5326" s="340"/>
      <c r="I5326" s="179"/>
      <c r="J5326" s="344"/>
      <c r="K5326" s="345"/>
      <c r="L5326" s="346"/>
      <c r="M5326" s="347"/>
      <c r="N5326" s="347"/>
      <c r="O5326" s="132"/>
    </row>
    <row r="5327" spans="2:15" ht="26.25" customHeight="1" x14ac:dyDescent="0.25">
      <c r="B5327" s="130"/>
      <c r="C5327" s="135"/>
      <c r="D5327" s="177"/>
      <c r="E5327" s="178"/>
      <c r="F5327" s="178"/>
      <c r="G5327" s="340"/>
      <c r="H5327" s="340"/>
      <c r="I5327" s="179"/>
      <c r="J5327" s="344"/>
      <c r="K5327" s="345"/>
      <c r="L5327" s="346"/>
      <c r="M5327" s="347"/>
      <c r="N5327" s="347"/>
      <c r="O5327" s="132"/>
    </row>
    <row r="5328" spans="2:15" ht="26.25" customHeight="1" x14ac:dyDescent="0.25">
      <c r="B5328" s="130"/>
      <c r="C5328" s="135"/>
      <c r="D5328" s="177"/>
      <c r="E5328" s="178"/>
      <c r="F5328" s="178"/>
      <c r="G5328" s="340"/>
      <c r="H5328" s="340"/>
      <c r="I5328" s="179"/>
      <c r="J5328" s="344"/>
      <c r="K5328" s="345"/>
      <c r="L5328" s="346"/>
      <c r="M5328" s="347"/>
      <c r="N5328" s="347"/>
      <c r="O5328" s="132"/>
    </row>
    <row r="5329" spans="2:15" ht="26.25" customHeight="1" x14ac:dyDescent="0.25">
      <c r="B5329" s="130"/>
      <c r="C5329" s="135"/>
      <c r="D5329" s="177"/>
      <c r="E5329" s="178"/>
      <c r="F5329" s="178"/>
      <c r="G5329" s="340"/>
      <c r="H5329" s="340"/>
      <c r="I5329" s="179"/>
      <c r="J5329" s="344"/>
      <c r="K5329" s="345"/>
      <c r="L5329" s="346"/>
      <c r="M5329" s="347"/>
      <c r="N5329" s="347"/>
      <c r="O5329" s="132"/>
    </row>
    <row r="5330" spans="2:15" ht="26.25" customHeight="1" x14ac:dyDescent="0.25">
      <c r="B5330" s="130"/>
      <c r="C5330" s="135"/>
      <c r="D5330" s="177"/>
      <c r="E5330" s="178"/>
      <c r="F5330" s="178"/>
      <c r="G5330" s="340"/>
      <c r="H5330" s="340"/>
      <c r="I5330" s="179"/>
      <c r="J5330" s="344"/>
      <c r="K5330" s="345"/>
      <c r="L5330" s="346"/>
      <c r="M5330" s="347"/>
      <c r="N5330" s="347"/>
      <c r="O5330" s="132"/>
    </row>
    <row r="5331" spans="2:15" ht="26.25" customHeight="1" x14ac:dyDescent="0.25">
      <c r="B5331" s="130"/>
      <c r="C5331" s="135"/>
      <c r="D5331" s="177"/>
      <c r="E5331" s="178"/>
      <c r="F5331" s="178"/>
      <c r="G5331" s="340"/>
      <c r="H5331" s="340"/>
      <c r="I5331" s="179"/>
      <c r="J5331" s="344"/>
      <c r="K5331" s="345"/>
      <c r="L5331" s="346"/>
      <c r="M5331" s="347"/>
      <c r="N5331" s="347"/>
      <c r="O5331" s="132"/>
    </row>
    <row r="5332" spans="2:15" ht="26.25" customHeight="1" x14ac:dyDescent="0.25">
      <c r="B5332" s="130"/>
      <c r="C5332" s="135"/>
      <c r="D5332" s="177"/>
      <c r="E5332" s="178"/>
      <c r="F5332" s="178"/>
      <c r="G5332" s="340"/>
      <c r="H5332" s="340"/>
      <c r="I5332" s="179"/>
      <c r="J5332" s="344"/>
      <c r="K5332" s="345"/>
      <c r="L5332" s="346"/>
      <c r="M5332" s="347"/>
      <c r="N5332" s="347"/>
      <c r="O5332" s="132"/>
    </row>
    <row r="5333" spans="2:15" ht="26.25" customHeight="1" x14ac:dyDescent="0.25">
      <c r="B5333" s="130"/>
      <c r="C5333" s="135"/>
      <c r="D5333" s="177"/>
      <c r="E5333" s="178"/>
      <c r="F5333" s="178"/>
      <c r="G5333" s="340"/>
      <c r="H5333" s="340"/>
      <c r="I5333" s="179"/>
      <c r="J5333" s="344"/>
      <c r="K5333" s="345"/>
      <c r="L5333" s="346"/>
      <c r="M5333" s="347"/>
      <c r="N5333" s="347"/>
      <c r="O5333" s="132"/>
    </row>
    <row r="5334" spans="2:15" ht="26.25" customHeight="1" x14ac:dyDescent="0.25">
      <c r="B5334" s="130"/>
      <c r="C5334" s="135"/>
      <c r="D5334" s="177"/>
      <c r="E5334" s="178"/>
      <c r="F5334" s="178"/>
      <c r="G5334" s="340"/>
      <c r="H5334" s="340"/>
      <c r="I5334" s="179"/>
      <c r="J5334" s="344"/>
      <c r="K5334" s="345"/>
      <c r="L5334" s="346"/>
      <c r="M5334" s="347"/>
      <c r="N5334" s="347"/>
      <c r="O5334" s="132"/>
    </row>
    <row r="5335" spans="2:15" ht="26.25" customHeight="1" x14ac:dyDescent="0.25">
      <c r="B5335" s="130"/>
      <c r="C5335" s="135"/>
      <c r="D5335" s="177"/>
      <c r="E5335" s="178"/>
      <c r="F5335" s="178"/>
      <c r="G5335" s="340"/>
      <c r="H5335" s="340"/>
      <c r="I5335" s="179"/>
      <c r="J5335" s="344"/>
      <c r="K5335" s="345"/>
      <c r="L5335" s="346"/>
      <c r="M5335" s="347"/>
      <c r="N5335" s="347"/>
      <c r="O5335" s="132"/>
    </row>
    <row r="5336" spans="2:15" ht="26.25" customHeight="1" x14ac:dyDescent="0.25">
      <c r="B5336" s="130"/>
      <c r="C5336" s="135"/>
      <c r="D5336" s="177"/>
      <c r="E5336" s="178"/>
      <c r="F5336" s="178"/>
      <c r="G5336" s="340"/>
      <c r="H5336" s="340"/>
      <c r="I5336" s="179"/>
      <c r="J5336" s="344"/>
      <c r="K5336" s="345"/>
      <c r="L5336" s="346"/>
      <c r="M5336" s="347"/>
      <c r="N5336" s="347"/>
      <c r="O5336" s="132"/>
    </row>
    <row r="5337" spans="2:15" ht="26.25" customHeight="1" x14ac:dyDescent="0.25">
      <c r="B5337" s="130"/>
      <c r="C5337" s="135"/>
      <c r="D5337" s="177"/>
      <c r="E5337" s="178"/>
      <c r="F5337" s="178"/>
      <c r="G5337" s="340"/>
      <c r="H5337" s="340"/>
      <c r="I5337" s="179"/>
      <c r="J5337" s="344"/>
      <c r="K5337" s="345"/>
      <c r="L5337" s="346"/>
      <c r="M5337" s="347"/>
      <c r="N5337" s="347"/>
      <c r="O5337" s="132"/>
    </row>
    <row r="5338" spans="2:15" ht="26.25" customHeight="1" x14ac:dyDescent="0.25">
      <c r="B5338" s="130"/>
      <c r="C5338" s="135"/>
      <c r="D5338" s="177"/>
      <c r="E5338" s="178"/>
      <c r="F5338" s="178"/>
      <c r="G5338" s="340"/>
      <c r="H5338" s="340"/>
      <c r="I5338" s="179"/>
      <c r="J5338" s="344"/>
      <c r="K5338" s="345"/>
      <c r="L5338" s="346"/>
      <c r="M5338" s="347"/>
      <c r="N5338" s="347"/>
      <c r="O5338" s="132"/>
    </row>
    <row r="5339" spans="2:15" ht="26.25" customHeight="1" x14ac:dyDescent="0.25">
      <c r="B5339" s="130"/>
      <c r="C5339" s="135"/>
      <c r="D5339" s="177"/>
      <c r="E5339" s="178"/>
      <c r="F5339" s="178"/>
      <c r="G5339" s="340"/>
      <c r="H5339" s="340"/>
      <c r="I5339" s="179"/>
      <c r="J5339" s="344"/>
      <c r="K5339" s="345"/>
      <c r="L5339" s="346"/>
      <c r="M5339" s="347"/>
      <c r="N5339" s="347"/>
      <c r="O5339" s="132"/>
    </row>
    <row r="5340" spans="2:15" ht="26.25" customHeight="1" x14ac:dyDescent="0.25">
      <c r="B5340" s="130"/>
      <c r="C5340" s="135"/>
      <c r="D5340" s="177"/>
      <c r="E5340" s="178"/>
      <c r="F5340" s="178"/>
      <c r="G5340" s="340"/>
      <c r="H5340" s="340"/>
      <c r="I5340" s="179"/>
      <c r="J5340" s="344"/>
      <c r="K5340" s="345"/>
      <c r="L5340" s="346"/>
      <c r="M5340" s="347"/>
      <c r="N5340" s="347"/>
      <c r="O5340" s="132"/>
    </row>
    <row r="5341" spans="2:15" ht="26.25" customHeight="1" x14ac:dyDescent="0.25">
      <c r="B5341" s="130"/>
      <c r="C5341" s="135"/>
      <c r="D5341" s="177"/>
      <c r="E5341" s="178"/>
      <c r="F5341" s="178"/>
      <c r="G5341" s="340"/>
      <c r="H5341" s="340"/>
      <c r="I5341" s="179"/>
      <c r="J5341" s="344"/>
      <c r="K5341" s="345"/>
      <c r="L5341" s="346"/>
      <c r="M5341" s="347"/>
      <c r="N5341" s="347"/>
      <c r="O5341" s="132"/>
    </row>
    <row r="5342" spans="2:15" ht="26.25" customHeight="1" x14ac:dyDescent="0.25">
      <c r="B5342" s="130"/>
      <c r="C5342" s="135"/>
      <c r="D5342" s="177"/>
      <c r="E5342" s="178"/>
      <c r="F5342" s="178"/>
      <c r="G5342" s="340"/>
      <c r="H5342" s="340"/>
      <c r="I5342" s="179"/>
      <c r="J5342" s="344"/>
      <c r="K5342" s="345"/>
      <c r="L5342" s="346"/>
      <c r="M5342" s="347"/>
      <c r="N5342" s="347"/>
      <c r="O5342" s="132"/>
    </row>
    <row r="5343" spans="2:15" ht="26.25" customHeight="1" x14ac:dyDescent="0.25">
      <c r="B5343" s="130"/>
      <c r="C5343" s="135"/>
      <c r="D5343" s="177"/>
      <c r="E5343" s="178"/>
      <c r="F5343" s="178"/>
      <c r="G5343" s="340"/>
      <c r="H5343" s="340"/>
      <c r="I5343" s="179"/>
      <c r="J5343" s="344"/>
      <c r="K5343" s="345"/>
      <c r="L5343" s="346"/>
      <c r="M5343" s="347"/>
      <c r="N5343" s="347"/>
      <c r="O5343" s="132"/>
    </row>
    <row r="5344" spans="2:15" ht="26.25" customHeight="1" x14ac:dyDescent="0.25">
      <c r="B5344" s="130"/>
      <c r="C5344" s="135"/>
      <c r="D5344" s="177"/>
      <c r="E5344" s="178"/>
      <c r="F5344" s="178"/>
      <c r="G5344" s="340"/>
      <c r="H5344" s="340"/>
      <c r="I5344" s="179"/>
      <c r="J5344" s="344"/>
      <c r="K5344" s="345"/>
      <c r="L5344" s="346"/>
      <c r="M5344" s="347"/>
      <c r="N5344" s="347"/>
      <c r="O5344" s="132"/>
    </row>
    <row r="5345" spans="2:15" ht="26.25" customHeight="1" x14ac:dyDescent="0.25">
      <c r="B5345" s="130"/>
      <c r="C5345" s="135"/>
      <c r="D5345" s="177"/>
      <c r="E5345" s="178"/>
      <c r="F5345" s="178"/>
      <c r="G5345" s="340"/>
      <c r="H5345" s="340"/>
      <c r="I5345" s="179"/>
      <c r="J5345" s="344"/>
      <c r="K5345" s="345"/>
      <c r="L5345" s="346"/>
      <c r="M5345" s="347"/>
      <c r="N5345" s="347"/>
      <c r="O5345" s="132"/>
    </row>
    <row r="5346" spans="2:15" ht="26.25" customHeight="1" x14ac:dyDescent="0.25">
      <c r="B5346" s="130"/>
      <c r="C5346" s="135"/>
      <c r="D5346" s="177"/>
      <c r="E5346" s="178"/>
      <c r="F5346" s="178"/>
      <c r="G5346" s="340"/>
      <c r="H5346" s="340"/>
      <c r="I5346" s="179"/>
      <c r="J5346" s="344"/>
      <c r="K5346" s="345"/>
      <c r="L5346" s="346"/>
      <c r="M5346" s="347"/>
      <c r="N5346" s="347"/>
      <c r="O5346" s="132"/>
    </row>
    <row r="5347" spans="2:15" ht="26.25" customHeight="1" x14ac:dyDescent="0.25">
      <c r="B5347" s="130"/>
      <c r="C5347" s="135"/>
      <c r="D5347" s="177"/>
      <c r="E5347" s="178"/>
      <c r="F5347" s="178"/>
      <c r="G5347" s="340"/>
      <c r="H5347" s="340"/>
      <c r="I5347" s="179"/>
      <c r="J5347" s="344"/>
      <c r="K5347" s="345"/>
      <c r="L5347" s="346"/>
      <c r="M5347" s="347"/>
      <c r="N5347" s="347"/>
      <c r="O5347" s="132"/>
    </row>
    <row r="5348" spans="2:15" ht="26.25" customHeight="1" x14ac:dyDescent="0.25">
      <c r="B5348" s="130"/>
      <c r="C5348" s="135"/>
      <c r="D5348" s="177"/>
      <c r="E5348" s="178"/>
      <c r="F5348" s="178"/>
      <c r="G5348" s="340"/>
      <c r="H5348" s="340"/>
      <c r="I5348" s="179"/>
      <c r="J5348" s="344"/>
      <c r="K5348" s="345"/>
      <c r="L5348" s="346"/>
      <c r="M5348" s="347"/>
      <c r="N5348" s="347"/>
      <c r="O5348" s="132"/>
    </row>
    <row r="5349" spans="2:15" ht="26.25" customHeight="1" x14ac:dyDescent="0.25">
      <c r="B5349" s="130"/>
      <c r="C5349" s="135"/>
      <c r="D5349" s="177"/>
      <c r="E5349" s="178"/>
      <c r="F5349" s="178"/>
      <c r="G5349" s="340"/>
      <c r="H5349" s="340"/>
      <c r="I5349" s="179"/>
      <c r="J5349" s="344"/>
      <c r="K5349" s="345"/>
      <c r="L5349" s="346"/>
      <c r="M5349" s="347"/>
      <c r="N5349" s="347"/>
      <c r="O5349" s="132"/>
    </row>
    <row r="5350" spans="2:15" ht="26.25" customHeight="1" x14ac:dyDescent="0.25">
      <c r="B5350" s="130"/>
      <c r="C5350" s="135"/>
      <c r="D5350" s="177"/>
      <c r="E5350" s="178"/>
      <c r="F5350" s="178"/>
      <c r="G5350" s="340"/>
      <c r="H5350" s="340"/>
      <c r="I5350" s="179"/>
      <c r="J5350" s="344"/>
      <c r="K5350" s="345"/>
      <c r="L5350" s="346"/>
      <c r="M5350" s="347"/>
      <c r="N5350" s="347"/>
      <c r="O5350" s="132"/>
    </row>
    <row r="5351" spans="2:15" ht="26.25" customHeight="1" x14ac:dyDescent="0.25">
      <c r="B5351" s="130"/>
      <c r="C5351" s="135"/>
      <c r="D5351" s="177"/>
      <c r="E5351" s="178"/>
      <c r="F5351" s="178"/>
      <c r="G5351" s="340"/>
      <c r="H5351" s="340"/>
      <c r="I5351" s="179"/>
      <c r="J5351" s="344"/>
      <c r="K5351" s="345"/>
      <c r="L5351" s="346"/>
      <c r="M5351" s="347"/>
      <c r="N5351" s="347"/>
      <c r="O5351" s="132"/>
    </row>
    <row r="5352" spans="2:15" ht="26.25" customHeight="1" x14ac:dyDescent="0.25">
      <c r="B5352" s="130"/>
      <c r="C5352" s="135"/>
      <c r="D5352" s="177"/>
      <c r="E5352" s="178"/>
      <c r="F5352" s="178"/>
      <c r="G5352" s="340"/>
      <c r="H5352" s="340"/>
      <c r="I5352" s="179"/>
      <c r="J5352" s="344"/>
      <c r="K5352" s="345"/>
      <c r="L5352" s="346"/>
      <c r="M5352" s="347"/>
      <c r="N5352" s="347"/>
      <c r="O5352" s="132"/>
    </row>
    <row r="5353" spans="2:15" ht="26.25" customHeight="1" x14ac:dyDescent="0.25">
      <c r="B5353" s="130"/>
      <c r="C5353" s="135"/>
      <c r="D5353" s="177"/>
      <c r="E5353" s="178"/>
      <c r="F5353" s="178"/>
      <c r="G5353" s="340"/>
      <c r="H5353" s="340"/>
      <c r="I5353" s="179"/>
      <c r="J5353" s="344"/>
      <c r="K5353" s="345"/>
      <c r="L5353" s="346"/>
      <c r="M5353" s="347"/>
      <c r="N5353" s="347"/>
      <c r="O5353" s="132"/>
    </row>
    <row r="5354" spans="2:15" ht="26.25" customHeight="1" x14ac:dyDescent="0.25">
      <c r="B5354" s="130"/>
      <c r="C5354" s="135"/>
      <c r="D5354" s="177"/>
      <c r="E5354" s="178"/>
      <c r="F5354" s="178"/>
      <c r="G5354" s="340"/>
      <c r="H5354" s="340"/>
      <c r="I5354" s="179"/>
      <c r="J5354" s="344"/>
      <c r="K5354" s="345"/>
      <c r="L5354" s="346"/>
      <c r="M5354" s="347"/>
      <c r="N5354" s="347"/>
      <c r="O5354" s="132"/>
    </row>
    <row r="5355" spans="2:15" ht="26.25" customHeight="1" x14ac:dyDescent="0.25">
      <c r="B5355" s="130"/>
      <c r="C5355" s="135"/>
      <c r="D5355" s="177"/>
      <c r="E5355" s="178"/>
      <c r="F5355" s="178"/>
      <c r="G5355" s="340"/>
      <c r="H5355" s="340"/>
      <c r="I5355" s="179"/>
      <c r="J5355" s="344"/>
      <c r="K5355" s="345"/>
      <c r="L5355" s="346"/>
      <c r="M5355" s="347"/>
      <c r="N5355" s="347"/>
      <c r="O5355" s="132"/>
    </row>
    <row r="5356" spans="2:15" ht="26.25" customHeight="1" x14ac:dyDescent="0.25">
      <c r="B5356" s="130"/>
      <c r="C5356" s="135"/>
      <c r="D5356" s="177"/>
      <c r="E5356" s="178"/>
      <c r="F5356" s="178"/>
      <c r="G5356" s="340"/>
      <c r="H5356" s="340"/>
      <c r="I5356" s="179"/>
      <c r="J5356" s="344"/>
      <c r="K5356" s="345"/>
      <c r="L5356" s="346"/>
      <c r="M5356" s="347"/>
      <c r="N5356" s="347"/>
      <c r="O5356" s="132"/>
    </row>
    <row r="5357" spans="2:15" ht="26.25" customHeight="1" x14ac:dyDescent="0.25">
      <c r="B5357" s="130"/>
      <c r="C5357" s="135"/>
      <c r="D5357" s="177"/>
      <c r="E5357" s="178"/>
      <c r="F5357" s="178"/>
      <c r="G5357" s="340"/>
      <c r="H5357" s="340"/>
      <c r="I5357" s="179"/>
      <c r="J5357" s="344"/>
      <c r="K5357" s="345"/>
      <c r="L5357" s="346"/>
      <c r="M5357" s="347"/>
      <c r="N5357" s="347"/>
      <c r="O5357" s="132"/>
    </row>
    <row r="5358" spans="2:15" ht="26.25" customHeight="1" x14ac:dyDescent="0.25">
      <c r="B5358" s="130"/>
      <c r="C5358" s="135"/>
      <c r="D5358" s="177"/>
      <c r="E5358" s="178"/>
      <c r="F5358" s="178"/>
      <c r="G5358" s="340"/>
      <c r="H5358" s="340"/>
      <c r="I5358" s="179"/>
      <c r="J5358" s="344"/>
      <c r="K5358" s="345"/>
      <c r="L5358" s="346"/>
      <c r="M5358" s="347"/>
      <c r="N5358" s="347"/>
      <c r="O5358" s="132"/>
    </row>
    <row r="5359" spans="2:15" ht="26.25" customHeight="1" x14ac:dyDescent="0.25">
      <c r="B5359" s="130"/>
      <c r="C5359" s="135"/>
      <c r="D5359" s="177"/>
      <c r="E5359" s="178"/>
      <c r="F5359" s="178"/>
      <c r="G5359" s="340"/>
      <c r="H5359" s="340"/>
      <c r="I5359" s="179"/>
      <c r="J5359" s="344"/>
      <c r="K5359" s="345"/>
      <c r="L5359" s="346"/>
      <c r="M5359" s="347"/>
      <c r="N5359" s="347"/>
      <c r="O5359" s="132"/>
    </row>
    <row r="5360" spans="2:15" ht="26.25" customHeight="1" x14ac:dyDescent="0.25">
      <c r="B5360" s="130"/>
      <c r="C5360" s="135"/>
      <c r="D5360" s="177"/>
      <c r="E5360" s="178"/>
      <c r="F5360" s="178"/>
      <c r="G5360" s="340"/>
      <c r="H5360" s="340"/>
      <c r="I5360" s="179"/>
      <c r="J5360" s="344"/>
      <c r="K5360" s="345"/>
      <c r="L5360" s="346"/>
      <c r="M5360" s="347"/>
      <c r="N5360" s="347"/>
      <c r="O5360" s="132"/>
    </row>
    <row r="5361" spans="2:15" ht="26.25" customHeight="1" x14ac:dyDescent="0.25">
      <c r="B5361" s="130"/>
      <c r="C5361" s="135"/>
      <c r="D5361" s="177"/>
      <c r="E5361" s="178"/>
      <c r="F5361" s="178"/>
      <c r="G5361" s="340"/>
      <c r="H5361" s="340"/>
      <c r="I5361" s="179"/>
      <c r="J5361" s="344"/>
      <c r="K5361" s="345"/>
      <c r="L5361" s="346"/>
      <c r="M5361" s="347"/>
      <c r="N5361" s="347"/>
      <c r="O5361" s="132"/>
    </row>
    <row r="5362" spans="2:15" ht="26.25" customHeight="1" x14ac:dyDescent="0.25">
      <c r="B5362" s="130"/>
      <c r="C5362" s="135"/>
      <c r="D5362" s="177"/>
      <c r="E5362" s="178"/>
      <c r="F5362" s="178"/>
      <c r="G5362" s="340"/>
      <c r="H5362" s="340"/>
      <c r="I5362" s="179"/>
      <c r="J5362" s="344"/>
      <c r="K5362" s="345"/>
      <c r="L5362" s="346"/>
      <c r="M5362" s="347"/>
      <c r="N5362" s="347"/>
      <c r="O5362" s="132"/>
    </row>
    <row r="5363" spans="2:15" ht="26.25" customHeight="1" x14ac:dyDescent="0.25">
      <c r="B5363" s="130"/>
      <c r="C5363" s="135"/>
      <c r="D5363" s="177"/>
      <c r="E5363" s="178"/>
      <c r="F5363" s="178"/>
      <c r="G5363" s="340"/>
      <c r="H5363" s="340"/>
      <c r="I5363" s="179"/>
      <c r="J5363" s="344"/>
      <c r="K5363" s="345"/>
      <c r="L5363" s="346"/>
      <c r="M5363" s="347"/>
      <c r="N5363" s="347"/>
      <c r="O5363" s="132"/>
    </row>
    <row r="5364" spans="2:15" ht="26.25" customHeight="1" x14ac:dyDescent="0.25">
      <c r="B5364" s="130"/>
      <c r="C5364" s="135"/>
      <c r="D5364" s="177"/>
      <c r="E5364" s="178"/>
      <c r="F5364" s="178"/>
      <c r="G5364" s="340"/>
      <c r="H5364" s="340"/>
      <c r="I5364" s="179"/>
      <c r="J5364" s="344"/>
      <c r="K5364" s="345"/>
      <c r="L5364" s="346"/>
      <c r="M5364" s="347"/>
      <c r="N5364" s="347"/>
      <c r="O5364" s="132"/>
    </row>
    <row r="5365" spans="2:15" ht="26.25" customHeight="1" x14ac:dyDescent="0.25">
      <c r="B5365" s="130"/>
      <c r="C5365" s="135"/>
      <c r="D5365" s="177"/>
      <c r="E5365" s="178"/>
      <c r="F5365" s="178"/>
      <c r="G5365" s="340"/>
      <c r="H5365" s="340"/>
      <c r="I5365" s="179"/>
      <c r="J5365" s="344"/>
      <c r="K5365" s="345"/>
      <c r="L5365" s="346"/>
      <c r="M5365" s="347"/>
      <c r="N5365" s="347"/>
      <c r="O5365" s="132"/>
    </row>
    <row r="5366" spans="2:15" ht="26.25" customHeight="1" x14ac:dyDescent="0.25">
      <c r="B5366" s="130"/>
      <c r="C5366" s="135"/>
      <c r="D5366" s="177"/>
      <c r="E5366" s="178"/>
      <c r="F5366" s="178"/>
      <c r="G5366" s="340"/>
      <c r="H5366" s="340"/>
      <c r="I5366" s="179"/>
      <c r="J5366" s="344"/>
      <c r="K5366" s="345"/>
      <c r="L5366" s="346"/>
      <c r="M5366" s="347"/>
      <c r="N5366" s="347"/>
      <c r="O5366" s="132"/>
    </row>
    <row r="5367" spans="2:15" ht="26.25" customHeight="1" x14ac:dyDescent="0.25">
      <c r="B5367" s="130"/>
      <c r="C5367" s="135"/>
      <c r="D5367" s="177"/>
      <c r="E5367" s="178"/>
      <c r="F5367" s="178"/>
      <c r="G5367" s="340"/>
      <c r="H5367" s="340"/>
      <c r="I5367" s="179"/>
      <c r="J5367" s="344"/>
      <c r="K5367" s="345"/>
      <c r="L5367" s="346"/>
      <c r="M5367" s="347"/>
      <c r="N5367" s="347"/>
      <c r="O5367" s="132"/>
    </row>
    <row r="5368" spans="2:15" ht="26.25" customHeight="1" x14ac:dyDescent="0.25">
      <c r="B5368" s="130"/>
      <c r="C5368" s="135"/>
      <c r="D5368" s="177"/>
      <c r="E5368" s="178"/>
      <c r="F5368" s="178"/>
      <c r="G5368" s="340"/>
      <c r="H5368" s="340"/>
      <c r="I5368" s="179"/>
      <c r="J5368" s="344"/>
      <c r="K5368" s="345"/>
      <c r="L5368" s="346"/>
      <c r="M5368" s="347"/>
      <c r="N5368" s="347"/>
      <c r="O5368" s="132"/>
    </row>
    <row r="5369" spans="2:15" ht="26.25" customHeight="1" x14ac:dyDescent="0.25">
      <c r="B5369" s="130"/>
      <c r="C5369" s="135"/>
      <c r="D5369" s="177"/>
      <c r="E5369" s="178"/>
      <c r="F5369" s="178"/>
      <c r="G5369" s="340"/>
      <c r="H5369" s="340"/>
      <c r="I5369" s="179"/>
      <c r="J5369" s="344"/>
      <c r="K5369" s="345"/>
      <c r="L5369" s="346"/>
      <c r="M5369" s="347"/>
      <c r="N5369" s="347"/>
      <c r="O5369" s="132"/>
    </row>
    <row r="5370" spans="2:15" ht="26.25" customHeight="1" x14ac:dyDescent="0.25">
      <c r="B5370" s="130"/>
      <c r="C5370" s="135"/>
      <c r="D5370" s="177"/>
      <c r="E5370" s="178"/>
      <c r="F5370" s="178"/>
      <c r="G5370" s="340"/>
      <c r="H5370" s="340"/>
      <c r="I5370" s="179"/>
      <c r="J5370" s="344"/>
      <c r="K5370" s="345"/>
      <c r="L5370" s="346"/>
      <c r="M5370" s="347"/>
      <c r="N5370" s="347"/>
      <c r="O5370" s="132"/>
    </row>
    <row r="5371" spans="2:15" ht="26.25" customHeight="1" x14ac:dyDescent="0.25">
      <c r="B5371" s="130"/>
      <c r="C5371" s="135"/>
      <c r="D5371" s="177"/>
      <c r="E5371" s="178"/>
      <c r="F5371" s="178"/>
      <c r="G5371" s="340"/>
      <c r="H5371" s="340"/>
      <c r="I5371" s="179"/>
      <c r="J5371" s="344"/>
      <c r="K5371" s="345"/>
      <c r="L5371" s="346"/>
      <c r="M5371" s="347"/>
      <c r="N5371" s="347"/>
      <c r="O5371" s="132"/>
    </row>
    <row r="5372" spans="2:15" ht="26.25" customHeight="1" x14ac:dyDescent="0.25">
      <c r="B5372" s="130"/>
      <c r="C5372" s="135"/>
      <c r="D5372" s="177"/>
      <c r="E5372" s="178"/>
      <c r="F5372" s="178"/>
      <c r="G5372" s="340"/>
      <c r="H5372" s="340"/>
      <c r="I5372" s="179"/>
      <c r="J5372" s="344"/>
      <c r="K5372" s="345"/>
      <c r="L5372" s="346"/>
      <c r="M5372" s="347"/>
      <c r="N5372" s="347"/>
      <c r="O5372" s="132"/>
    </row>
    <row r="5373" spans="2:15" ht="26.25" customHeight="1" x14ac:dyDescent="0.25">
      <c r="B5373" s="130"/>
      <c r="C5373" s="135"/>
      <c r="D5373" s="177"/>
      <c r="E5373" s="178"/>
      <c r="F5373" s="178"/>
      <c r="G5373" s="340"/>
      <c r="H5373" s="340"/>
      <c r="I5373" s="179"/>
      <c r="J5373" s="344"/>
      <c r="K5373" s="345"/>
      <c r="L5373" s="346"/>
      <c r="M5373" s="347"/>
      <c r="N5373" s="347"/>
      <c r="O5373" s="132"/>
    </row>
    <row r="5374" spans="2:15" ht="26.25" customHeight="1" x14ac:dyDescent="0.25">
      <c r="B5374" s="130"/>
      <c r="C5374" s="135"/>
      <c r="D5374" s="177"/>
      <c r="E5374" s="178"/>
      <c r="F5374" s="178"/>
      <c r="G5374" s="340"/>
      <c r="H5374" s="340"/>
      <c r="I5374" s="179"/>
      <c r="J5374" s="344"/>
      <c r="K5374" s="345"/>
      <c r="L5374" s="346"/>
      <c r="M5374" s="347"/>
      <c r="N5374" s="347"/>
      <c r="O5374" s="132"/>
    </row>
    <row r="5375" spans="2:15" ht="26.25" customHeight="1" x14ac:dyDescent="0.25">
      <c r="B5375" s="130"/>
      <c r="C5375" s="135"/>
      <c r="D5375" s="177"/>
      <c r="E5375" s="178"/>
      <c r="F5375" s="178"/>
      <c r="G5375" s="340"/>
      <c r="H5375" s="340"/>
      <c r="I5375" s="179"/>
      <c r="J5375" s="344"/>
      <c r="K5375" s="345"/>
      <c r="L5375" s="346"/>
      <c r="M5375" s="347"/>
      <c r="N5375" s="347"/>
      <c r="O5375" s="132"/>
    </row>
    <row r="5376" spans="2:15" ht="26.25" customHeight="1" x14ac:dyDescent="0.25">
      <c r="B5376" s="130"/>
      <c r="C5376" s="135"/>
      <c r="D5376" s="177"/>
      <c r="E5376" s="178"/>
      <c r="F5376" s="178"/>
      <c r="G5376" s="340"/>
      <c r="H5376" s="340"/>
      <c r="I5376" s="179"/>
      <c r="J5376" s="344"/>
      <c r="K5376" s="345"/>
      <c r="L5376" s="346"/>
      <c r="M5376" s="347"/>
      <c r="N5376" s="347"/>
      <c r="O5376" s="132"/>
    </row>
    <row r="5377" spans="2:15" ht="26.25" customHeight="1" x14ac:dyDescent="0.25">
      <c r="B5377" s="130"/>
      <c r="C5377" s="135"/>
      <c r="D5377" s="177"/>
      <c r="E5377" s="178"/>
      <c r="F5377" s="178"/>
      <c r="G5377" s="340"/>
      <c r="H5377" s="340"/>
      <c r="I5377" s="179"/>
      <c r="J5377" s="344"/>
      <c r="K5377" s="345"/>
      <c r="L5377" s="346"/>
      <c r="M5377" s="347"/>
      <c r="N5377" s="347"/>
      <c r="O5377" s="132"/>
    </row>
    <row r="5378" spans="2:15" ht="26.25" customHeight="1" x14ac:dyDescent="0.25">
      <c r="B5378" s="130"/>
      <c r="C5378" s="135"/>
      <c r="D5378" s="177"/>
      <c r="E5378" s="178"/>
      <c r="F5378" s="178"/>
      <c r="G5378" s="340"/>
      <c r="H5378" s="340"/>
      <c r="I5378" s="179"/>
      <c r="J5378" s="344"/>
      <c r="K5378" s="345"/>
      <c r="L5378" s="346"/>
      <c r="M5378" s="347"/>
      <c r="N5378" s="347"/>
      <c r="O5378" s="132"/>
    </row>
    <row r="5379" spans="2:15" ht="26.25" customHeight="1" x14ac:dyDescent="0.25">
      <c r="B5379" s="130"/>
      <c r="C5379" s="135"/>
      <c r="D5379" s="177"/>
      <c r="E5379" s="178"/>
      <c r="F5379" s="178"/>
      <c r="G5379" s="340"/>
      <c r="H5379" s="340"/>
      <c r="I5379" s="179"/>
      <c r="J5379" s="344"/>
      <c r="K5379" s="345"/>
      <c r="L5379" s="346"/>
      <c r="M5379" s="347"/>
      <c r="N5379" s="347"/>
      <c r="O5379" s="132"/>
    </row>
    <row r="5380" spans="2:15" ht="26.25" customHeight="1" x14ac:dyDescent="0.25">
      <c r="B5380" s="130"/>
      <c r="C5380" s="135"/>
      <c r="D5380" s="177"/>
      <c r="E5380" s="178"/>
      <c r="F5380" s="178"/>
      <c r="G5380" s="340"/>
      <c r="H5380" s="340"/>
      <c r="I5380" s="179"/>
      <c r="J5380" s="344"/>
      <c r="K5380" s="345"/>
      <c r="L5380" s="346"/>
      <c r="M5380" s="347"/>
      <c r="N5380" s="347"/>
      <c r="O5380" s="132"/>
    </row>
    <row r="5381" spans="2:15" ht="26.25" customHeight="1" x14ac:dyDescent="0.25">
      <c r="B5381" s="130"/>
      <c r="C5381" s="135"/>
      <c r="D5381" s="177"/>
      <c r="E5381" s="178"/>
      <c r="F5381" s="178"/>
      <c r="G5381" s="340"/>
      <c r="H5381" s="340"/>
      <c r="I5381" s="179"/>
      <c r="J5381" s="344"/>
      <c r="K5381" s="345"/>
      <c r="L5381" s="346"/>
      <c r="M5381" s="347"/>
      <c r="N5381" s="347"/>
      <c r="O5381" s="132"/>
    </row>
    <row r="5382" spans="2:15" ht="26.25" customHeight="1" x14ac:dyDescent="0.25">
      <c r="B5382" s="130"/>
      <c r="C5382" s="135"/>
      <c r="D5382" s="177"/>
      <c r="E5382" s="178"/>
      <c r="F5382" s="178"/>
      <c r="G5382" s="340"/>
      <c r="H5382" s="340"/>
      <c r="I5382" s="179"/>
      <c r="J5382" s="344"/>
      <c r="K5382" s="345"/>
      <c r="L5382" s="346"/>
      <c r="M5382" s="347"/>
      <c r="N5382" s="347"/>
      <c r="O5382" s="132"/>
    </row>
    <row r="5383" spans="2:15" ht="26.25" customHeight="1" x14ac:dyDescent="0.25">
      <c r="B5383" s="130"/>
      <c r="C5383" s="135"/>
      <c r="D5383" s="177"/>
      <c r="E5383" s="178"/>
      <c r="F5383" s="178"/>
      <c r="G5383" s="340"/>
      <c r="H5383" s="340"/>
      <c r="I5383" s="179"/>
      <c r="J5383" s="344"/>
      <c r="K5383" s="345"/>
      <c r="L5383" s="346"/>
      <c r="M5383" s="347"/>
      <c r="N5383" s="347"/>
      <c r="O5383" s="132"/>
    </row>
    <row r="5384" spans="2:15" ht="26.25" customHeight="1" x14ac:dyDescent="0.25">
      <c r="B5384" s="130"/>
      <c r="C5384" s="135"/>
      <c r="D5384" s="177"/>
      <c r="E5384" s="178"/>
      <c r="F5384" s="178"/>
      <c r="G5384" s="340"/>
      <c r="H5384" s="340"/>
      <c r="I5384" s="179"/>
      <c r="J5384" s="344"/>
      <c r="K5384" s="345"/>
      <c r="L5384" s="346"/>
      <c r="M5384" s="347"/>
      <c r="N5384" s="347"/>
      <c r="O5384" s="132"/>
    </row>
    <row r="5385" spans="2:15" ht="26.25" customHeight="1" x14ac:dyDescent="0.25">
      <c r="B5385" s="130"/>
      <c r="C5385" s="135"/>
      <c r="D5385" s="177"/>
      <c r="E5385" s="178"/>
      <c r="F5385" s="178"/>
      <c r="G5385" s="340"/>
      <c r="H5385" s="340"/>
      <c r="I5385" s="179"/>
      <c r="J5385" s="344"/>
      <c r="K5385" s="345"/>
      <c r="L5385" s="346"/>
      <c r="M5385" s="347"/>
      <c r="N5385" s="347"/>
      <c r="O5385" s="132"/>
    </row>
    <row r="5386" spans="2:15" ht="26.25" customHeight="1" x14ac:dyDescent="0.25">
      <c r="B5386" s="130"/>
      <c r="C5386" s="135"/>
      <c r="D5386" s="177"/>
      <c r="E5386" s="178"/>
      <c r="F5386" s="178"/>
      <c r="G5386" s="340"/>
      <c r="H5386" s="340"/>
      <c r="I5386" s="179"/>
      <c r="J5386" s="344"/>
      <c r="K5386" s="345"/>
      <c r="L5386" s="346"/>
      <c r="M5386" s="347"/>
      <c r="N5386" s="347"/>
      <c r="O5386" s="132"/>
    </row>
    <row r="5387" spans="2:15" ht="26.25" customHeight="1" x14ac:dyDescent="0.25">
      <c r="B5387" s="130"/>
      <c r="C5387" s="135"/>
      <c r="D5387" s="177"/>
      <c r="E5387" s="178"/>
      <c r="F5387" s="178"/>
      <c r="G5387" s="340"/>
      <c r="H5387" s="340"/>
      <c r="I5387" s="179"/>
      <c r="J5387" s="344"/>
      <c r="K5387" s="345"/>
      <c r="L5387" s="346"/>
      <c r="M5387" s="347"/>
      <c r="N5387" s="347"/>
      <c r="O5387" s="132"/>
    </row>
    <row r="5388" spans="2:15" ht="26.25" customHeight="1" x14ac:dyDescent="0.25">
      <c r="B5388" s="130"/>
      <c r="C5388" s="135"/>
      <c r="D5388" s="177"/>
      <c r="E5388" s="178"/>
      <c r="F5388" s="178"/>
      <c r="G5388" s="340"/>
      <c r="H5388" s="340"/>
      <c r="I5388" s="179"/>
      <c r="J5388" s="344"/>
      <c r="K5388" s="345"/>
      <c r="L5388" s="346"/>
      <c r="M5388" s="347"/>
      <c r="N5388" s="347"/>
      <c r="O5388" s="132"/>
    </row>
    <row r="5389" spans="2:15" ht="26.25" customHeight="1" x14ac:dyDescent="0.25">
      <c r="B5389" s="130"/>
      <c r="C5389" s="135"/>
      <c r="D5389" s="177"/>
      <c r="E5389" s="178"/>
      <c r="F5389" s="178"/>
      <c r="G5389" s="340"/>
      <c r="H5389" s="340"/>
      <c r="I5389" s="179"/>
      <c r="J5389" s="344"/>
      <c r="K5389" s="345"/>
      <c r="L5389" s="346"/>
      <c r="M5389" s="347"/>
      <c r="N5389" s="347"/>
      <c r="O5389" s="132"/>
    </row>
    <row r="5390" spans="2:15" ht="26.25" customHeight="1" x14ac:dyDescent="0.25">
      <c r="B5390" s="130"/>
      <c r="C5390" s="135"/>
      <c r="D5390" s="177"/>
      <c r="E5390" s="178"/>
      <c r="F5390" s="178"/>
      <c r="G5390" s="340"/>
      <c r="H5390" s="340"/>
      <c r="I5390" s="179"/>
      <c r="J5390" s="344"/>
      <c r="K5390" s="345"/>
      <c r="L5390" s="346"/>
      <c r="M5390" s="347"/>
      <c r="N5390" s="347"/>
      <c r="O5390" s="132"/>
    </row>
    <row r="5391" spans="2:15" ht="26.25" customHeight="1" x14ac:dyDescent="0.25">
      <c r="B5391" s="130"/>
      <c r="C5391" s="135"/>
      <c r="D5391" s="177"/>
      <c r="E5391" s="178"/>
      <c r="F5391" s="178"/>
      <c r="G5391" s="340"/>
      <c r="H5391" s="340"/>
      <c r="I5391" s="179"/>
      <c r="J5391" s="344"/>
      <c r="K5391" s="345"/>
      <c r="L5391" s="346"/>
      <c r="M5391" s="347"/>
      <c r="N5391" s="347"/>
      <c r="O5391" s="132"/>
    </row>
    <row r="5392" spans="2:15" ht="26.25" customHeight="1" x14ac:dyDescent="0.25">
      <c r="B5392" s="130"/>
      <c r="C5392" s="135"/>
      <c r="D5392" s="177"/>
      <c r="E5392" s="178"/>
      <c r="F5392" s="178"/>
      <c r="G5392" s="340"/>
      <c r="H5392" s="340"/>
      <c r="I5392" s="179"/>
      <c r="J5392" s="344"/>
      <c r="K5392" s="345"/>
      <c r="L5392" s="346"/>
      <c r="M5392" s="347"/>
      <c r="N5392" s="347"/>
      <c r="O5392" s="132"/>
    </row>
    <row r="5393" spans="2:15" ht="26.25" customHeight="1" x14ac:dyDescent="0.25">
      <c r="B5393" s="130"/>
      <c r="C5393" s="135"/>
      <c r="D5393" s="177"/>
      <c r="E5393" s="178"/>
      <c r="F5393" s="178"/>
      <c r="G5393" s="340"/>
      <c r="H5393" s="340"/>
      <c r="I5393" s="179"/>
      <c r="J5393" s="344"/>
      <c r="K5393" s="345"/>
      <c r="L5393" s="346"/>
      <c r="M5393" s="347"/>
      <c r="N5393" s="347"/>
      <c r="O5393" s="132"/>
    </row>
    <row r="5394" spans="2:15" ht="26.25" customHeight="1" x14ac:dyDescent="0.25">
      <c r="B5394" s="130"/>
      <c r="C5394" s="135"/>
      <c r="D5394" s="177"/>
      <c r="E5394" s="178"/>
      <c r="F5394" s="178"/>
      <c r="G5394" s="340"/>
      <c r="H5394" s="340"/>
      <c r="I5394" s="179"/>
      <c r="J5394" s="344"/>
      <c r="K5394" s="345"/>
      <c r="L5394" s="346"/>
      <c r="M5394" s="347"/>
      <c r="N5394" s="347"/>
      <c r="O5394" s="132"/>
    </row>
    <row r="5395" spans="2:15" ht="26.25" customHeight="1" x14ac:dyDescent="0.25">
      <c r="B5395" s="130"/>
      <c r="C5395" s="135"/>
      <c r="D5395" s="177"/>
      <c r="E5395" s="178"/>
      <c r="F5395" s="178"/>
      <c r="G5395" s="340"/>
      <c r="H5395" s="340"/>
      <c r="I5395" s="179"/>
      <c r="J5395" s="344"/>
      <c r="K5395" s="345"/>
      <c r="L5395" s="346"/>
      <c r="M5395" s="347"/>
      <c r="N5395" s="347"/>
      <c r="O5395" s="132"/>
    </row>
    <row r="5396" spans="2:15" ht="26.25" customHeight="1" x14ac:dyDescent="0.25">
      <c r="B5396" s="130"/>
      <c r="C5396" s="135"/>
      <c r="D5396" s="177"/>
      <c r="E5396" s="178"/>
      <c r="F5396" s="178"/>
      <c r="G5396" s="340"/>
      <c r="H5396" s="340"/>
      <c r="I5396" s="179"/>
      <c r="J5396" s="344"/>
      <c r="K5396" s="345"/>
      <c r="L5396" s="346"/>
      <c r="M5396" s="347"/>
      <c r="N5396" s="347"/>
      <c r="O5396" s="132"/>
    </row>
    <row r="5397" spans="2:15" ht="26.25" customHeight="1" x14ac:dyDescent="0.25">
      <c r="B5397" s="130"/>
      <c r="C5397" s="135"/>
      <c r="D5397" s="177"/>
      <c r="E5397" s="178"/>
      <c r="F5397" s="178"/>
      <c r="G5397" s="340"/>
      <c r="H5397" s="340"/>
      <c r="I5397" s="179"/>
      <c r="J5397" s="344"/>
      <c r="K5397" s="345"/>
      <c r="L5397" s="346"/>
      <c r="M5397" s="347"/>
      <c r="N5397" s="347"/>
      <c r="O5397" s="132"/>
    </row>
    <row r="5398" spans="2:15" ht="26.25" customHeight="1" x14ac:dyDescent="0.25">
      <c r="B5398" s="130"/>
      <c r="C5398" s="135"/>
      <c r="D5398" s="177"/>
      <c r="E5398" s="178"/>
      <c r="F5398" s="178"/>
      <c r="G5398" s="340"/>
      <c r="H5398" s="340"/>
      <c r="I5398" s="179"/>
      <c r="J5398" s="344"/>
      <c r="K5398" s="345"/>
      <c r="L5398" s="346"/>
      <c r="M5398" s="347"/>
      <c r="N5398" s="347"/>
      <c r="O5398" s="132"/>
    </row>
    <row r="5399" spans="2:15" ht="26.25" customHeight="1" x14ac:dyDescent="0.25">
      <c r="B5399" s="130"/>
      <c r="C5399" s="135"/>
      <c r="D5399" s="177"/>
      <c r="E5399" s="178"/>
      <c r="F5399" s="178"/>
      <c r="G5399" s="340"/>
      <c r="H5399" s="340"/>
      <c r="I5399" s="179"/>
      <c r="J5399" s="344"/>
      <c r="K5399" s="345"/>
      <c r="L5399" s="346"/>
      <c r="M5399" s="347"/>
      <c r="N5399" s="347"/>
      <c r="O5399" s="132"/>
    </row>
    <row r="5400" spans="2:15" ht="26.25" customHeight="1" x14ac:dyDescent="0.25">
      <c r="B5400" s="130"/>
      <c r="C5400" s="135"/>
      <c r="D5400" s="177"/>
      <c r="E5400" s="178"/>
      <c r="F5400" s="178"/>
      <c r="G5400" s="340"/>
      <c r="H5400" s="340"/>
      <c r="I5400" s="179"/>
      <c r="J5400" s="344"/>
      <c r="K5400" s="345"/>
      <c r="L5400" s="346"/>
      <c r="M5400" s="347"/>
      <c r="N5400" s="347"/>
      <c r="O5400" s="132"/>
    </row>
    <row r="5401" spans="2:15" ht="26.25" customHeight="1" x14ac:dyDescent="0.25">
      <c r="B5401" s="130"/>
      <c r="C5401" s="135"/>
      <c r="D5401" s="177"/>
      <c r="E5401" s="178"/>
      <c r="F5401" s="178"/>
      <c r="G5401" s="340"/>
      <c r="H5401" s="340"/>
      <c r="I5401" s="179"/>
      <c r="J5401" s="344"/>
      <c r="K5401" s="345"/>
      <c r="L5401" s="346"/>
      <c r="M5401" s="347"/>
      <c r="N5401" s="347"/>
      <c r="O5401" s="132"/>
    </row>
    <row r="5402" spans="2:15" ht="26.25" customHeight="1" x14ac:dyDescent="0.25">
      <c r="B5402" s="130"/>
      <c r="C5402" s="135"/>
      <c r="D5402" s="177"/>
      <c r="E5402" s="178"/>
      <c r="F5402" s="178"/>
      <c r="G5402" s="340"/>
      <c r="H5402" s="340"/>
      <c r="I5402" s="179"/>
      <c r="J5402" s="344"/>
      <c r="K5402" s="345"/>
      <c r="L5402" s="346"/>
      <c r="M5402" s="347"/>
      <c r="N5402" s="347"/>
      <c r="O5402" s="132"/>
    </row>
    <row r="5403" spans="2:15" ht="26.25" customHeight="1" x14ac:dyDescent="0.25">
      <c r="B5403" s="130"/>
      <c r="C5403" s="135"/>
      <c r="D5403" s="177"/>
      <c r="E5403" s="178"/>
      <c r="F5403" s="178"/>
      <c r="G5403" s="340"/>
      <c r="H5403" s="340"/>
      <c r="I5403" s="179"/>
      <c r="J5403" s="344"/>
      <c r="K5403" s="345"/>
      <c r="L5403" s="346"/>
      <c r="M5403" s="347"/>
      <c r="N5403" s="347"/>
      <c r="O5403" s="132"/>
    </row>
    <row r="5404" spans="2:15" ht="26.25" customHeight="1" x14ac:dyDescent="0.25">
      <c r="B5404" s="130"/>
      <c r="C5404" s="135"/>
      <c r="D5404" s="177"/>
      <c r="E5404" s="178"/>
      <c r="F5404" s="178"/>
      <c r="G5404" s="340"/>
      <c r="H5404" s="340"/>
      <c r="I5404" s="179"/>
      <c r="J5404" s="344"/>
      <c r="K5404" s="345"/>
      <c r="L5404" s="346"/>
      <c r="M5404" s="347"/>
      <c r="N5404" s="347"/>
      <c r="O5404" s="132"/>
    </row>
    <row r="5405" spans="2:15" ht="26.25" customHeight="1" x14ac:dyDescent="0.25">
      <c r="B5405" s="130"/>
      <c r="C5405" s="135"/>
      <c r="D5405" s="177"/>
      <c r="E5405" s="178"/>
      <c r="F5405" s="178"/>
      <c r="G5405" s="340"/>
      <c r="H5405" s="340"/>
      <c r="I5405" s="179"/>
      <c r="J5405" s="344"/>
      <c r="K5405" s="345"/>
      <c r="L5405" s="346"/>
      <c r="M5405" s="347"/>
      <c r="N5405" s="347"/>
      <c r="O5405" s="132"/>
    </row>
    <row r="5406" spans="2:15" ht="26.25" customHeight="1" x14ac:dyDescent="0.25">
      <c r="B5406" s="130"/>
      <c r="C5406" s="135"/>
      <c r="D5406" s="177"/>
      <c r="E5406" s="178"/>
      <c r="F5406" s="178"/>
      <c r="G5406" s="340"/>
      <c r="H5406" s="340"/>
      <c r="I5406" s="179"/>
      <c r="J5406" s="344"/>
      <c r="K5406" s="345"/>
      <c r="L5406" s="346"/>
      <c r="M5406" s="347"/>
      <c r="N5406" s="347"/>
      <c r="O5406" s="132"/>
    </row>
    <row r="5407" spans="2:15" ht="26.25" customHeight="1" x14ac:dyDescent="0.25">
      <c r="B5407" s="130"/>
      <c r="C5407" s="135"/>
      <c r="D5407" s="177"/>
      <c r="E5407" s="178"/>
      <c r="F5407" s="178"/>
      <c r="G5407" s="340"/>
      <c r="H5407" s="340"/>
      <c r="I5407" s="179"/>
      <c r="J5407" s="344"/>
      <c r="K5407" s="345"/>
      <c r="L5407" s="346"/>
      <c r="M5407" s="347"/>
      <c r="N5407" s="347"/>
      <c r="O5407" s="132"/>
    </row>
    <row r="5408" spans="2:15" ht="26.25" customHeight="1" x14ac:dyDescent="0.25">
      <c r="B5408" s="130"/>
      <c r="C5408" s="135"/>
      <c r="D5408" s="177"/>
      <c r="E5408" s="178"/>
      <c r="F5408" s="178"/>
      <c r="G5408" s="340"/>
      <c r="H5408" s="340"/>
      <c r="I5408" s="179"/>
      <c r="J5408" s="344"/>
      <c r="K5408" s="345"/>
      <c r="L5408" s="346"/>
      <c r="M5408" s="347"/>
      <c r="N5408" s="347"/>
      <c r="O5408" s="132"/>
    </row>
    <row r="5409" spans="2:15" ht="26.25" customHeight="1" x14ac:dyDescent="0.25">
      <c r="B5409" s="130"/>
      <c r="C5409" s="135"/>
      <c r="D5409" s="177"/>
      <c r="E5409" s="178"/>
      <c r="F5409" s="178"/>
      <c r="G5409" s="340"/>
      <c r="H5409" s="340"/>
      <c r="I5409" s="179"/>
      <c r="J5409" s="344"/>
      <c r="K5409" s="345"/>
      <c r="L5409" s="346"/>
      <c r="M5409" s="347"/>
      <c r="N5409" s="347"/>
      <c r="O5409" s="132"/>
    </row>
    <row r="5410" spans="2:15" ht="26.25" customHeight="1" x14ac:dyDescent="0.25">
      <c r="B5410" s="130"/>
      <c r="C5410" s="135"/>
      <c r="D5410" s="177"/>
      <c r="E5410" s="178"/>
      <c r="F5410" s="178"/>
      <c r="G5410" s="340"/>
      <c r="H5410" s="340"/>
      <c r="I5410" s="179"/>
      <c r="J5410" s="344"/>
      <c r="K5410" s="345"/>
      <c r="L5410" s="346"/>
      <c r="M5410" s="347"/>
      <c r="N5410" s="347"/>
      <c r="O5410" s="132"/>
    </row>
    <row r="5411" spans="2:15" ht="26.25" customHeight="1" x14ac:dyDescent="0.25">
      <c r="B5411" s="130"/>
      <c r="C5411" s="135"/>
      <c r="D5411" s="177"/>
      <c r="E5411" s="178"/>
      <c r="F5411" s="178"/>
      <c r="G5411" s="340"/>
      <c r="H5411" s="340"/>
      <c r="I5411" s="179"/>
      <c r="J5411" s="344"/>
      <c r="K5411" s="345"/>
      <c r="L5411" s="346"/>
      <c r="M5411" s="347"/>
      <c r="N5411" s="347"/>
      <c r="O5411" s="132"/>
    </row>
    <row r="5412" spans="2:15" ht="26.25" customHeight="1" x14ac:dyDescent="0.25">
      <c r="B5412" s="130"/>
      <c r="C5412" s="135"/>
      <c r="D5412" s="177"/>
      <c r="E5412" s="178"/>
      <c r="F5412" s="178"/>
      <c r="G5412" s="340"/>
      <c r="H5412" s="340"/>
      <c r="I5412" s="179"/>
      <c r="J5412" s="344"/>
      <c r="K5412" s="345"/>
      <c r="L5412" s="346"/>
      <c r="M5412" s="347"/>
      <c r="N5412" s="347"/>
      <c r="O5412" s="132"/>
    </row>
    <row r="5413" spans="2:15" ht="26.25" customHeight="1" x14ac:dyDescent="0.25">
      <c r="B5413" s="130"/>
      <c r="C5413" s="135"/>
      <c r="D5413" s="177"/>
      <c r="E5413" s="178"/>
      <c r="F5413" s="178"/>
      <c r="G5413" s="340"/>
      <c r="H5413" s="340"/>
      <c r="I5413" s="179"/>
      <c r="J5413" s="344"/>
      <c r="K5413" s="345"/>
      <c r="L5413" s="346"/>
      <c r="M5413" s="347"/>
      <c r="N5413" s="347"/>
      <c r="O5413" s="132"/>
    </row>
    <row r="5414" spans="2:15" ht="26.25" customHeight="1" x14ac:dyDescent="0.25">
      <c r="B5414" s="130"/>
      <c r="C5414" s="135"/>
      <c r="D5414" s="177"/>
      <c r="E5414" s="178"/>
      <c r="F5414" s="178"/>
      <c r="G5414" s="340"/>
      <c r="H5414" s="340"/>
      <c r="I5414" s="179"/>
      <c r="J5414" s="344"/>
      <c r="K5414" s="345"/>
      <c r="L5414" s="346"/>
      <c r="M5414" s="347"/>
      <c r="N5414" s="347"/>
      <c r="O5414" s="132"/>
    </row>
    <row r="5415" spans="2:15" ht="26.25" customHeight="1" x14ac:dyDescent="0.25">
      <c r="B5415" s="130"/>
      <c r="C5415" s="135"/>
      <c r="D5415" s="177"/>
      <c r="E5415" s="178"/>
      <c r="F5415" s="178"/>
      <c r="G5415" s="340"/>
      <c r="H5415" s="340"/>
      <c r="I5415" s="179"/>
      <c r="J5415" s="344"/>
      <c r="K5415" s="345"/>
      <c r="L5415" s="346"/>
      <c r="M5415" s="347"/>
      <c r="N5415" s="347"/>
      <c r="O5415" s="132"/>
    </row>
    <row r="5416" spans="2:15" ht="26.25" customHeight="1" x14ac:dyDescent="0.25">
      <c r="B5416" s="130"/>
      <c r="C5416" s="135"/>
      <c r="D5416" s="177"/>
      <c r="E5416" s="178"/>
      <c r="F5416" s="178"/>
      <c r="G5416" s="340"/>
      <c r="H5416" s="340"/>
      <c r="I5416" s="179"/>
      <c r="J5416" s="344"/>
      <c r="K5416" s="345"/>
      <c r="L5416" s="346"/>
      <c r="M5416" s="347"/>
      <c r="N5416" s="347"/>
      <c r="O5416" s="132"/>
    </row>
    <row r="5417" spans="2:15" ht="26.25" customHeight="1" x14ac:dyDescent="0.25">
      <c r="B5417" s="130"/>
      <c r="C5417" s="135"/>
      <c r="D5417" s="177"/>
      <c r="E5417" s="178"/>
      <c r="F5417" s="178"/>
      <c r="G5417" s="340"/>
      <c r="H5417" s="340"/>
      <c r="I5417" s="179"/>
      <c r="J5417" s="344"/>
      <c r="K5417" s="345"/>
      <c r="L5417" s="346"/>
      <c r="M5417" s="347"/>
      <c r="N5417" s="347"/>
      <c r="O5417" s="132"/>
    </row>
    <row r="5418" spans="2:15" ht="26.25" customHeight="1" x14ac:dyDescent="0.25">
      <c r="B5418" s="130"/>
      <c r="C5418" s="135"/>
      <c r="D5418" s="177"/>
      <c r="E5418" s="178"/>
      <c r="F5418" s="178"/>
      <c r="G5418" s="340"/>
      <c r="H5418" s="340"/>
      <c r="I5418" s="179"/>
      <c r="J5418" s="344"/>
      <c r="K5418" s="345"/>
      <c r="L5418" s="346"/>
      <c r="M5418" s="347"/>
      <c r="N5418" s="347"/>
      <c r="O5418" s="132"/>
    </row>
    <row r="5419" spans="2:15" ht="26.25" customHeight="1" x14ac:dyDescent="0.25">
      <c r="B5419" s="130"/>
      <c r="C5419" s="135"/>
      <c r="D5419" s="177"/>
      <c r="E5419" s="178"/>
      <c r="F5419" s="178"/>
      <c r="G5419" s="340"/>
      <c r="H5419" s="340"/>
      <c r="I5419" s="179"/>
      <c r="J5419" s="344"/>
      <c r="K5419" s="345"/>
      <c r="L5419" s="346"/>
      <c r="M5419" s="347"/>
      <c r="N5419" s="347"/>
      <c r="O5419" s="132"/>
    </row>
    <row r="5420" spans="2:15" ht="26.25" customHeight="1" x14ac:dyDescent="0.25">
      <c r="B5420" s="130"/>
      <c r="C5420" s="135"/>
      <c r="D5420" s="177"/>
      <c r="E5420" s="178"/>
      <c r="F5420" s="178"/>
      <c r="G5420" s="340"/>
      <c r="H5420" s="340"/>
      <c r="I5420" s="179"/>
      <c r="J5420" s="344"/>
      <c r="K5420" s="345"/>
      <c r="L5420" s="346"/>
      <c r="M5420" s="347"/>
      <c r="N5420" s="347"/>
      <c r="O5420" s="132"/>
    </row>
    <row r="5421" spans="2:15" ht="26.25" customHeight="1" x14ac:dyDescent="0.25">
      <c r="B5421" s="130"/>
      <c r="C5421" s="135"/>
      <c r="D5421" s="177"/>
      <c r="E5421" s="178"/>
      <c r="F5421" s="178"/>
      <c r="G5421" s="340"/>
      <c r="H5421" s="340"/>
      <c r="I5421" s="179"/>
      <c r="J5421" s="344"/>
      <c r="K5421" s="345"/>
      <c r="L5421" s="346"/>
      <c r="M5421" s="347"/>
      <c r="N5421" s="347"/>
      <c r="O5421" s="132"/>
    </row>
    <row r="5422" spans="2:15" ht="26.25" customHeight="1" x14ac:dyDescent="0.25">
      <c r="B5422" s="130"/>
      <c r="C5422" s="135"/>
      <c r="D5422" s="177"/>
      <c r="E5422" s="178"/>
      <c r="F5422" s="178"/>
      <c r="G5422" s="340"/>
      <c r="H5422" s="340"/>
      <c r="I5422" s="179"/>
      <c r="J5422" s="344"/>
      <c r="K5422" s="345"/>
      <c r="L5422" s="346"/>
      <c r="M5422" s="347"/>
      <c r="N5422" s="347"/>
      <c r="O5422" s="132"/>
    </row>
    <row r="5423" spans="2:15" ht="26.25" customHeight="1" x14ac:dyDescent="0.25">
      <c r="B5423" s="130"/>
      <c r="C5423" s="135"/>
      <c r="D5423" s="177"/>
      <c r="E5423" s="178"/>
      <c r="F5423" s="178"/>
      <c r="G5423" s="340"/>
      <c r="H5423" s="340"/>
      <c r="I5423" s="179"/>
      <c r="J5423" s="344"/>
      <c r="K5423" s="345"/>
      <c r="L5423" s="346"/>
      <c r="M5423" s="347"/>
      <c r="N5423" s="347"/>
      <c r="O5423" s="132"/>
    </row>
    <row r="5424" spans="2:15" ht="26.25" customHeight="1" x14ac:dyDescent="0.25">
      <c r="B5424" s="130"/>
      <c r="C5424" s="135"/>
      <c r="D5424" s="177"/>
      <c r="E5424" s="178"/>
      <c r="F5424" s="178"/>
      <c r="G5424" s="340"/>
      <c r="H5424" s="340"/>
      <c r="I5424" s="179"/>
      <c r="J5424" s="344"/>
      <c r="K5424" s="345"/>
      <c r="L5424" s="346"/>
      <c r="M5424" s="347"/>
      <c r="N5424" s="347"/>
      <c r="O5424" s="132"/>
    </row>
    <row r="5425" spans="2:15" ht="26.25" customHeight="1" x14ac:dyDescent="0.25">
      <c r="B5425" s="130"/>
      <c r="C5425" s="135"/>
      <c r="D5425" s="177"/>
      <c r="E5425" s="178"/>
      <c r="F5425" s="178"/>
      <c r="G5425" s="340"/>
      <c r="H5425" s="340"/>
      <c r="I5425" s="179"/>
      <c r="J5425" s="344"/>
      <c r="K5425" s="345"/>
      <c r="L5425" s="346"/>
      <c r="M5425" s="347"/>
      <c r="N5425" s="347"/>
      <c r="O5425" s="132"/>
    </row>
    <row r="5426" spans="2:15" ht="26.25" customHeight="1" x14ac:dyDescent="0.25">
      <c r="B5426" s="130"/>
      <c r="C5426" s="135"/>
      <c r="D5426" s="177"/>
      <c r="E5426" s="178"/>
      <c r="F5426" s="178"/>
      <c r="G5426" s="340"/>
      <c r="H5426" s="340"/>
      <c r="I5426" s="179"/>
      <c r="J5426" s="344"/>
      <c r="K5426" s="345"/>
      <c r="L5426" s="346"/>
      <c r="M5426" s="347"/>
      <c r="N5426" s="347"/>
      <c r="O5426" s="132"/>
    </row>
    <row r="5427" spans="2:15" ht="26.25" customHeight="1" x14ac:dyDescent="0.25">
      <c r="B5427" s="130"/>
      <c r="C5427" s="135"/>
      <c r="D5427" s="177"/>
      <c r="E5427" s="178"/>
      <c r="F5427" s="178"/>
      <c r="G5427" s="340"/>
      <c r="H5427" s="340"/>
      <c r="I5427" s="179"/>
      <c r="J5427" s="344"/>
      <c r="K5427" s="345"/>
      <c r="L5427" s="346"/>
      <c r="M5427" s="347"/>
      <c r="N5427" s="347"/>
      <c r="O5427" s="132"/>
    </row>
    <row r="5428" spans="2:15" ht="26.25" customHeight="1" x14ac:dyDescent="0.25">
      <c r="B5428" s="130"/>
      <c r="C5428" s="135"/>
      <c r="D5428" s="177"/>
      <c r="E5428" s="178"/>
      <c r="F5428" s="178"/>
      <c r="G5428" s="340"/>
      <c r="H5428" s="340"/>
      <c r="I5428" s="179"/>
      <c r="J5428" s="344"/>
      <c r="K5428" s="345"/>
      <c r="L5428" s="346"/>
      <c r="M5428" s="347"/>
      <c r="N5428" s="347"/>
      <c r="O5428" s="132"/>
    </row>
    <row r="5429" spans="2:15" ht="26.25" customHeight="1" x14ac:dyDescent="0.25">
      <c r="B5429" s="130"/>
      <c r="C5429" s="135"/>
      <c r="D5429" s="177"/>
      <c r="E5429" s="178"/>
      <c r="F5429" s="178"/>
      <c r="G5429" s="340"/>
      <c r="H5429" s="340"/>
      <c r="I5429" s="179"/>
      <c r="J5429" s="344"/>
      <c r="K5429" s="345"/>
      <c r="L5429" s="346"/>
      <c r="M5429" s="347"/>
      <c r="N5429" s="347"/>
      <c r="O5429" s="132"/>
    </row>
    <row r="5430" spans="2:15" ht="26.25" customHeight="1" x14ac:dyDescent="0.25">
      <c r="B5430" s="130"/>
      <c r="C5430" s="135"/>
      <c r="D5430" s="177"/>
      <c r="E5430" s="178"/>
      <c r="F5430" s="178"/>
      <c r="G5430" s="340"/>
      <c r="H5430" s="340"/>
      <c r="I5430" s="179"/>
      <c r="J5430" s="344"/>
      <c r="K5430" s="345"/>
      <c r="L5430" s="346"/>
      <c r="M5430" s="347"/>
      <c r="N5430" s="347"/>
      <c r="O5430" s="132"/>
    </row>
    <row r="5431" spans="2:15" ht="26.25" customHeight="1" x14ac:dyDescent="0.25">
      <c r="B5431" s="130"/>
      <c r="C5431" s="135"/>
      <c r="D5431" s="177"/>
      <c r="E5431" s="178"/>
      <c r="F5431" s="178"/>
      <c r="G5431" s="340"/>
      <c r="H5431" s="340"/>
      <c r="I5431" s="179"/>
      <c r="J5431" s="344"/>
      <c r="K5431" s="345"/>
      <c r="L5431" s="346"/>
      <c r="M5431" s="347"/>
      <c r="N5431" s="347"/>
      <c r="O5431" s="132"/>
    </row>
    <row r="5432" spans="2:15" ht="26.25" customHeight="1" x14ac:dyDescent="0.25">
      <c r="B5432" s="130"/>
      <c r="C5432" s="135"/>
      <c r="D5432" s="177"/>
      <c r="E5432" s="178"/>
      <c r="F5432" s="178"/>
      <c r="G5432" s="340"/>
      <c r="H5432" s="340"/>
      <c r="I5432" s="179"/>
      <c r="J5432" s="344"/>
      <c r="K5432" s="345"/>
      <c r="L5432" s="346"/>
      <c r="M5432" s="347"/>
      <c r="N5432" s="347"/>
      <c r="O5432" s="132"/>
    </row>
    <row r="5433" spans="2:15" ht="26.25" customHeight="1" x14ac:dyDescent="0.25">
      <c r="B5433" s="130"/>
      <c r="C5433" s="135"/>
      <c r="D5433" s="177"/>
      <c r="E5433" s="178"/>
      <c r="F5433" s="178"/>
      <c r="G5433" s="340"/>
      <c r="H5433" s="340"/>
      <c r="I5433" s="179"/>
      <c r="J5433" s="344"/>
      <c r="K5433" s="345"/>
      <c r="L5433" s="346"/>
      <c r="M5433" s="347"/>
      <c r="N5433" s="347"/>
      <c r="O5433" s="132"/>
    </row>
    <row r="5434" spans="2:15" ht="26.25" customHeight="1" x14ac:dyDescent="0.25">
      <c r="B5434" s="130"/>
      <c r="C5434" s="135"/>
      <c r="D5434" s="177"/>
      <c r="E5434" s="178"/>
      <c r="F5434" s="178"/>
      <c r="G5434" s="340"/>
      <c r="H5434" s="340"/>
      <c r="I5434" s="179"/>
      <c r="J5434" s="344"/>
      <c r="K5434" s="345"/>
      <c r="L5434" s="346"/>
      <c r="M5434" s="347"/>
      <c r="N5434" s="347"/>
      <c r="O5434" s="132"/>
    </row>
    <row r="5435" spans="2:15" ht="26.25" customHeight="1" x14ac:dyDescent="0.25">
      <c r="B5435" s="130"/>
      <c r="C5435" s="135"/>
      <c r="D5435" s="177"/>
      <c r="E5435" s="178"/>
      <c r="F5435" s="178"/>
      <c r="G5435" s="340"/>
      <c r="H5435" s="340"/>
      <c r="I5435" s="179"/>
      <c r="J5435" s="344"/>
      <c r="K5435" s="345"/>
      <c r="L5435" s="346"/>
      <c r="M5435" s="347"/>
      <c r="N5435" s="347"/>
      <c r="O5435" s="132"/>
    </row>
    <row r="5436" spans="2:15" ht="26.25" customHeight="1" x14ac:dyDescent="0.25">
      <c r="B5436" s="130"/>
      <c r="C5436" s="135"/>
      <c r="D5436" s="177"/>
      <c r="E5436" s="178"/>
      <c r="F5436" s="178"/>
      <c r="G5436" s="340"/>
      <c r="H5436" s="340"/>
      <c r="I5436" s="179"/>
      <c r="J5436" s="344"/>
      <c r="K5436" s="345"/>
      <c r="L5436" s="346"/>
      <c r="M5436" s="347"/>
      <c r="N5436" s="347"/>
      <c r="O5436" s="132"/>
    </row>
    <row r="5437" spans="2:15" ht="26.25" customHeight="1" x14ac:dyDescent="0.25">
      <c r="B5437" s="130"/>
      <c r="C5437" s="135"/>
      <c r="D5437" s="177"/>
      <c r="E5437" s="178"/>
      <c r="F5437" s="178"/>
      <c r="G5437" s="340"/>
      <c r="H5437" s="340"/>
      <c r="I5437" s="179"/>
      <c r="J5437" s="344"/>
      <c r="K5437" s="345"/>
      <c r="L5437" s="346"/>
      <c r="M5437" s="347"/>
      <c r="N5437" s="347"/>
      <c r="O5437" s="132"/>
    </row>
    <row r="5438" spans="2:15" ht="26.25" customHeight="1" x14ac:dyDescent="0.25">
      <c r="B5438" s="130"/>
      <c r="C5438" s="135"/>
      <c r="D5438" s="177"/>
      <c r="E5438" s="178"/>
      <c r="F5438" s="178"/>
      <c r="G5438" s="340"/>
      <c r="H5438" s="340"/>
      <c r="I5438" s="179"/>
      <c r="J5438" s="344"/>
      <c r="K5438" s="345"/>
      <c r="L5438" s="346"/>
      <c r="M5438" s="347"/>
      <c r="N5438" s="347"/>
      <c r="O5438" s="132"/>
    </row>
    <row r="5439" spans="2:15" ht="26.25" customHeight="1" x14ac:dyDescent="0.25">
      <c r="B5439" s="130"/>
      <c r="C5439" s="135"/>
      <c r="D5439" s="177"/>
      <c r="E5439" s="178"/>
      <c r="F5439" s="178"/>
      <c r="G5439" s="340"/>
      <c r="H5439" s="340"/>
      <c r="I5439" s="179"/>
      <c r="J5439" s="344"/>
      <c r="K5439" s="345"/>
      <c r="L5439" s="346"/>
      <c r="M5439" s="347"/>
      <c r="N5439" s="347"/>
      <c r="O5439" s="132"/>
    </row>
    <row r="5440" spans="2:15" ht="26.25" customHeight="1" x14ac:dyDescent="0.25">
      <c r="B5440" s="130"/>
      <c r="C5440" s="135"/>
      <c r="D5440" s="177"/>
      <c r="E5440" s="178"/>
      <c r="F5440" s="178"/>
      <c r="G5440" s="340"/>
      <c r="H5440" s="340"/>
      <c r="I5440" s="179"/>
      <c r="J5440" s="344"/>
      <c r="K5440" s="345"/>
      <c r="L5440" s="346"/>
      <c r="M5440" s="347"/>
      <c r="N5440" s="347"/>
      <c r="O5440" s="132"/>
    </row>
    <row r="5441" spans="2:15" ht="26.25" customHeight="1" x14ac:dyDescent="0.25">
      <c r="B5441" s="130"/>
      <c r="C5441" s="135"/>
      <c r="D5441" s="177"/>
      <c r="E5441" s="178"/>
      <c r="F5441" s="178"/>
      <c r="G5441" s="340"/>
      <c r="H5441" s="340"/>
      <c r="I5441" s="179"/>
      <c r="J5441" s="344"/>
      <c r="K5441" s="345"/>
      <c r="L5441" s="346"/>
      <c r="M5441" s="347"/>
      <c r="N5441" s="347"/>
      <c r="O5441" s="132"/>
    </row>
    <row r="5442" spans="2:15" ht="26.25" customHeight="1" x14ac:dyDescent="0.25">
      <c r="B5442" s="130"/>
      <c r="C5442" s="135"/>
      <c r="D5442" s="177"/>
      <c r="E5442" s="178"/>
      <c r="F5442" s="178"/>
      <c r="G5442" s="340"/>
      <c r="H5442" s="340"/>
      <c r="I5442" s="179"/>
      <c r="J5442" s="344"/>
      <c r="K5442" s="345"/>
      <c r="L5442" s="346"/>
      <c r="M5442" s="347"/>
      <c r="N5442" s="347"/>
      <c r="O5442" s="132"/>
    </row>
    <row r="5443" spans="2:15" ht="26.25" customHeight="1" x14ac:dyDescent="0.25">
      <c r="B5443" s="130"/>
      <c r="C5443" s="135"/>
      <c r="D5443" s="177"/>
      <c r="E5443" s="178"/>
      <c r="F5443" s="178"/>
      <c r="G5443" s="340"/>
      <c r="H5443" s="340"/>
      <c r="I5443" s="179"/>
      <c r="J5443" s="344"/>
      <c r="K5443" s="345"/>
      <c r="L5443" s="346"/>
      <c r="M5443" s="347"/>
      <c r="N5443" s="347"/>
      <c r="O5443" s="132"/>
    </row>
    <row r="5444" spans="2:15" ht="26.25" customHeight="1" x14ac:dyDescent="0.25">
      <c r="B5444" s="130"/>
      <c r="C5444" s="135"/>
      <c r="D5444" s="177"/>
      <c r="E5444" s="178"/>
      <c r="F5444" s="178"/>
      <c r="G5444" s="340"/>
      <c r="H5444" s="340"/>
      <c r="I5444" s="179"/>
      <c r="J5444" s="344"/>
      <c r="K5444" s="345"/>
      <c r="L5444" s="346"/>
      <c r="M5444" s="347"/>
      <c r="N5444" s="347"/>
      <c r="O5444" s="132"/>
    </row>
    <row r="5445" spans="2:15" ht="26.25" customHeight="1" x14ac:dyDescent="0.25">
      <c r="B5445" s="130"/>
      <c r="C5445" s="135"/>
      <c r="D5445" s="177"/>
      <c r="E5445" s="178"/>
      <c r="F5445" s="178"/>
      <c r="G5445" s="340"/>
      <c r="H5445" s="340"/>
      <c r="I5445" s="179"/>
      <c r="J5445" s="344"/>
      <c r="K5445" s="345"/>
      <c r="L5445" s="346"/>
      <c r="M5445" s="347"/>
      <c r="N5445" s="347"/>
      <c r="O5445" s="132"/>
    </row>
    <row r="5446" spans="2:15" ht="26.25" customHeight="1" x14ac:dyDescent="0.25">
      <c r="B5446" s="130"/>
      <c r="C5446" s="135"/>
      <c r="D5446" s="177"/>
      <c r="E5446" s="178"/>
      <c r="F5446" s="178"/>
      <c r="G5446" s="340"/>
      <c r="H5446" s="340"/>
      <c r="I5446" s="179"/>
      <c r="J5446" s="344"/>
      <c r="K5446" s="345"/>
      <c r="L5446" s="346"/>
      <c r="M5446" s="347"/>
      <c r="N5446" s="347"/>
      <c r="O5446" s="132"/>
    </row>
    <row r="5447" spans="2:15" ht="26.25" customHeight="1" x14ac:dyDescent="0.25">
      <c r="B5447" s="130"/>
      <c r="C5447" s="135"/>
      <c r="D5447" s="177"/>
      <c r="E5447" s="178"/>
      <c r="F5447" s="178"/>
      <c r="G5447" s="340"/>
      <c r="H5447" s="340"/>
      <c r="I5447" s="179"/>
      <c r="J5447" s="344"/>
      <c r="K5447" s="345"/>
      <c r="L5447" s="346"/>
      <c r="M5447" s="347"/>
      <c r="N5447" s="347"/>
      <c r="O5447" s="132"/>
    </row>
    <row r="5448" spans="2:15" ht="26.25" customHeight="1" x14ac:dyDescent="0.25">
      <c r="B5448" s="130"/>
      <c r="C5448" s="135"/>
      <c r="D5448" s="177"/>
      <c r="E5448" s="178"/>
      <c r="F5448" s="178"/>
      <c r="G5448" s="340"/>
      <c r="H5448" s="340"/>
      <c r="I5448" s="179"/>
      <c r="J5448" s="344"/>
      <c r="K5448" s="345"/>
      <c r="L5448" s="346"/>
      <c r="M5448" s="347"/>
      <c r="N5448" s="347"/>
      <c r="O5448" s="132"/>
    </row>
    <row r="5449" spans="2:15" ht="26.25" customHeight="1" x14ac:dyDescent="0.25">
      <c r="B5449" s="130"/>
      <c r="C5449" s="135"/>
      <c r="D5449" s="177"/>
      <c r="E5449" s="178"/>
      <c r="F5449" s="178"/>
      <c r="G5449" s="340"/>
      <c r="H5449" s="340"/>
      <c r="I5449" s="179"/>
      <c r="J5449" s="344"/>
      <c r="K5449" s="345"/>
      <c r="L5449" s="346"/>
      <c r="M5449" s="347"/>
      <c r="N5449" s="347"/>
      <c r="O5449" s="132"/>
    </row>
    <row r="5450" spans="2:15" ht="26.25" customHeight="1" x14ac:dyDescent="0.25">
      <c r="B5450" s="130"/>
      <c r="C5450" s="135"/>
      <c r="D5450" s="177"/>
      <c r="E5450" s="178"/>
      <c r="F5450" s="178"/>
      <c r="G5450" s="340"/>
      <c r="H5450" s="340"/>
      <c r="I5450" s="179"/>
      <c r="J5450" s="344"/>
      <c r="K5450" s="345"/>
      <c r="L5450" s="346"/>
      <c r="M5450" s="347"/>
      <c r="N5450" s="347"/>
      <c r="O5450" s="132"/>
    </row>
    <row r="5451" spans="2:15" ht="26.25" customHeight="1" x14ac:dyDescent="0.25">
      <c r="B5451" s="130"/>
      <c r="C5451" s="135"/>
      <c r="D5451" s="177"/>
      <c r="E5451" s="178"/>
      <c r="F5451" s="178"/>
      <c r="G5451" s="340"/>
      <c r="H5451" s="340"/>
      <c r="I5451" s="179"/>
      <c r="J5451" s="344"/>
      <c r="K5451" s="345"/>
      <c r="L5451" s="346"/>
      <c r="M5451" s="347"/>
      <c r="N5451" s="347"/>
      <c r="O5451" s="132"/>
    </row>
    <row r="5452" spans="2:15" ht="26.25" customHeight="1" x14ac:dyDescent="0.25">
      <c r="B5452" s="130"/>
      <c r="C5452" s="135"/>
      <c r="D5452" s="177"/>
      <c r="E5452" s="178"/>
      <c r="F5452" s="178"/>
      <c r="G5452" s="340"/>
      <c r="H5452" s="340"/>
      <c r="I5452" s="179"/>
      <c r="J5452" s="344"/>
      <c r="K5452" s="345"/>
      <c r="L5452" s="346"/>
      <c r="M5452" s="347"/>
      <c r="N5452" s="347"/>
      <c r="O5452" s="132"/>
    </row>
    <row r="5453" spans="2:15" ht="26.25" customHeight="1" x14ac:dyDescent="0.25">
      <c r="B5453" s="130"/>
      <c r="C5453" s="135"/>
      <c r="D5453" s="177"/>
      <c r="E5453" s="178"/>
      <c r="F5453" s="178"/>
      <c r="G5453" s="340"/>
      <c r="H5453" s="340"/>
      <c r="I5453" s="179"/>
      <c r="J5453" s="344"/>
      <c r="K5453" s="345"/>
      <c r="L5453" s="346"/>
      <c r="M5453" s="347"/>
      <c r="N5453" s="347"/>
      <c r="O5453" s="132"/>
    </row>
    <row r="5454" spans="2:15" ht="26.25" customHeight="1" x14ac:dyDescent="0.25">
      <c r="B5454" s="130"/>
      <c r="C5454" s="135"/>
      <c r="D5454" s="177"/>
      <c r="E5454" s="178"/>
      <c r="F5454" s="178"/>
      <c r="G5454" s="340"/>
      <c r="H5454" s="340"/>
      <c r="I5454" s="179"/>
      <c r="J5454" s="344"/>
      <c r="K5454" s="345"/>
      <c r="L5454" s="346"/>
      <c r="M5454" s="347"/>
      <c r="N5454" s="347"/>
      <c r="O5454" s="132"/>
    </row>
    <row r="5455" spans="2:15" ht="26.25" customHeight="1" x14ac:dyDescent="0.25">
      <c r="B5455" s="130"/>
      <c r="C5455" s="135"/>
      <c r="D5455" s="177"/>
      <c r="E5455" s="178"/>
      <c r="F5455" s="178"/>
      <c r="G5455" s="340"/>
      <c r="H5455" s="340"/>
      <c r="I5455" s="179"/>
      <c r="J5455" s="344"/>
      <c r="K5455" s="345"/>
      <c r="L5455" s="346"/>
      <c r="M5455" s="347"/>
      <c r="N5455" s="347"/>
      <c r="O5455" s="132"/>
    </row>
    <row r="5456" spans="2:15" ht="26.25" customHeight="1" x14ac:dyDescent="0.25">
      <c r="B5456" s="130"/>
      <c r="C5456" s="135"/>
      <c r="D5456" s="177"/>
      <c r="E5456" s="178"/>
      <c r="F5456" s="178"/>
      <c r="G5456" s="340"/>
      <c r="H5456" s="340"/>
      <c r="I5456" s="179"/>
      <c r="J5456" s="344"/>
      <c r="K5456" s="345"/>
      <c r="L5456" s="346"/>
      <c r="M5456" s="347"/>
      <c r="N5456" s="347"/>
      <c r="O5456" s="132"/>
    </row>
    <row r="5457" spans="2:15" ht="26.25" customHeight="1" x14ac:dyDescent="0.25">
      <c r="B5457" s="130"/>
      <c r="C5457" s="135"/>
      <c r="D5457" s="177"/>
      <c r="E5457" s="178"/>
      <c r="F5457" s="178"/>
      <c r="G5457" s="340"/>
      <c r="H5457" s="340"/>
      <c r="I5457" s="179"/>
      <c r="J5457" s="344"/>
      <c r="K5457" s="345"/>
      <c r="L5457" s="346"/>
      <c r="M5457" s="347"/>
      <c r="N5457" s="347"/>
      <c r="O5457" s="132"/>
    </row>
    <row r="5458" spans="2:15" ht="26.25" customHeight="1" x14ac:dyDescent="0.25">
      <c r="B5458" s="130"/>
      <c r="C5458" s="135"/>
      <c r="D5458" s="177"/>
      <c r="E5458" s="178"/>
      <c r="F5458" s="178"/>
      <c r="G5458" s="340"/>
      <c r="H5458" s="340"/>
      <c r="I5458" s="179"/>
      <c r="J5458" s="344"/>
      <c r="K5458" s="345"/>
      <c r="L5458" s="346"/>
      <c r="M5458" s="347"/>
      <c r="N5458" s="347"/>
      <c r="O5458" s="132"/>
    </row>
    <row r="5459" spans="2:15" ht="26.25" customHeight="1" x14ac:dyDescent="0.25">
      <c r="B5459" s="130"/>
      <c r="C5459" s="135"/>
      <c r="D5459" s="177"/>
      <c r="E5459" s="178"/>
      <c r="F5459" s="178"/>
      <c r="G5459" s="340"/>
      <c r="H5459" s="340"/>
      <c r="I5459" s="179"/>
      <c r="J5459" s="344"/>
      <c r="K5459" s="345"/>
      <c r="L5459" s="346"/>
      <c r="M5459" s="347"/>
      <c r="N5459" s="347"/>
      <c r="O5459" s="132"/>
    </row>
    <row r="5460" spans="2:15" ht="26.25" customHeight="1" x14ac:dyDescent="0.25">
      <c r="B5460" s="130"/>
      <c r="C5460" s="135"/>
      <c r="D5460" s="177"/>
      <c r="E5460" s="178"/>
      <c r="F5460" s="178"/>
      <c r="G5460" s="340"/>
      <c r="H5460" s="340"/>
      <c r="I5460" s="179"/>
      <c r="J5460" s="344"/>
      <c r="K5460" s="345"/>
      <c r="L5460" s="346"/>
      <c r="M5460" s="347"/>
      <c r="N5460" s="347"/>
      <c r="O5460" s="132"/>
    </row>
    <row r="5461" spans="2:15" ht="26.25" customHeight="1" x14ac:dyDescent="0.25">
      <c r="B5461" s="130"/>
      <c r="C5461" s="135"/>
      <c r="D5461" s="177"/>
      <c r="E5461" s="178"/>
      <c r="F5461" s="178"/>
      <c r="G5461" s="340"/>
      <c r="H5461" s="340"/>
      <c r="I5461" s="179"/>
      <c r="J5461" s="344"/>
      <c r="K5461" s="345"/>
      <c r="L5461" s="346"/>
      <c r="M5461" s="347"/>
      <c r="N5461" s="347"/>
      <c r="O5461" s="132"/>
    </row>
    <row r="5462" spans="2:15" ht="26.25" customHeight="1" x14ac:dyDescent="0.25">
      <c r="B5462" s="130"/>
      <c r="C5462" s="135"/>
      <c r="D5462" s="177"/>
      <c r="E5462" s="178"/>
      <c r="F5462" s="178"/>
      <c r="G5462" s="340"/>
      <c r="H5462" s="340"/>
      <c r="I5462" s="179"/>
      <c r="J5462" s="344"/>
      <c r="K5462" s="345"/>
      <c r="L5462" s="346"/>
      <c r="M5462" s="347"/>
      <c r="N5462" s="347"/>
      <c r="O5462" s="132"/>
    </row>
    <row r="5463" spans="2:15" ht="26.25" customHeight="1" x14ac:dyDescent="0.25">
      <c r="B5463" s="130"/>
      <c r="C5463" s="135"/>
      <c r="D5463" s="177"/>
      <c r="E5463" s="178"/>
      <c r="F5463" s="178"/>
      <c r="G5463" s="340"/>
      <c r="H5463" s="340"/>
      <c r="I5463" s="179"/>
      <c r="J5463" s="344"/>
      <c r="K5463" s="345"/>
      <c r="L5463" s="346"/>
      <c r="M5463" s="347"/>
      <c r="N5463" s="347"/>
      <c r="O5463" s="132"/>
    </row>
    <row r="5464" spans="2:15" ht="26.25" customHeight="1" x14ac:dyDescent="0.25">
      <c r="B5464" s="130"/>
      <c r="C5464" s="135"/>
      <c r="D5464" s="177"/>
      <c r="E5464" s="178"/>
      <c r="F5464" s="178"/>
      <c r="G5464" s="340"/>
      <c r="H5464" s="340"/>
      <c r="I5464" s="179"/>
      <c r="J5464" s="344"/>
      <c r="K5464" s="345"/>
      <c r="L5464" s="346"/>
      <c r="M5464" s="347"/>
      <c r="N5464" s="347"/>
      <c r="O5464" s="132"/>
    </row>
    <row r="5465" spans="2:15" ht="26.25" customHeight="1" x14ac:dyDescent="0.25">
      <c r="B5465" s="130"/>
      <c r="C5465" s="135"/>
      <c r="D5465" s="177"/>
      <c r="E5465" s="178"/>
      <c r="F5465" s="178"/>
      <c r="G5465" s="340"/>
      <c r="H5465" s="340"/>
      <c r="I5465" s="179"/>
      <c r="J5465" s="344"/>
      <c r="K5465" s="345"/>
      <c r="L5465" s="346"/>
      <c r="M5465" s="347"/>
      <c r="N5465" s="347"/>
      <c r="O5465" s="132"/>
    </row>
    <row r="5466" spans="2:15" ht="26.25" customHeight="1" x14ac:dyDescent="0.25">
      <c r="B5466" s="130"/>
      <c r="C5466" s="135"/>
      <c r="D5466" s="177"/>
      <c r="E5466" s="178"/>
      <c r="F5466" s="178"/>
      <c r="G5466" s="340"/>
      <c r="H5466" s="340"/>
      <c r="I5466" s="179"/>
      <c r="J5466" s="344"/>
      <c r="K5466" s="345"/>
      <c r="L5466" s="346"/>
      <c r="M5466" s="347"/>
      <c r="N5466" s="347"/>
      <c r="O5466" s="132"/>
    </row>
    <row r="5467" spans="2:15" ht="26.25" customHeight="1" x14ac:dyDescent="0.25">
      <c r="B5467" s="130"/>
      <c r="C5467" s="135"/>
      <c r="D5467" s="177"/>
      <c r="E5467" s="178"/>
      <c r="F5467" s="178"/>
      <c r="G5467" s="340"/>
      <c r="H5467" s="340"/>
      <c r="I5467" s="179"/>
      <c r="J5467" s="344"/>
      <c r="K5467" s="345"/>
      <c r="L5467" s="346"/>
      <c r="M5467" s="347"/>
      <c r="N5467" s="347"/>
      <c r="O5467" s="132"/>
    </row>
    <row r="5468" spans="2:15" ht="26.25" customHeight="1" x14ac:dyDescent="0.25">
      <c r="B5468" s="130"/>
      <c r="C5468" s="135"/>
      <c r="D5468" s="177"/>
      <c r="E5468" s="178"/>
      <c r="F5468" s="178"/>
      <c r="G5468" s="340"/>
      <c r="H5468" s="340"/>
      <c r="I5468" s="179"/>
      <c r="J5468" s="344"/>
      <c r="K5468" s="345"/>
      <c r="L5468" s="346"/>
      <c r="M5468" s="347"/>
      <c r="N5468" s="347"/>
      <c r="O5468" s="132"/>
    </row>
    <row r="5469" spans="2:15" ht="26.25" customHeight="1" x14ac:dyDescent="0.25">
      <c r="B5469" s="130"/>
      <c r="C5469" s="135"/>
      <c r="D5469" s="177"/>
      <c r="E5469" s="178"/>
      <c r="F5469" s="178"/>
      <c r="G5469" s="340"/>
      <c r="H5469" s="340"/>
      <c r="I5469" s="179"/>
      <c r="J5469" s="344"/>
      <c r="K5469" s="345"/>
      <c r="L5469" s="346"/>
      <c r="M5469" s="347"/>
      <c r="N5469" s="347"/>
      <c r="O5469" s="132"/>
    </row>
    <row r="5470" spans="2:15" ht="26.25" customHeight="1" x14ac:dyDescent="0.25">
      <c r="B5470" s="130"/>
      <c r="C5470" s="135"/>
      <c r="D5470" s="177"/>
      <c r="E5470" s="178"/>
      <c r="F5470" s="178"/>
      <c r="G5470" s="340"/>
      <c r="H5470" s="340"/>
      <c r="I5470" s="179"/>
      <c r="J5470" s="344"/>
      <c r="K5470" s="345"/>
      <c r="L5470" s="346"/>
      <c r="M5470" s="347"/>
      <c r="N5470" s="347"/>
      <c r="O5470" s="132"/>
    </row>
    <row r="5471" spans="2:15" ht="26.25" customHeight="1" x14ac:dyDescent="0.25">
      <c r="B5471" s="130"/>
      <c r="C5471" s="135"/>
      <c r="D5471" s="177"/>
      <c r="E5471" s="178"/>
      <c r="F5471" s="178"/>
      <c r="G5471" s="340"/>
      <c r="H5471" s="340"/>
      <c r="I5471" s="179"/>
      <c r="J5471" s="344"/>
      <c r="K5471" s="345"/>
      <c r="L5471" s="346"/>
      <c r="M5471" s="347"/>
      <c r="N5471" s="347"/>
      <c r="O5471" s="132"/>
    </row>
    <row r="5472" spans="2:15" ht="26.25" customHeight="1" x14ac:dyDescent="0.25">
      <c r="B5472" s="130"/>
      <c r="C5472" s="135"/>
      <c r="D5472" s="177"/>
      <c r="E5472" s="178"/>
      <c r="F5472" s="178"/>
      <c r="G5472" s="340"/>
      <c r="H5472" s="340"/>
      <c r="I5472" s="179"/>
      <c r="J5472" s="344"/>
      <c r="K5472" s="345"/>
      <c r="L5472" s="346"/>
      <c r="M5472" s="347"/>
      <c r="N5472" s="347"/>
      <c r="O5472" s="132"/>
    </row>
    <row r="5473" spans="2:15" ht="26.25" customHeight="1" x14ac:dyDescent="0.25">
      <c r="B5473" s="130"/>
      <c r="C5473" s="135"/>
      <c r="D5473" s="177"/>
      <c r="E5473" s="178"/>
      <c r="F5473" s="178"/>
      <c r="G5473" s="340"/>
      <c r="H5473" s="340"/>
      <c r="I5473" s="179"/>
      <c r="J5473" s="344"/>
      <c r="K5473" s="345"/>
      <c r="L5473" s="346"/>
      <c r="M5473" s="347"/>
      <c r="N5473" s="347"/>
      <c r="O5473" s="132"/>
    </row>
    <row r="5474" spans="2:15" ht="26.25" customHeight="1" x14ac:dyDescent="0.25">
      <c r="B5474" s="130"/>
      <c r="C5474" s="135"/>
      <c r="D5474" s="177"/>
      <c r="E5474" s="178"/>
      <c r="F5474" s="178"/>
      <c r="G5474" s="340"/>
      <c r="H5474" s="340"/>
      <c r="I5474" s="179"/>
      <c r="J5474" s="344"/>
      <c r="K5474" s="345"/>
      <c r="L5474" s="346"/>
      <c r="M5474" s="347"/>
      <c r="N5474" s="347"/>
      <c r="O5474" s="132"/>
    </row>
    <row r="5475" spans="2:15" ht="26.25" customHeight="1" x14ac:dyDescent="0.25">
      <c r="B5475" s="130"/>
      <c r="C5475" s="135"/>
      <c r="D5475" s="177"/>
      <c r="E5475" s="178"/>
      <c r="F5475" s="178"/>
      <c r="G5475" s="340"/>
      <c r="H5475" s="340"/>
      <c r="I5475" s="179"/>
      <c r="J5475" s="344"/>
      <c r="K5475" s="345"/>
      <c r="L5475" s="346"/>
      <c r="M5475" s="347"/>
      <c r="N5475" s="347"/>
      <c r="O5475" s="132"/>
    </row>
    <row r="5476" spans="2:15" ht="26.25" customHeight="1" x14ac:dyDescent="0.25">
      <c r="B5476" s="130"/>
      <c r="C5476" s="135"/>
      <c r="D5476" s="177"/>
      <c r="E5476" s="178"/>
      <c r="F5476" s="178"/>
      <c r="G5476" s="340"/>
      <c r="H5476" s="340"/>
      <c r="I5476" s="179"/>
      <c r="J5476" s="344"/>
      <c r="K5476" s="345"/>
      <c r="L5476" s="346"/>
      <c r="M5476" s="347"/>
      <c r="N5476" s="347"/>
      <c r="O5476" s="132"/>
    </row>
    <row r="5477" spans="2:15" ht="26.25" customHeight="1" x14ac:dyDescent="0.25">
      <c r="B5477" s="130"/>
      <c r="C5477" s="135"/>
      <c r="D5477" s="177"/>
      <c r="E5477" s="178"/>
      <c r="F5477" s="178"/>
      <c r="G5477" s="340"/>
      <c r="H5477" s="340"/>
      <c r="I5477" s="179"/>
      <c r="J5477" s="344"/>
      <c r="K5477" s="345"/>
      <c r="L5477" s="346"/>
      <c r="M5477" s="347"/>
      <c r="N5477" s="347"/>
      <c r="O5477" s="132"/>
    </row>
    <row r="5478" spans="2:15" ht="26.25" customHeight="1" x14ac:dyDescent="0.25">
      <c r="B5478" s="130"/>
      <c r="C5478" s="135"/>
      <c r="D5478" s="177"/>
      <c r="E5478" s="178"/>
      <c r="F5478" s="178"/>
      <c r="G5478" s="340"/>
      <c r="H5478" s="340"/>
      <c r="I5478" s="179"/>
      <c r="J5478" s="344"/>
      <c r="K5478" s="345"/>
      <c r="L5478" s="346"/>
      <c r="M5478" s="347"/>
      <c r="N5478" s="347"/>
      <c r="O5478" s="132"/>
    </row>
    <row r="5479" spans="2:15" ht="26.25" customHeight="1" x14ac:dyDescent="0.25">
      <c r="B5479" s="130"/>
      <c r="C5479" s="135"/>
      <c r="D5479" s="177"/>
      <c r="E5479" s="178"/>
      <c r="F5479" s="178"/>
      <c r="G5479" s="340"/>
      <c r="H5479" s="340"/>
      <c r="I5479" s="179"/>
      <c r="J5479" s="344"/>
      <c r="K5479" s="345"/>
      <c r="L5479" s="346"/>
      <c r="M5479" s="347"/>
      <c r="N5479" s="347"/>
      <c r="O5479" s="132"/>
    </row>
    <row r="5480" spans="2:15" ht="26.25" customHeight="1" x14ac:dyDescent="0.25">
      <c r="B5480" s="130"/>
      <c r="C5480" s="135"/>
      <c r="D5480" s="177"/>
      <c r="E5480" s="178"/>
      <c r="F5480" s="178"/>
      <c r="G5480" s="340"/>
      <c r="H5480" s="340"/>
      <c r="I5480" s="179"/>
      <c r="J5480" s="344"/>
      <c r="K5480" s="345"/>
      <c r="L5480" s="346"/>
      <c r="M5480" s="347"/>
      <c r="N5480" s="347"/>
      <c r="O5480" s="132"/>
    </row>
    <row r="5481" spans="2:15" ht="26.25" customHeight="1" x14ac:dyDescent="0.25">
      <c r="B5481" s="130"/>
      <c r="C5481" s="135"/>
      <c r="D5481" s="177"/>
      <c r="E5481" s="178"/>
      <c r="F5481" s="178"/>
      <c r="G5481" s="340"/>
      <c r="H5481" s="340"/>
      <c r="I5481" s="179"/>
      <c r="J5481" s="344"/>
      <c r="K5481" s="345"/>
      <c r="L5481" s="346"/>
      <c r="M5481" s="347"/>
      <c r="N5481" s="347"/>
      <c r="O5481" s="132"/>
    </row>
    <row r="5482" spans="2:15" ht="26.25" customHeight="1" x14ac:dyDescent="0.25">
      <c r="B5482" s="130"/>
      <c r="C5482" s="135"/>
      <c r="D5482" s="177"/>
      <c r="E5482" s="178"/>
      <c r="F5482" s="178"/>
      <c r="G5482" s="340"/>
      <c r="H5482" s="340"/>
      <c r="I5482" s="179"/>
      <c r="J5482" s="344"/>
      <c r="K5482" s="345"/>
      <c r="L5482" s="346"/>
      <c r="M5482" s="347"/>
      <c r="N5482" s="347"/>
      <c r="O5482" s="132"/>
    </row>
    <row r="5483" spans="2:15" ht="26.25" customHeight="1" x14ac:dyDescent="0.25">
      <c r="B5483" s="130"/>
      <c r="C5483" s="135"/>
      <c r="D5483" s="177"/>
      <c r="E5483" s="178"/>
      <c r="F5483" s="178"/>
      <c r="G5483" s="340"/>
      <c r="H5483" s="340"/>
      <c r="I5483" s="179"/>
      <c r="J5483" s="344"/>
      <c r="K5483" s="345"/>
      <c r="L5483" s="346"/>
      <c r="M5483" s="347"/>
      <c r="N5483" s="347"/>
      <c r="O5483" s="132"/>
    </row>
    <row r="5484" spans="2:15" ht="26.25" customHeight="1" x14ac:dyDescent="0.25">
      <c r="B5484" s="130"/>
      <c r="C5484" s="135"/>
      <c r="D5484" s="177"/>
      <c r="E5484" s="178"/>
      <c r="F5484" s="178"/>
      <c r="G5484" s="340"/>
      <c r="H5484" s="340"/>
      <c r="I5484" s="179"/>
      <c r="J5484" s="344"/>
      <c r="K5484" s="345"/>
      <c r="L5484" s="346"/>
      <c r="M5484" s="347"/>
      <c r="N5484" s="347"/>
      <c r="O5484" s="132"/>
    </row>
    <row r="5485" spans="2:15" ht="26.25" customHeight="1" x14ac:dyDescent="0.25">
      <c r="B5485" s="130"/>
      <c r="C5485" s="135"/>
      <c r="D5485" s="177"/>
      <c r="E5485" s="178"/>
      <c r="F5485" s="178"/>
      <c r="G5485" s="340"/>
      <c r="H5485" s="340"/>
      <c r="I5485" s="179"/>
      <c r="J5485" s="344"/>
      <c r="K5485" s="345"/>
      <c r="L5485" s="346"/>
      <c r="M5485" s="347"/>
      <c r="N5485" s="347"/>
      <c r="O5485" s="132"/>
    </row>
    <row r="5486" spans="2:15" ht="26.25" customHeight="1" x14ac:dyDescent="0.25">
      <c r="B5486" s="130"/>
      <c r="C5486" s="135"/>
      <c r="D5486" s="177"/>
      <c r="E5486" s="178"/>
      <c r="F5486" s="178"/>
      <c r="G5486" s="340"/>
      <c r="H5486" s="340"/>
      <c r="I5486" s="179"/>
      <c r="J5486" s="344"/>
      <c r="K5486" s="345"/>
      <c r="L5486" s="346"/>
      <c r="M5486" s="347"/>
      <c r="N5486" s="347"/>
      <c r="O5486" s="132"/>
    </row>
    <row r="5487" spans="2:15" ht="26.25" customHeight="1" x14ac:dyDescent="0.25">
      <c r="B5487" s="130"/>
      <c r="C5487" s="135"/>
      <c r="D5487" s="177"/>
      <c r="E5487" s="178"/>
      <c r="F5487" s="178"/>
      <c r="G5487" s="340"/>
      <c r="H5487" s="340"/>
      <c r="I5487" s="179"/>
      <c r="J5487" s="344"/>
      <c r="K5487" s="345"/>
      <c r="L5487" s="346"/>
      <c r="M5487" s="347"/>
      <c r="N5487" s="347"/>
      <c r="O5487" s="132"/>
    </row>
    <row r="5488" spans="2:15" ht="26.25" customHeight="1" x14ac:dyDescent="0.25">
      <c r="B5488" s="130"/>
      <c r="C5488" s="135"/>
      <c r="D5488" s="177"/>
      <c r="E5488" s="178"/>
      <c r="F5488" s="178"/>
      <c r="G5488" s="340"/>
      <c r="H5488" s="340"/>
      <c r="I5488" s="179"/>
      <c r="J5488" s="344"/>
      <c r="K5488" s="345"/>
      <c r="L5488" s="346"/>
      <c r="M5488" s="347"/>
      <c r="N5488" s="347"/>
      <c r="O5488" s="132"/>
    </row>
    <row r="5489" spans="2:15" ht="26.25" customHeight="1" x14ac:dyDescent="0.25">
      <c r="B5489" s="130"/>
      <c r="C5489" s="135"/>
      <c r="D5489" s="177"/>
      <c r="E5489" s="178"/>
      <c r="F5489" s="178"/>
      <c r="G5489" s="340"/>
      <c r="H5489" s="340"/>
      <c r="I5489" s="179"/>
      <c r="J5489" s="344"/>
      <c r="K5489" s="345"/>
      <c r="L5489" s="346"/>
      <c r="M5489" s="347"/>
      <c r="N5489" s="347"/>
      <c r="O5489" s="132"/>
    </row>
    <row r="5490" spans="2:15" ht="26.25" customHeight="1" x14ac:dyDescent="0.25">
      <c r="B5490" s="130"/>
      <c r="C5490" s="135"/>
      <c r="D5490" s="177"/>
      <c r="E5490" s="178"/>
      <c r="F5490" s="178"/>
      <c r="G5490" s="340"/>
      <c r="H5490" s="340"/>
      <c r="I5490" s="179"/>
      <c r="J5490" s="344"/>
      <c r="K5490" s="345"/>
      <c r="L5490" s="346"/>
      <c r="M5490" s="347"/>
      <c r="N5490" s="347"/>
      <c r="O5490" s="132"/>
    </row>
    <row r="5491" spans="2:15" ht="26.25" customHeight="1" x14ac:dyDescent="0.25">
      <c r="B5491" s="130"/>
      <c r="C5491" s="135"/>
      <c r="D5491" s="177"/>
      <c r="E5491" s="178"/>
      <c r="F5491" s="178"/>
      <c r="G5491" s="340"/>
      <c r="H5491" s="340"/>
      <c r="I5491" s="179"/>
      <c r="J5491" s="344"/>
      <c r="K5491" s="345"/>
      <c r="L5491" s="346"/>
      <c r="M5491" s="347"/>
      <c r="N5491" s="347"/>
      <c r="O5491" s="132"/>
    </row>
    <row r="5492" spans="2:15" ht="26.25" customHeight="1" x14ac:dyDescent="0.25">
      <c r="B5492" s="130"/>
      <c r="C5492" s="135"/>
      <c r="D5492" s="177"/>
      <c r="E5492" s="178"/>
      <c r="F5492" s="178"/>
      <c r="G5492" s="340"/>
      <c r="H5492" s="340"/>
      <c r="I5492" s="179"/>
      <c r="J5492" s="344"/>
      <c r="K5492" s="345"/>
      <c r="L5492" s="346"/>
      <c r="M5492" s="347"/>
      <c r="N5492" s="347"/>
      <c r="O5492" s="132"/>
    </row>
    <row r="5493" spans="2:15" ht="26.25" customHeight="1" x14ac:dyDescent="0.25">
      <c r="B5493" s="130"/>
      <c r="C5493" s="135"/>
      <c r="D5493" s="177"/>
      <c r="E5493" s="178"/>
      <c r="F5493" s="178"/>
      <c r="G5493" s="340"/>
      <c r="H5493" s="340"/>
      <c r="I5493" s="179"/>
      <c r="J5493" s="344"/>
      <c r="K5493" s="345"/>
      <c r="L5493" s="346"/>
      <c r="M5493" s="347"/>
      <c r="N5493" s="347"/>
      <c r="O5493" s="132"/>
    </row>
    <row r="5494" spans="2:15" ht="26.25" customHeight="1" x14ac:dyDescent="0.25">
      <c r="B5494" s="130"/>
      <c r="C5494" s="135"/>
      <c r="D5494" s="177"/>
      <c r="E5494" s="178"/>
      <c r="F5494" s="178"/>
      <c r="G5494" s="340"/>
      <c r="H5494" s="340"/>
      <c r="I5494" s="179"/>
      <c r="J5494" s="344"/>
      <c r="K5494" s="345"/>
      <c r="L5494" s="346"/>
      <c r="M5494" s="347"/>
      <c r="N5494" s="347"/>
      <c r="O5494" s="132"/>
    </row>
    <row r="5495" spans="2:15" ht="26.25" customHeight="1" x14ac:dyDescent="0.25">
      <c r="B5495" s="130"/>
      <c r="C5495" s="135"/>
      <c r="D5495" s="177"/>
      <c r="E5495" s="178"/>
      <c r="F5495" s="178"/>
      <c r="G5495" s="340"/>
      <c r="H5495" s="340"/>
      <c r="I5495" s="179"/>
      <c r="J5495" s="344"/>
      <c r="K5495" s="345"/>
      <c r="L5495" s="346"/>
      <c r="M5495" s="347"/>
      <c r="N5495" s="347"/>
      <c r="O5495" s="132"/>
    </row>
    <row r="5496" spans="2:15" ht="26.25" customHeight="1" x14ac:dyDescent="0.25">
      <c r="B5496" s="130"/>
      <c r="C5496" s="135"/>
      <c r="D5496" s="177"/>
      <c r="E5496" s="178"/>
      <c r="F5496" s="178"/>
      <c r="G5496" s="340"/>
      <c r="H5496" s="340"/>
      <c r="I5496" s="179"/>
      <c r="J5496" s="344"/>
      <c r="K5496" s="345"/>
      <c r="L5496" s="346"/>
      <c r="M5496" s="347"/>
      <c r="N5496" s="347"/>
      <c r="O5496" s="132"/>
    </row>
    <row r="5497" spans="2:15" ht="26.25" customHeight="1" x14ac:dyDescent="0.25">
      <c r="B5497" s="130"/>
      <c r="C5497" s="135"/>
      <c r="D5497" s="177"/>
      <c r="E5497" s="178"/>
      <c r="F5497" s="178"/>
      <c r="G5497" s="340"/>
      <c r="H5497" s="340"/>
      <c r="I5497" s="179"/>
      <c r="J5497" s="344"/>
      <c r="K5497" s="345"/>
      <c r="L5497" s="346"/>
      <c r="M5497" s="347"/>
      <c r="N5497" s="347"/>
      <c r="O5497" s="132"/>
    </row>
    <row r="5498" spans="2:15" ht="26.25" customHeight="1" x14ac:dyDescent="0.25">
      <c r="B5498" s="130"/>
      <c r="C5498" s="135"/>
      <c r="D5498" s="177"/>
      <c r="E5498" s="178"/>
      <c r="F5498" s="178"/>
      <c r="G5498" s="340"/>
      <c r="H5498" s="340"/>
      <c r="I5498" s="179"/>
      <c r="J5498" s="344"/>
      <c r="K5498" s="345"/>
      <c r="L5498" s="346"/>
      <c r="M5498" s="347"/>
      <c r="N5498" s="347"/>
      <c r="O5498" s="132"/>
    </row>
    <row r="5499" spans="2:15" ht="26.25" customHeight="1" x14ac:dyDescent="0.25">
      <c r="B5499" s="130"/>
      <c r="C5499" s="135"/>
      <c r="D5499" s="177"/>
      <c r="E5499" s="178"/>
      <c r="F5499" s="178"/>
      <c r="G5499" s="340"/>
      <c r="H5499" s="340"/>
      <c r="I5499" s="179"/>
      <c r="J5499" s="344"/>
      <c r="K5499" s="345"/>
      <c r="L5499" s="346"/>
      <c r="M5499" s="347"/>
      <c r="N5499" s="347"/>
      <c r="O5499" s="132"/>
    </row>
    <row r="5500" spans="2:15" ht="26.25" customHeight="1" x14ac:dyDescent="0.25">
      <c r="B5500" s="130"/>
      <c r="C5500" s="135"/>
      <c r="D5500" s="177"/>
      <c r="E5500" s="178"/>
      <c r="F5500" s="178"/>
      <c r="G5500" s="340"/>
      <c r="H5500" s="340"/>
      <c r="I5500" s="179"/>
      <c r="J5500" s="344"/>
      <c r="K5500" s="345"/>
      <c r="L5500" s="346"/>
      <c r="M5500" s="347"/>
      <c r="N5500" s="347"/>
      <c r="O5500" s="132"/>
    </row>
    <row r="5501" spans="2:15" ht="26.25" customHeight="1" x14ac:dyDescent="0.25">
      <c r="B5501" s="130"/>
      <c r="C5501" s="135"/>
      <c r="D5501" s="177"/>
      <c r="E5501" s="178"/>
      <c r="F5501" s="178"/>
      <c r="G5501" s="340"/>
      <c r="H5501" s="340"/>
      <c r="I5501" s="179"/>
      <c r="J5501" s="344"/>
      <c r="K5501" s="345"/>
      <c r="L5501" s="346"/>
      <c r="M5501" s="347"/>
      <c r="N5501" s="347"/>
      <c r="O5501" s="132"/>
    </row>
    <row r="5502" spans="2:15" ht="26.25" customHeight="1" x14ac:dyDescent="0.25">
      <c r="B5502" s="130"/>
      <c r="C5502" s="135"/>
      <c r="D5502" s="177"/>
      <c r="E5502" s="178"/>
      <c r="F5502" s="178"/>
      <c r="G5502" s="340"/>
      <c r="H5502" s="340"/>
      <c r="I5502" s="179"/>
      <c r="J5502" s="344"/>
      <c r="K5502" s="345"/>
      <c r="L5502" s="346"/>
      <c r="M5502" s="347"/>
      <c r="N5502" s="347"/>
      <c r="O5502" s="132"/>
    </row>
    <row r="5503" spans="2:15" ht="26.25" customHeight="1" x14ac:dyDescent="0.25">
      <c r="B5503" s="130"/>
      <c r="C5503" s="135"/>
      <c r="D5503" s="177"/>
      <c r="E5503" s="178"/>
      <c r="F5503" s="178"/>
      <c r="G5503" s="340"/>
      <c r="H5503" s="340"/>
      <c r="I5503" s="179"/>
      <c r="J5503" s="344"/>
      <c r="K5503" s="345"/>
      <c r="L5503" s="346"/>
      <c r="M5503" s="347"/>
      <c r="N5503" s="347"/>
      <c r="O5503" s="132"/>
    </row>
    <row r="5504" spans="2:15" ht="26.25" customHeight="1" x14ac:dyDescent="0.25">
      <c r="B5504" s="130"/>
      <c r="C5504" s="135"/>
      <c r="D5504" s="177"/>
      <c r="E5504" s="178"/>
      <c r="F5504" s="178"/>
      <c r="G5504" s="340"/>
      <c r="H5504" s="340"/>
      <c r="I5504" s="179"/>
      <c r="J5504" s="344"/>
      <c r="K5504" s="345"/>
      <c r="L5504" s="346"/>
      <c r="M5504" s="347"/>
      <c r="N5504" s="347"/>
      <c r="O5504" s="132"/>
    </row>
    <row r="5505" spans="2:15" ht="26.25" customHeight="1" x14ac:dyDescent="0.25">
      <c r="B5505" s="130"/>
      <c r="C5505" s="135"/>
      <c r="D5505" s="177"/>
      <c r="E5505" s="178"/>
      <c r="F5505" s="178"/>
      <c r="G5505" s="340"/>
      <c r="H5505" s="340"/>
      <c r="I5505" s="179"/>
      <c r="J5505" s="344"/>
      <c r="K5505" s="345"/>
      <c r="L5505" s="346"/>
      <c r="M5505" s="347"/>
      <c r="N5505" s="347"/>
      <c r="O5505" s="132"/>
    </row>
    <row r="5506" spans="2:15" ht="26.25" customHeight="1" x14ac:dyDescent="0.25">
      <c r="B5506" s="130"/>
      <c r="C5506" s="135"/>
      <c r="D5506" s="177"/>
      <c r="E5506" s="178"/>
      <c r="F5506" s="178"/>
      <c r="G5506" s="340"/>
      <c r="H5506" s="340"/>
      <c r="I5506" s="179"/>
      <c r="J5506" s="344"/>
      <c r="K5506" s="345"/>
      <c r="L5506" s="346"/>
      <c r="M5506" s="347"/>
      <c r="N5506" s="347"/>
      <c r="O5506" s="132"/>
    </row>
    <row r="5507" spans="2:15" ht="26.25" customHeight="1" x14ac:dyDescent="0.25">
      <c r="B5507" s="130"/>
      <c r="C5507" s="135"/>
      <c r="D5507" s="177"/>
      <c r="E5507" s="178"/>
      <c r="F5507" s="178"/>
      <c r="G5507" s="340"/>
      <c r="H5507" s="340"/>
      <c r="I5507" s="179"/>
      <c r="J5507" s="344"/>
      <c r="K5507" s="345"/>
      <c r="L5507" s="346"/>
      <c r="M5507" s="347"/>
      <c r="N5507" s="347"/>
      <c r="O5507" s="132"/>
    </row>
    <row r="5508" spans="2:15" ht="26.25" customHeight="1" x14ac:dyDescent="0.25">
      <c r="B5508" s="130"/>
      <c r="C5508" s="135"/>
      <c r="D5508" s="177"/>
      <c r="E5508" s="178"/>
      <c r="F5508" s="178"/>
      <c r="G5508" s="340"/>
      <c r="H5508" s="340"/>
      <c r="I5508" s="179"/>
      <c r="J5508" s="344"/>
      <c r="K5508" s="345"/>
      <c r="L5508" s="346"/>
      <c r="M5508" s="347"/>
      <c r="N5508" s="347"/>
      <c r="O5508" s="132"/>
    </row>
    <row r="5509" spans="2:15" ht="26.25" customHeight="1" x14ac:dyDescent="0.25">
      <c r="B5509" s="130"/>
      <c r="C5509" s="135"/>
      <c r="D5509" s="177"/>
      <c r="E5509" s="178"/>
      <c r="F5509" s="178"/>
      <c r="G5509" s="340"/>
      <c r="H5509" s="340"/>
      <c r="I5509" s="179"/>
      <c r="J5509" s="344"/>
      <c r="K5509" s="345"/>
      <c r="L5509" s="346"/>
      <c r="M5509" s="347"/>
      <c r="N5509" s="347"/>
      <c r="O5509" s="132"/>
    </row>
    <row r="5510" spans="2:15" ht="26.25" customHeight="1" x14ac:dyDescent="0.25">
      <c r="B5510" s="130"/>
      <c r="C5510" s="135"/>
      <c r="D5510" s="177"/>
      <c r="E5510" s="178"/>
      <c r="F5510" s="178"/>
      <c r="G5510" s="340"/>
      <c r="H5510" s="340"/>
      <c r="I5510" s="179"/>
      <c r="J5510" s="344"/>
      <c r="K5510" s="345"/>
      <c r="L5510" s="346"/>
      <c r="M5510" s="347"/>
      <c r="N5510" s="347"/>
      <c r="O5510" s="132"/>
    </row>
    <row r="5511" spans="2:15" ht="26.25" customHeight="1" x14ac:dyDescent="0.25">
      <c r="B5511" s="130"/>
      <c r="C5511" s="135"/>
      <c r="D5511" s="177"/>
      <c r="E5511" s="178"/>
      <c r="F5511" s="178"/>
      <c r="G5511" s="340"/>
      <c r="H5511" s="340"/>
      <c r="I5511" s="179"/>
      <c r="J5511" s="344"/>
      <c r="K5511" s="345"/>
      <c r="L5511" s="346"/>
      <c r="M5511" s="347"/>
      <c r="N5511" s="347"/>
      <c r="O5511" s="132"/>
    </row>
    <row r="5512" spans="2:15" ht="26.25" customHeight="1" x14ac:dyDescent="0.25">
      <c r="B5512" s="130"/>
      <c r="C5512" s="135"/>
      <c r="D5512" s="177"/>
      <c r="E5512" s="178"/>
      <c r="F5512" s="178"/>
      <c r="G5512" s="340"/>
      <c r="H5512" s="340"/>
      <c r="I5512" s="179"/>
      <c r="J5512" s="344"/>
      <c r="K5512" s="345"/>
      <c r="L5512" s="346"/>
      <c r="M5512" s="347"/>
      <c r="N5512" s="347"/>
      <c r="O5512" s="132"/>
    </row>
    <row r="5513" spans="2:15" ht="26.25" customHeight="1" x14ac:dyDescent="0.25">
      <c r="B5513" s="130"/>
      <c r="C5513" s="135"/>
      <c r="D5513" s="177"/>
      <c r="E5513" s="178"/>
      <c r="F5513" s="178"/>
      <c r="G5513" s="340"/>
      <c r="H5513" s="340"/>
      <c r="I5513" s="179"/>
      <c r="J5513" s="344"/>
      <c r="K5513" s="345"/>
      <c r="L5513" s="346"/>
      <c r="M5513" s="347"/>
      <c r="N5513" s="347"/>
      <c r="O5513" s="132"/>
    </row>
    <row r="5514" spans="2:15" ht="26.25" customHeight="1" x14ac:dyDescent="0.25">
      <c r="B5514" s="130"/>
      <c r="C5514" s="135"/>
      <c r="D5514" s="177"/>
      <c r="E5514" s="178"/>
      <c r="F5514" s="178"/>
      <c r="G5514" s="340"/>
      <c r="H5514" s="340"/>
      <c r="I5514" s="179"/>
      <c r="J5514" s="344"/>
      <c r="K5514" s="345"/>
      <c r="L5514" s="346"/>
      <c r="M5514" s="347"/>
      <c r="N5514" s="347"/>
      <c r="O5514" s="132"/>
    </row>
    <row r="5515" spans="2:15" ht="26.25" customHeight="1" x14ac:dyDescent="0.25">
      <c r="B5515" s="130"/>
      <c r="C5515" s="135"/>
      <c r="D5515" s="177"/>
      <c r="E5515" s="178"/>
      <c r="F5515" s="178"/>
      <c r="G5515" s="340"/>
      <c r="H5515" s="340"/>
      <c r="I5515" s="179"/>
      <c r="J5515" s="344"/>
      <c r="K5515" s="345"/>
      <c r="L5515" s="346"/>
      <c r="M5515" s="347"/>
      <c r="N5515" s="347"/>
      <c r="O5515" s="132"/>
    </row>
    <row r="5516" spans="2:15" ht="26.25" customHeight="1" x14ac:dyDescent="0.25">
      <c r="B5516" s="130"/>
      <c r="C5516" s="135"/>
      <c r="D5516" s="177"/>
      <c r="E5516" s="178"/>
      <c r="F5516" s="178"/>
      <c r="G5516" s="340"/>
      <c r="H5516" s="340"/>
      <c r="I5516" s="179"/>
      <c r="J5516" s="344"/>
      <c r="K5516" s="345"/>
      <c r="L5516" s="346"/>
      <c r="M5516" s="347"/>
      <c r="N5516" s="347"/>
      <c r="O5516" s="132"/>
    </row>
    <row r="5517" spans="2:15" ht="26.25" customHeight="1" x14ac:dyDescent="0.25">
      <c r="B5517" s="130"/>
      <c r="C5517" s="135"/>
      <c r="D5517" s="177"/>
      <c r="E5517" s="178"/>
      <c r="F5517" s="178"/>
      <c r="G5517" s="340"/>
      <c r="H5517" s="340"/>
      <c r="I5517" s="179"/>
      <c r="J5517" s="344"/>
      <c r="K5517" s="345"/>
      <c r="L5517" s="346"/>
      <c r="M5517" s="347"/>
      <c r="N5517" s="347"/>
      <c r="O5517" s="132"/>
    </row>
    <row r="5518" spans="2:15" ht="26.25" customHeight="1" x14ac:dyDescent="0.25">
      <c r="B5518" s="130"/>
      <c r="C5518" s="135"/>
      <c r="D5518" s="177"/>
      <c r="E5518" s="178"/>
      <c r="F5518" s="178"/>
      <c r="G5518" s="340"/>
      <c r="H5518" s="340"/>
      <c r="I5518" s="179"/>
      <c r="J5518" s="344"/>
      <c r="K5518" s="345"/>
      <c r="L5518" s="346"/>
      <c r="M5518" s="347"/>
      <c r="N5518" s="347"/>
      <c r="O5518" s="132"/>
    </row>
    <row r="5519" spans="2:15" ht="26.25" customHeight="1" x14ac:dyDescent="0.25">
      <c r="B5519" s="130"/>
      <c r="C5519" s="135"/>
      <c r="D5519" s="177"/>
      <c r="E5519" s="178"/>
      <c r="F5519" s="178"/>
      <c r="G5519" s="340"/>
      <c r="H5519" s="340"/>
      <c r="I5519" s="179"/>
      <c r="J5519" s="344"/>
      <c r="K5519" s="345"/>
      <c r="L5519" s="346"/>
      <c r="M5519" s="347"/>
      <c r="N5519" s="347"/>
      <c r="O5519" s="132"/>
    </row>
    <row r="5520" spans="2:15" ht="26.25" customHeight="1" x14ac:dyDescent="0.25">
      <c r="B5520" s="130"/>
      <c r="C5520" s="135"/>
      <c r="D5520" s="177"/>
      <c r="E5520" s="178"/>
      <c r="F5520" s="178"/>
      <c r="G5520" s="340"/>
      <c r="H5520" s="340"/>
      <c r="I5520" s="179"/>
      <c r="J5520" s="344"/>
      <c r="K5520" s="345"/>
      <c r="L5520" s="346"/>
      <c r="M5520" s="347"/>
      <c r="N5520" s="347"/>
      <c r="O5520" s="132"/>
    </row>
    <row r="5521" spans="2:15" ht="26.25" customHeight="1" x14ac:dyDescent="0.25">
      <c r="B5521" s="130"/>
      <c r="C5521" s="135"/>
      <c r="D5521" s="177"/>
      <c r="E5521" s="178"/>
      <c r="F5521" s="178"/>
      <c r="G5521" s="340"/>
      <c r="H5521" s="340"/>
      <c r="I5521" s="179"/>
      <c r="J5521" s="344"/>
      <c r="K5521" s="345"/>
      <c r="L5521" s="346"/>
      <c r="M5521" s="347"/>
      <c r="N5521" s="347"/>
      <c r="O5521" s="132"/>
    </row>
    <row r="5522" spans="2:15" ht="26.25" customHeight="1" x14ac:dyDescent="0.25">
      <c r="B5522" s="130"/>
      <c r="C5522" s="135"/>
      <c r="D5522" s="177"/>
      <c r="E5522" s="178"/>
      <c r="F5522" s="178"/>
      <c r="G5522" s="340"/>
      <c r="H5522" s="340"/>
      <c r="I5522" s="179"/>
      <c r="J5522" s="344"/>
      <c r="K5522" s="345"/>
      <c r="L5522" s="346"/>
      <c r="M5522" s="347"/>
      <c r="N5522" s="347"/>
      <c r="O5522" s="132"/>
    </row>
    <row r="5523" spans="2:15" ht="26.25" customHeight="1" x14ac:dyDescent="0.25">
      <c r="B5523" s="130"/>
      <c r="C5523" s="135"/>
      <c r="D5523" s="177"/>
      <c r="E5523" s="178"/>
      <c r="F5523" s="178"/>
      <c r="G5523" s="340"/>
      <c r="H5523" s="340"/>
      <c r="I5523" s="179"/>
      <c r="J5523" s="344"/>
      <c r="K5523" s="345"/>
      <c r="L5523" s="346"/>
      <c r="M5523" s="347"/>
      <c r="N5523" s="347"/>
      <c r="O5523" s="132"/>
    </row>
    <row r="5524" spans="2:15" ht="26.25" customHeight="1" x14ac:dyDescent="0.25">
      <c r="B5524" s="130"/>
      <c r="C5524" s="135"/>
      <c r="D5524" s="177"/>
      <c r="E5524" s="178"/>
      <c r="F5524" s="178"/>
      <c r="G5524" s="340"/>
      <c r="H5524" s="340"/>
      <c r="I5524" s="179"/>
      <c r="J5524" s="344"/>
      <c r="K5524" s="345"/>
      <c r="L5524" s="346"/>
      <c r="M5524" s="347"/>
      <c r="N5524" s="347"/>
      <c r="O5524" s="132"/>
    </row>
    <row r="5525" spans="2:15" ht="26.25" customHeight="1" x14ac:dyDescent="0.25">
      <c r="B5525" s="130"/>
      <c r="C5525" s="135"/>
      <c r="D5525" s="177"/>
      <c r="E5525" s="178"/>
      <c r="F5525" s="178"/>
      <c r="G5525" s="340"/>
      <c r="H5525" s="340"/>
      <c r="I5525" s="179"/>
      <c r="J5525" s="344"/>
      <c r="K5525" s="345"/>
      <c r="L5525" s="346"/>
      <c r="M5525" s="347"/>
      <c r="N5525" s="347"/>
      <c r="O5525" s="132"/>
    </row>
    <row r="5526" spans="2:15" ht="26.25" customHeight="1" x14ac:dyDescent="0.25">
      <c r="B5526" s="130"/>
      <c r="C5526" s="135"/>
      <c r="D5526" s="177"/>
      <c r="E5526" s="178"/>
      <c r="F5526" s="178"/>
      <c r="G5526" s="340"/>
      <c r="H5526" s="340"/>
      <c r="I5526" s="179"/>
      <c r="J5526" s="344"/>
      <c r="K5526" s="345"/>
      <c r="L5526" s="346"/>
      <c r="M5526" s="347"/>
      <c r="N5526" s="347"/>
      <c r="O5526" s="132"/>
    </row>
    <row r="5527" spans="2:15" ht="26.25" customHeight="1" x14ac:dyDescent="0.25">
      <c r="B5527" s="130"/>
      <c r="C5527" s="135"/>
      <c r="D5527" s="177"/>
      <c r="E5527" s="178"/>
      <c r="F5527" s="178"/>
      <c r="G5527" s="340"/>
      <c r="H5527" s="340"/>
      <c r="I5527" s="179"/>
      <c r="J5527" s="344"/>
      <c r="K5527" s="345"/>
      <c r="L5527" s="346"/>
      <c r="M5527" s="347"/>
      <c r="N5527" s="347"/>
      <c r="O5527" s="132"/>
    </row>
    <row r="5528" spans="2:15" ht="26.25" customHeight="1" x14ac:dyDescent="0.25">
      <c r="B5528" s="130"/>
      <c r="C5528" s="135"/>
      <c r="D5528" s="177"/>
      <c r="E5528" s="178"/>
      <c r="F5528" s="178"/>
      <c r="G5528" s="340"/>
      <c r="H5528" s="340"/>
      <c r="I5528" s="179"/>
      <c r="J5528" s="344"/>
      <c r="K5528" s="345"/>
      <c r="L5528" s="346"/>
      <c r="M5528" s="347"/>
      <c r="N5528" s="347"/>
      <c r="O5528" s="132"/>
    </row>
    <row r="5529" spans="2:15" ht="26.25" customHeight="1" x14ac:dyDescent="0.25">
      <c r="B5529" s="130"/>
      <c r="C5529" s="135"/>
      <c r="D5529" s="177"/>
      <c r="E5529" s="178"/>
      <c r="F5529" s="178"/>
      <c r="G5529" s="340"/>
      <c r="H5529" s="340"/>
      <c r="I5529" s="179"/>
      <c r="J5529" s="344"/>
      <c r="K5529" s="345"/>
      <c r="L5529" s="346"/>
      <c r="M5529" s="347"/>
      <c r="N5529" s="347"/>
      <c r="O5529" s="132"/>
    </row>
    <row r="5530" spans="2:15" ht="26.25" customHeight="1" x14ac:dyDescent="0.25">
      <c r="B5530" s="130"/>
      <c r="C5530" s="135"/>
      <c r="D5530" s="177"/>
      <c r="E5530" s="178"/>
      <c r="F5530" s="178"/>
      <c r="G5530" s="340"/>
      <c r="H5530" s="340"/>
      <c r="I5530" s="179"/>
      <c r="J5530" s="344"/>
      <c r="K5530" s="345"/>
      <c r="L5530" s="346"/>
      <c r="M5530" s="347"/>
      <c r="N5530" s="347"/>
      <c r="O5530" s="132"/>
    </row>
    <row r="5531" spans="2:15" ht="26.25" customHeight="1" x14ac:dyDescent="0.25">
      <c r="B5531" s="130"/>
      <c r="C5531" s="135"/>
      <c r="D5531" s="177"/>
      <c r="E5531" s="178"/>
      <c r="F5531" s="178"/>
      <c r="G5531" s="340"/>
      <c r="H5531" s="340"/>
      <c r="I5531" s="179"/>
      <c r="J5531" s="344"/>
      <c r="K5531" s="345"/>
      <c r="L5531" s="346"/>
      <c r="M5531" s="347"/>
      <c r="N5531" s="347"/>
      <c r="O5531" s="132"/>
    </row>
    <row r="5532" spans="2:15" ht="26.25" customHeight="1" x14ac:dyDescent="0.25">
      <c r="B5532" s="130"/>
      <c r="C5532" s="135"/>
      <c r="D5532" s="177"/>
      <c r="E5532" s="178"/>
      <c r="F5532" s="178"/>
      <c r="G5532" s="340"/>
      <c r="H5532" s="340"/>
      <c r="I5532" s="179"/>
      <c r="J5532" s="344"/>
      <c r="K5532" s="345"/>
      <c r="L5532" s="346"/>
      <c r="M5532" s="347"/>
      <c r="N5532" s="347"/>
      <c r="O5532" s="132"/>
    </row>
    <row r="5533" spans="2:15" ht="26.25" customHeight="1" x14ac:dyDescent="0.25">
      <c r="B5533" s="130"/>
      <c r="C5533" s="135"/>
      <c r="D5533" s="177"/>
      <c r="E5533" s="178"/>
      <c r="F5533" s="178"/>
      <c r="G5533" s="340"/>
      <c r="H5533" s="340"/>
      <c r="I5533" s="179"/>
      <c r="J5533" s="344"/>
      <c r="K5533" s="345"/>
      <c r="L5533" s="346"/>
      <c r="M5533" s="347"/>
      <c r="N5533" s="347"/>
      <c r="O5533" s="132"/>
    </row>
    <row r="5534" spans="2:15" ht="26.25" customHeight="1" x14ac:dyDescent="0.25">
      <c r="B5534" s="130"/>
      <c r="C5534" s="135"/>
      <c r="D5534" s="177"/>
      <c r="E5534" s="178"/>
      <c r="F5534" s="178"/>
      <c r="G5534" s="340"/>
      <c r="H5534" s="340"/>
      <c r="I5534" s="179"/>
      <c r="J5534" s="344"/>
      <c r="K5534" s="345"/>
      <c r="L5534" s="346"/>
      <c r="M5534" s="347"/>
      <c r="N5534" s="347"/>
      <c r="O5534" s="132"/>
    </row>
    <row r="5535" spans="2:15" ht="26.25" customHeight="1" x14ac:dyDescent="0.25">
      <c r="B5535" s="130"/>
      <c r="C5535" s="135"/>
      <c r="D5535" s="177"/>
      <c r="E5535" s="178"/>
      <c r="F5535" s="178"/>
      <c r="G5535" s="340"/>
      <c r="H5535" s="340"/>
      <c r="I5535" s="179"/>
      <c r="J5535" s="344"/>
      <c r="K5535" s="345"/>
      <c r="L5535" s="346"/>
      <c r="M5535" s="347"/>
      <c r="N5535" s="347"/>
      <c r="O5535" s="132"/>
    </row>
    <row r="5536" spans="2:15" ht="26.25" customHeight="1" x14ac:dyDescent="0.25">
      <c r="B5536" s="130"/>
      <c r="C5536" s="135"/>
      <c r="D5536" s="177"/>
      <c r="E5536" s="178"/>
      <c r="F5536" s="178"/>
      <c r="G5536" s="340"/>
      <c r="H5536" s="340"/>
      <c r="I5536" s="179"/>
      <c r="J5536" s="344"/>
      <c r="K5536" s="345"/>
      <c r="L5536" s="346"/>
      <c r="M5536" s="347"/>
      <c r="N5536" s="347"/>
      <c r="O5536" s="132"/>
    </row>
    <row r="5537" spans="2:15" ht="26.25" customHeight="1" x14ac:dyDescent="0.25">
      <c r="B5537" s="130"/>
      <c r="C5537" s="135"/>
      <c r="D5537" s="177"/>
      <c r="E5537" s="178"/>
      <c r="F5537" s="178"/>
      <c r="G5537" s="340"/>
      <c r="H5537" s="340"/>
      <c r="I5537" s="179"/>
      <c r="J5537" s="344"/>
      <c r="K5537" s="345"/>
      <c r="L5537" s="346"/>
      <c r="M5537" s="347"/>
      <c r="N5537" s="347"/>
      <c r="O5537" s="132"/>
    </row>
    <row r="5538" spans="2:15" ht="26.25" customHeight="1" x14ac:dyDescent="0.25">
      <c r="B5538" s="130"/>
      <c r="C5538" s="135"/>
      <c r="D5538" s="177"/>
      <c r="E5538" s="178"/>
      <c r="F5538" s="178"/>
      <c r="G5538" s="340"/>
      <c r="H5538" s="340"/>
      <c r="I5538" s="179"/>
      <c r="J5538" s="344"/>
      <c r="K5538" s="345"/>
      <c r="L5538" s="346"/>
      <c r="M5538" s="347"/>
      <c r="N5538" s="347"/>
      <c r="O5538" s="132"/>
    </row>
    <row r="5539" spans="2:15" ht="26.25" customHeight="1" x14ac:dyDescent="0.25">
      <c r="B5539" s="130"/>
      <c r="C5539" s="135"/>
      <c r="D5539" s="177"/>
      <c r="E5539" s="178"/>
      <c r="F5539" s="178"/>
      <c r="G5539" s="340"/>
      <c r="H5539" s="340"/>
      <c r="I5539" s="179"/>
      <c r="J5539" s="344"/>
      <c r="K5539" s="345"/>
      <c r="L5539" s="346"/>
      <c r="M5539" s="347"/>
      <c r="N5539" s="347"/>
      <c r="O5539" s="132"/>
    </row>
    <row r="5540" spans="2:15" ht="26.25" customHeight="1" x14ac:dyDescent="0.25">
      <c r="B5540" s="130"/>
      <c r="C5540" s="135"/>
      <c r="D5540" s="177"/>
      <c r="E5540" s="178"/>
      <c r="F5540" s="178"/>
      <c r="G5540" s="340"/>
      <c r="H5540" s="340"/>
      <c r="I5540" s="179"/>
      <c r="J5540" s="344"/>
      <c r="K5540" s="345"/>
      <c r="L5540" s="346"/>
      <c r="M5540" s="347"/>
      <c r="N5540" s="347"/>
      <c r="O5540" s="132"/>
    </row>
    <row r="5541" spans="2:15" ht="26.25" customHeight="1" x14ac:dyDescent="0.25">
      <c r="B5541" s="130"/>
      <c r="C5541" s="135"/>
      <c r="D5541" s="177"/>
      <c r="E5541" s="178"/>
      <c r="F5541" s="178"/>
      <c r="G5541" s="340"/>
      <c r="H5541" s="340"/>
      <c r="I5541" s="179"/>
      <c r="J5541" s="344"/>
      <c r="K5541" s="345"/>
      <c r="L5541" s="346"/>
      <c r="M5541" s="347"/>
      <c r="N5541" s="347"/>
      <c r="O5541" s="132"/>
    </row>
    <row r="5542" spans="2:15" ht="26.25" customHeight="1" x14ac:dyDescent="0.25">
      <c r="B5542" s="130"/>
      <c r="C5542" s="135"/>
      <c r="D5542" s="177"/>
      <c r="E5542" s="178"/>
      <c r="F5542" s="178"/>
      <c r="G5542" s="340"/>
      <c r="H5542" s="340"/>
      <c r="I5542" s="179"/>
      <c r="J5542" s="344"/>
      <c r="K5542" s="345"/>
      <c r="L5542" s="346"/>
      <c r="M5542" s="347"/>
      <c r="N5542" s="347"/>
      <c r="O5542" s="132"/>
    </row>
    <row r="5543" spans="2:15" ht="26.25" customHeight="1" x14ac:dyDescent="0.25">
      <c r="B5543" s="130"/>
      <c r="C5543" s="135"/>
      <c r="D5543" s="177"/>
      <c r="E5543" s="178"/>
      <c r="F5543" s="178"/>
      <c r="G5543" s="340"/>
      <c r="H5543" s="340"/>
      <c r="I5543" s="179"/>
      <c r="J5543" s="344"/>
      <c r="K5543" s="345"/>
      <c r="L5543" s="346"/>
      <c r="M5543" s="347"/>
      <c r="N5543" s="347"/>
      <c r="O5543" s="132"/>
    </row>
    <row r="5544" spans="2:15" ht="26.25" customHeight="1" x14ac:dyDescent="0.25">
      <c r="B5544" s="130"/>
      <c r="C5544" s="135"/>
      <c r="D5544" s="177"/>
      <c r="E5544" s="178"/>
      <c r="F5544" s="178"/>
      <c r="G5544" s="340"/>
      <c r="H5544" s="340"/>
      <c r="I5544" s="179"/>
      <c r="J5544" s="344"/>
      <c r="K5544" s="345"/>
      <c r="L5544" s="346"/>
      <c r="M5544" s="347"/>
      <c r="N5544" s="347"/>
      <c r="O5544" s="132"/>
    </row>
    <row r="5545" spans="2:15" ht="26.25" customHeight="1" x14ac:dyDescent="0.25">
      <c r="B5545" s="130"/>
      <c r="C5545" s="135"/>
      <c r="D5545" s="177"/>
      <c r="E5545" s="178"/>
      <c r="F5545" s="178"/>
      <c r="G5545" s="340"/>
      <c r="H5545" s="340"/>
      <c r="I5545" s="179"/>
      <c r="J5545" s="344"/>
      <c r="K5545" s="345"/>
      <c r="L5545" s="346"/>
      <c r="M5545" s="347"/>
      <c r="N5545" s="347"/>
      <c r="O5545" s="132"/>
    </row>
    <row r="5546" spans="2:15" ht="26.25" customHeight="1" x14ac:dyDescent="0.25">
      <c r="B5546" s="130"/>
      <c r="C5546" s="135"/>
      <c r="D5546" s="177"/>
      <c r="E5546" s="178"/>
      <c r="F5546" s="178"/>
      <c r="G5546" s="340"/>
      <c r="H5546" s="340"/>
      <c r="I5546" s="179"/>
      <c r="J5546" s="344"/>
      <c r="K5546" s="345"/>
      <c r="L5546" s="346"/>
      <c r="M5546" s="347"/>
      <c r="N5546" s="347"/>
      <c r="O5546" s="132"/>
    </row>
    <row r="5547" spans="2:15" ht="26.25" customHeight="1" x14ac:dyDescent="0.25">
      <c r="B5547" s="130"/>
      <c r="C5547" s="135"/>
      <c r="D5547" s="177"/>
      <c r="E5547" s="178"/>
      <c r="F5547" s="178"/>
      <c r="G5547" s="340"/>
      <c r="H5547" s="340"/>
      <c r="I5547" s="179"/>
      <c r="J5547" s="344"/>
      <c r="K5547" s="345"/>
      <c r="L5547" s="346"/>
      <c r="M5547" s="347"/>
      <c r="N5547" s="347"/>
      <c r="O5547" s="132"/>
    </row>
    <row r="5548" spans="2:15" ht="26.25" customHeight="1" x14ac:dyDescent="0.25">
      <c r="B5548" s="130"/>
      <c r="C5548" s="135"/>
      <c r="D5548" s="177"/>
      <c r="E5548" s="178"/>
      <c r="F5548" s="178"/>
      <c r="G5548" s="340"/>
      <c r="H5548" s="340"/>
      <c r="I5548" s="179"/>
      <c r="J5548" s="344"/>
      <c r="K5548" s="345"/>
      <c r="L5548" s="346"/>
      <c r="M5548" s="347"/>
      <c r="N5548" s="347"/>
      <c r="O5548" s="132"/>
    </row>
    <row r="5549" spans="2:15" ht="26.25" customHeight="1" x14ac:dyDescent="0.25">
      <c r="B5549" s="130"/>
      <c r="C5549" s="135"/>
      <c r="D5549" s="177"/>
      <c r="E5549" s="178"/>
      <c r="F5549" s="178"/>
      <c r="G5549" s="340"/>
      <c r="H5549" s="340"/>
      <c r="I5549" s="179"/>
      <c r="J5549" s="344"/>
      <c r="K5549" s="345"/>
      <c r="L5549" s="346"/>
      <c r="M5549" s="347"/>
      <c r="N5549" s="347"/>
      <c r="O5549" s="132"/>
    </row>
    <row r="5550" spans="2:15" ht="26.25" customHeight="1" x14ac:dyDescent="0.25">
      <c r="B5550" s="130"/>
      <c r="C5550" s="135"/>
      <c r="D5550" s="177"/>
      <c r="E5550" s="178"/>
      <c r="F5550" s="178"/>
      <c r="G5550" s="340"/>
      <c r="H5550" s="340"/>
      <c r="I5550" s="179"/>
      <c r="J5550" s="344"/>
      <c r="K5550" s="345"/>
      <c r="L5550" s="346"/>
      <c r="M5550" s="347"/>
      <c r="N5550" s="347"/>
      <c r="O5550" s="132"/>
    </row>
    <row r="5551" spans="2:15" ht="26.25" customHeight="1" x14ac:dyDescent="0.25">
      <c r="B5551" s="130"/>
      <c r="C5551" s="135"/>
      <c r="D5551" s="177"/>
      <c r="E5551" s="178"/>
      <c r="F5551" s="178"/>
      <c r="G5551" s="340"/>
      <c r="H5551" s="340"/>
      <c r="I5551" s="179"/>
      <c r="J5551" s="344"/>
      <c r="K5551" s="345"/>
      <c r="L5551" s="346"/>
      <c r="M5551" s="347"/>
      <c r="N5551" s="347"/>
      <c r="O5551" s="132"/>
    </row>
    <row r="5552" spans="2:15" ht="26.25" customHeight="1" x14ac:dyDescent="0.25">
      <c r="B5552" s="130"/>
      <c r="C5552" s="135"/>
      <c r="D5552" s="177"/>
      <c r="E5552" s="178"/>
      <c r="F5552" s="178"/>
      <c r="G5552" s="340"/>
      <c r="H5552" s="340"/>
      <c r="I5552" s="179"/>
      <c r="J5552" s="344"/>
      <c r="K5552" s="345"/>
      <c r="L5552" s="346"/>
      <c r="M5552" s="347"/>
      <c r="N5552" s="347"/>
      <c r="O5552" s="132"/>
    </row>
    <row r="5553" spans="2:15" ht="26.25" customHeight="1" x14ac:dyDescent="0.25">
      <c r="B5553" s="130"/>
      <c r="C5553" s="135"/>
      <c r="D5553" s="177"/>
      <c r="E5553" s="178"/>
      <c r="F5553" s="178"/>
      <c r="G5553" s="340"/>
      <c r="H5553" s="340"/>
      <c r="I5553" s="179"/>
      <c r="J5553" s="344"/>
      <c r="K5553" s="345"/>
      <c r="L5553" s="346"/>
      <c r="M5553" s="347"/>
      <c r="N5553" s="347"/>
      <c r="O5553" s="132"/>
    </row>
    <row r="5554" spans="2:15" ht="26.25" customHeight="1" x14ac:dyDescent="0.25">
      <c r="B5554" s="130"/>
      <c r="C5554" s="135"/>
      <c r="D5554" s="177"/>
      <c r="E5554" s="178"/>
      <c r="F5554" s="178"/>
      <c r="G5554" s="340"/>
      <c r="H5554" s="340"/>
      <c r="I5554" s="179"/>
      <c r="J5554" s="344"/>
      <c r="K5554" s="345"/>
      <c r="L5554" s="346"/>
      <c r="M5554" s="347"/>
      <c r="N5554" s="347"/>
      <c r="O5554" s="132"/>
    </row>
    <row r="5555" spans="2:15" ht="26.25" customHeight="1" x14ac:dyDescent="0.25">
      <c r="B5555" s="130"/>
      <c r="C5555" s="135"/>
      <c r="D5555" s="177"/>
      <c r="E5555" s="178"/>
      <c r="F5555" s="178"/>
      <c r="G5555" s="340"/>
      <c r="H5555" s="340"/>
      <c r="I5555" s="179"/>
      <c r="J5555" s="344"/>
      <c r="K5555" s="345"/>
      <c r="L5555" s="346"/>
      <c r="M5555" s="347"/>
      <c r="N5555" s="347"/>
      <c r="O5555" s="132"/>
    </row>
    <row r="5556" spans="2:15" ht="26.25" customHeight="1" x14ac:dyDescent="0.25">
      <c r="B5556" s="130"/>
      <c r="C5556" s="135"/>
      <c r="D5556" s="177"/>
      <c r="E5556" s="178"/>
      <c r="F5556" s="178"/>
      <c r="G5556" s="340"/>
      <c r="H5556" s="340"/>
      <c r="I5556" s="179"/>
      <c r="J5556" s="344"/>
      <c r="K5556" s="345"/>
      <c r="L5556" s="346"/>
      <c r="M5556" s="347"/>
      <c r="N5556" s="347"/>
      <c r="O5556" s="132"/>
    </row>
    <row r="5557" spans="2:15" ht="26.25" customHeight="1" x14ac:dyDescent="0.25">
      <c r="B5557" s="130"/>
      <c r="C5557" s="135"/>
      <c r="D5557" s="177"/>
      <c r="E5557" s="178"/>
      <c r="F5557" s="178"/>
      <c r="G5557" s="340"/>
      <c r="H5557" s="340"/>
      <c r="I5557" s="179"/>
      <c r="J5557" s="344"/>
      <c r="K5557" s="345"/>
      <c r="L5557" s="346"/>
      <c r="M5557" s="347"/>
      <c r="N5557" s="347"/>
      <c r="O5557" s="132"/>
    </row>
    <row r="5558" spans="2:15" ht="26.25" customHeight="1" x14ac:dyDescent="0.25">
      <c r="B5558" s="130"/>
      <c r="C5558" s="135"/>
      <c r="D5558" s="177"/>
      <c r="E5558" s="178"/>
      <c r="F5558" s="178"/>
      <c r="G5558" s="340"/>
      <c r="H5558" s="340"/>
      <c r="I5558" s="179"/>
      <c r="J5558" s="344"/>
      <c r="K5558" s="345"/>
      <c r="L5558" s="346"/>
      <c r="M5558" s="347"/>
      <c r="N5558" s="347"/>
      <c r="O5558" s="132"/>
    </row>
    <row r="5559" spans="2:15" ht="26.25" customHeight="1" x14ac:dyDescent="0.25">
      <c r="B5559" s="130"/>
      <c r="C5559" s="135"/>
      <c r="D5559" s="177"/>
      <c r="E5559" s="178"/>
      <c r="F5559" s="178"/>
      <c r="G5559" s="340"/>
      <c r="H5559" s="340"/>
      <c r="I5559" s="179"/>
      <c r="J5559" s="344"/>
      <c r="K5559" s="345"/>
      <c r="L5559" s="346"/>
      <c r="M5559" s="347"/>
      <c r="N5559" s="347"/>
      <c r="O5559" s="132"/>
    </row>
    <row r="5560" spans="2:15" ht="26.25" customHeight="1" x14ac:dyDescent="0.25">
      <c r="B5560" s="130"/>
      <c r="C5560" s="135"/>
      <c r="D5560" s="177"/>
      <c r="E5560" s="178"/>
      <c r="F5560" s="178"/>
      <c r="G5560" s="340"/>
      <c r="H5560" s="340"/>
      <c r="I5560" s="179"/>
      <c r="J5560" s="344"/>
      <c r="K5560" s="345"/>
      <c r="L5560" s="346"/>
      <c r="M5560" s="347"/>
      <c r="N5560" s="347"/>
      <c r="O5560" s="132"/>
    </row>
    <row r="5561" spans="2:15" ht="26.25" customHeight="1" x14ac:dyDescent="0.25">
      <c r="B5561" s="130"/>
      <c r="C5561" s="135"/>
      <c r="D5561" s="177"/>
      <c r="E5561" s="178"/>
      <c r="F5561" s="178"/>
      <c r="G5561" s="340"/>
      <c r="H5561" s="340"/>
      <c r="I5561" s="179"/>
      <c r="J5561" s="344"/>
      <c r="K5561" s="345"/>
      <c r="L5561" s="346"/>
      <c r="M5561" s="347"/>
      <c r="N5561" s="347"/>
      <c r="O5561" s="132"/>
    </row>
    <row r="5562" spans="2:15" ht="26.25" customHeight="1" x14ac:dyDescent="0.25">
      <c r="B5562" s="130"/>
      <c r="C5562" s="135"/>
      <c r="D5562" s="177"/>
      <c r="E5562" s="178"/>
      <c r="F5562" s="178"/>
      <c r="G5562" s="340"/>
      <c r="H5562" s="340"/>
      <c r="I5562" s="179"/>
      <c r="J5562" s="344"/>
      <c r="K5562" s="345"/>
      <c r="L5562" s="346"/>
      <c r="M5562" s="347"/>
      <c r="N5562" s="347"/>
      <c r="O5562" s="132"/>
    </row>
    <row r="5563" spans="2:15" ht="26.25" customHeight="1" x14ac:dyDescent="0.25">
      <c r="B5563" s="130"/>
      <c r="C5563" s="135"/>
      <c r="D5563" s="177"/>
      <c r="E5563" s="178"/>
      <c r="F5563" s="178"/>
      <c r="G5563" s="340"/>
      <c r="H5563" s="340"/>
      <c r="I5563" s="179"/>
      <c r="J5563" s="344"/>
      <c r="K5563" s="345"/>
      <c r="L5563" s="346"/>
      <c r="M5563" s="347"/>
      <c r="N5563" s="347"/>
      <c r="O5563" s="132"/>
    </row>
    <row r="5564" spans="2:15" ht="26.25" customHeight="1" x14ac:dyDescent="0.25">
      <c r="B5564" s="130"/>
      <c r="C5564" s="135"/>
      <c r="D5564" s="177"/>
      <c r="E5564" s="178"/>
      <c r="F5564" s="178"/>
      <c r="G5564" s="340"/>
      <c r="H5564" s="340"/>
      <c r="I5564" s="179"/>
      <c r="J5564" s="344"/>
      <c r="K5564" s="345"/>
      <c r="L5564" s="346"/>
      <c r="M5564" s="347"/>
      <c r="N5564" s="347"/>
      <c r="O5564" s="132"/>
    </row>
    <row r="5565" spans="2:15" ht="26.25" customHeight="1" x14ac:dyDescent="0.25">
      <c r="B5565" s="130"/>
      <c r="C5565" s="135"/>
      <c r="D5565" s="177"/>
      <c r="E5565" s="178"/>
      <c r="F5565" s="178"/>
      <c r="G5565" s="340"/>
      <c r="H5565" s="340"/>
      <c r="I5565" s="179"/>
      <c r="J5565" s="344"/>
      <c r="K5565" s="345"/>
      <c r="L5565" s="346"/>
      <c r="M5565" s="347"/>
      <c r="N5565" s="347"/>
      <c r="O5565" s="132"/>
    </row>
    <row r="5566" spans="2:15" ht="26.25" customHeight="1" x14ac:dyDescent="0.25">
      <c r="B5566" s="130"/>
      <c r="C5566" s="135"/>
      <c r="D5566" s="177"/>
      <c r="E5566" s="178"/>
      <c r="F5566" s="178"/>
      <c r="G5566" s="340"/>
      <c r="H5566" s="340"/>
      <c r="I5566" s="179"/>
      <c r="J5566" s="344"/>
      <c r="K5566" s="345"/>
      <c r="L5566" s="346"/>
      <c r="M5566" s="347"/>
      <c r="N5566" s="347"/>
      <c r="O5566" s="132"/>
    </row>
    <row r="5567" spans="2:15" ht="26.25" customHeight="1" x14ac:dyDescent="0.25">
      <c r="B5567" s="130"/>
      <c r="C5567" s="135"/>
      <c r="D5567" s="177"/>
      <c r="E5567" s="178"/>
      <c r="F5567" s="178"/>
      <c r="G5567" s="340"/>
      <c r="H5567" s="340"/>
      <c r="I5567" s="179"/>
      <c r="J5567" s="344"/>
      <c r="K5567" s="345"/>
      <c r="L5567" s="346"/>
      <c r="M5567" s="347"/>
      <c r="N5567" s="347"/>
      <c r="O5567" s="132"/>
    </row>
    <row r="5568" spans="2:15" ht="26.25" customHeight="1" x14ac:dyDescent="0.25">
      <c r="B5568" s="130"/>
      <c r="C5568" s="135"/>
      <c r="D5568" s="177"/>
      <c r="E5568" s="178"/>
      <c r="F5568" s="178"/>
      <c r="G5568" s="340"/>
      <c r="H5568" s="340"/>
      <c r="I5568" s="179"/>
      <c r="J5568" s="344"/>
      <c r="K5568" s="345"/>
      <c r="L5568" s="346"/>
      <c r="M5568" s="347"/>
      <c r="N5568" s="347"/>
      <c r="O5568" s="132"/>
    </row>
    <row r="5569" spans="2:15" ht="26.25" customHeight="1" x14ac:dyDescent="0.25">
      <c r="B5569" s="130"/>
      <c r="C5569" s="135"/>
      <c r="D5569" s="177"/>
      <c r="E5569" s="178"/>
      <c r="F5569" s="178"/>
      <c r="G5569" s="340"/>
      <c r="H5569" s="340"/>
      <c r="I5569" s="179"/>
      <c r="J5569" s="344"/>
      <c r="K5569" s="345"/>
      <c r="L5569" s="346"/>
      <c r="M5569" s="347"/>
      <c r="N5569" s="347"/>
      <c r="O5569" s="132"/>
    </row>
    <row r="5570" spans="2:15" ht="26.25" customHeight="1" x14ac:dyDescent="0.25">
      <c r="B5570" s="130"/>
      <c r="C5570" s="135"/>
      <c r="D5570" s="177"/>
      <c r="E5570" s="178"/>
      <c r="F5570" s="178"/>
      <c r="G5570" s="340"/>
      <c r="H5570" s="340"/>
      <c r="I5570" s="179"/>
      <c r="J5570" s="344"/>
      <c r="K5570" s="345"/>
      <c r="L5570" s="346"/>
      <c r="M5570" s="347"/>
      <c r="N5570" s="347"/>
      <c r="O5570" s="132"/>
    </row>
    <row r="5571" spans="2:15" ht="26.25" customHeight="1" x14ac:dyDescent="0.25">
      <c r="B5571" s="130"/>
      <c r="C5571" s="135"/>
      <c r="D5571" s="177"/>
      <c r="E5571" s="178"/>
      <c r="F5571" s="178"/>
      <c r="G5571" s="340"/>
      <c r="H5571" s="340"/>
      <c r="I5571" s="179"/>
      <c r="J5571" s="344"/>
      <c r="K5571" s="345"/>
      <c r="L5571" s="346"/>
      <c r="M5571" s="347"/>
      <c r="N5571" s="347"/>
      <c r="O5571" s="132"/>
    </row>
    <row r="5572" spans="2:15" ht="26.25" customHeight="1" x14ac:dyDescent="0.25">
      <c r="B5572" s="130"/>
      <c r="C5572" s="135"/>
      <c r="D5572" s="177"/>
      <c r="E5572" s="178"/>
      <c r="F5572" s="178"/>
      <c r="G5572" s="340"/>
      <c r="H5572" s="340"/>
      <c r="I5572" s="179"/>
      <c r="J5572" s="344"/>
      <c r="K5572" s="345"/>
      <c r="L5572" s="346"/>
      <c r="M5572" s="347"/>
      <c r="N5572" s="347"/>
      <c r="O5572" s="132"/>
    </row>
    <row r="5573" spans="2:15" ht="26.25" customHeight="1" x14ac:dyDescent="0.25">
      <c r="B5573" s="130"/>
      <c r="C5573" s="135"/>
      <c r="D5573" s="177"/>
      <c r="E5573" s="178"/>
      <c r="F5573" s="178"/>
      <c r="G5573" s="340"/>
      <c r="H5573" s="340"/>
      <c r="I5573" s="179"/>
      <c r="J5573" s="344"/>
      <c r="K5573" s="345"/>
      <c r="L5573" s="346"/>
      <c r="M5573" s="347"/>
      <c r="N5573" s="347"/>
      <c r="O5573" s="132"/>
    </row>
    <row r="5574" spans="2:15" ht="26.25" customHeight="1" x14ac:dyDescent="0.25">
      <c r="B5574" s="130"/>
      <c r="C5574" s="135"/>
      <c r="D5574" s="177"/>
      <c r="E5574" s="178"/>
      <c r="F5574" s="178"/>
      <c r="G5574" s="340"/>
      <c r="H5574" s="340"/>
      <c r="I5574" s="179"/>
      <c r="J5574" s="344"/>
      <c r="K5574" s="345"/>
      <c r="L5574" s="346"/>
      <c r="M5574" s="347"/>
      <c r="N5574" s="347"/>
      <c r="O5574" s="132"/>
    </row>
    <row r="5575" spans="2:15" ht="26.25" customHeight="1" x14ac:dyDescent="0.25">
      <c r="B5575" s="130"/>
      <c r="C5575" s="135"/>
      <c r="D5575" s="177"/>
      <c r="E5575" s="178"/>
      <c r="F5575" s="178"/>
      <c r="G5575" s="340"/>
      <c r="H5575" s="340"/>
      <c r="I5575" s="179"/>
      <c r="J5575" s="344"/>
      <c r="K5575" s="345"/>
      <c r="L5575" s="346"/>
      <c r="M5575" s="347"/>
      <c r="N5575" s="347"/>
      <c r="O5575" s="132"/>
    </row>
    <row r="5576" spans="2:15" ht="26.25" customHeight="1" x14ac:dyDescent="0.25">
      <c r="B5576" s="130"/>
      <c r="C5576" s="135"/>
      <c r="D5576" s="177"/>
      <c r="E5576" s="178"/>
      <c r="F5576" s="178"/>
      <c r="G5576" s="340"/>
      <c r="H5576" s="340"/>
      <c r="I5576" s="179"/>
      <c r="J5576" s="344"/>
      <c r="K5576" s="345"/>
      <c r="L5576" s="346"/>
      <c r="M5576" s="347"/>
      <c r="N5576" s="347"/>
      <c r="O5576" s="132"/>
    </row>
    <row r="5577" spans="2:15" ht="26.25" customHeight="1" x14ac:dyDescent="0.25">
      <c r="B5577" s="130"/>
      <c r="C5577" s="135"/>
      <c r="D5577" s="177"/>
      <c r="E5577" s="178"/>
      <c r="F5577" s="178"/>
      <c r="G5577" s="340"/>
      <c r="H5577" s="340"/>
      <c r="I5577" s="179"/>
      <c r="J5577" s="344"/>
      <c r="K5577" s="345"/>
      <c r="L5577" s="346"/>
      <c r="M5577" s="347"/>
      <c r="N5577" s="347"/>
      <c r="O5577" s="132"/>
    </row>
    <row r="5578" spans="2:15" ht="26.25" customHeight="1" x14ac:dyDescent="0.25">
      <c r="B5578" s="130"/>
      <c r="C5578" s="135"/>
      <c r="D5578" s="177"/>
      <c r="E5578" s="178"/>
      <c r="F5578" s="178"/>
      <c r="G5578" s="340"/>
      <c r="H5578" s="340"/>
      <c r="I5578" s="179"/>
      <c r="J5578" s="344"/>
      <c r="K5578" s="345"/>
      <c r="L5578" s="346"/>
      <c r="M5578" s="347"/>
      <c r="N5578" s="347"/>
      <c r="O5578" s="132"/>
    </row>
    <row r="5579" spans="2:15" ht="26.25" customHeight="1" x14ac:dyDescent="0.25">
      <c r="B5579" s="130"/>
      <c r="C5579" s="135"/>
      <c r="D5579" s="177"/>
      <c r="E5579" s="178"/>
      <c r="F5579" s="178"/>
      <c r="G5579" s="340"/>
      <c r="H5579" s="340"/>
      <c r="I5579" s="179"/>
      <c r="J5579" s="344"/>
      <c r="K5579" s="345"/>
      <c r="L5579" s="346"/>
      <c r="M5579" s="347"/>
      <c r="N5579" s="347"/>
      <c r="O5579" s="132"/>
    </row>
    <row r="5580" spans="2:15" ht="26.25" customHeight="1" x14ac:dyDescent="0.25">
      <c r="B5580" s="130"/>
      <c r="C5580" s="135"/>
      <c r="D5580" s="177"/>
      <c r="E5580" s="178"/>
      <c r="F5580" s="178"/>
      <c r="G5580" s="340"/>
      <c r="H5580" s="340"/>
      <c r="I5580" s="179"/>
      <c r="J5580" s="344"/>
      <c r="K5580" s="345"/>
      <c r="L5580" s="346"/>
      <c r="M5580" s="347"/>
      <c r="N5580" s="347"/>
      <c r="O5580" s="132"/>
    </row>
    <row r="5581" spans="2:15" ht="26.25" customHeight="1" x14ac:dyDescent="0.25">
      <c r="B5581" s="130"/>
      <c r="C5581" s="135"/>
      <c r="D5581" s="177"/>
      <c r="E5581" s="178"/>
      <c r="F5581" s="178"/>
      <c r="G5581" s="340"/>
      <c r="H5581" s="340"/>
      <c r="I5581" s="179"/>
      <c r="J5581" s="344"/>
      <c r="K5581" s="345"/>
      <c r="L5581" s="346"/>
      <c r="M5581" s="347"/>
      <c r="N5581" s="347"/>
      <c r="O5581" s="132"/>
    </row>
    <row r="5582" spans="2:15" ht="26.25" customHeight="1" x14ac:dyDescent="0.25">
      <c r="B5582" s="130"/>
      <c r="C5582" s="135"/>
      <c r="D5582" s="177"/>
      <c r="E5582" s="178"/>
      <c r="F5582" s="178"/>
      <c r="G5582" s="340"/>
      <c r="H5582" s="340"/>
      <c r="I5582" s="179"/>
      <c r="J5582" s="344"/>
      <c r="K5582" s="345"/>
      <c r="L5582" s="346"/>
      <c r="M5582" s="347"/>
      <c r="N5582" s="347"/>
      <c r="O5582" s="132"/>
    </row>
    <row r="5583" spans="2:15" ht="26.25" customHeight="1" x14ac:dyDescent="0.25">
      <c r="B5583" s="130"/>
      <c r="C5583" s="135"/>
      <c r="D5583" s="177"/>
      <c r="E5583" s="178"/>
      <c r="F5583" s="178"/>
      <c r="G5583" s="340"/>
      <c r="H5583" s="340"/>
      <c r="I5583" s="179"/>
      <c r="J5583" s="344"/>
      <c r="K5583" s="345"/>
      <c r="L5583" s="346"/>
      <c r="M5583" s="347"/>
      <c r="N5583" s="347"/>
      <c r="O5583" s="132"/>
    </row>
    <row r="5584" spans="2:15" ht="26.25" customHeight="1" x14ac:dyDescent="0.25">
      <c r="B5584" s="130"/>
      <c r="C5584" s="135"/>
      <c r="D5584" s="177"/>
      <c r="E5584" s="178"/>
      <c r="F5584" s="178"/>
      <c r="G5584" s="340"/>
      <c r="H5584" s="340"/>
      <c r="I5584" s="179"/>
      <c r="J5584" s="344"/>
      <c r="K5584" s="345"/>
      <c r="L5584" s="346"/>
      <c r="M5584" s="347"/>
      <c r="N5584" s="347"/>
      <c r="O5584" s="132"/>
    </row>
    <row r="5585" spans="2:15" ht="26.25" customHeight="1" x14ac:dyDescent="0.25">
      <c r="B5585" s="130"/>
      <c r="C5585" s="135"/>
      <c r="D5585" s="177"/>
      <c r="E5585" s="178"/>
      <c r="F5585" s="178"/>
      <c r="G5585" s="340"/>
      <c r="H5585" s="340"/>
      <c r="I5585" s="179"/>
      <c r="J5585" s="344"/>
      <c r="K5585" s="345"/>
      <c r="L5585" s="346"/>
      <c r="M5585" s="347"/>
      <c r="N5585" s="347"/>
      <c r="O5585" s="132"/>
    </row>
    <row r="5586" spans="2:15" ht="26.25" customHeight="1" x14ac:dyDescent="0.25">
      <c r="B5586" s="130"/>
      <c r="C5586" s="135"/>
      <c r="D5586" s="177"/>
      <c r="E5586" s="178"/>
      <c r="F5586" s="178"/>
      <c r="G5586" s="340"/>
      <c r="H5586" s="340"/>
      <c r="I5586" s="179"/>
      <c r="J5586" s="344"/>
      <c r="K5586" s="345"/>
      <c r="L5586" s="346"/>
      <c r="M5586" s="347"/>
      <c r="N5586" s="347"/>
      <c r="O5586" s="132"/>
    </row>
    <row r="5587" spans="2:15" ht="26.25" customHeight="1" x14ac:dyDescent="0.25">
      <c r="B5587" s="130"/>
      <c r="C5587" s="135"/>
      <c r="D5587" s="177"/>
      <c r="E5587" s="178"/>
      <c r="F5587" s="178"/>
      <c r="G5587" s="340"/>
      <c r="H5587" s="340"/>
      <c r="I5587" s="179"/>
      <c r="J5587" s="344"/>
      <c r="K5587" s="345"/>
      <c r="L5587" s="346"/>
      <c r="M5587" s="347"/>
      <c r="N5587" s="347"/>
      <c r="O5587" s="132"/>
    </row>
    <row r="5588" spans="2:15" ht="26.25" customHeight="1" x14ac:dyDescent="0.25">
      <c r="B5588" s="130"/>
      <c r="C5588" s="135"/>
      <c r="D5588" s="177"/>
      <c r="E5588" s="178"/>
      <c r="F5588" s="178"/>
      <c r="G5588" s="340"/>
      <c r="H5588" s="340"/>
      <c r="I5588" s="179"/>
      <c r="J5588" s="344"/>
      <c r="K5588" s="345"/>
      <c r="L5588" s="346"/>
      <c r="M5588" s="347"/>
      <c r="N5588" s="347"/>
      <c r="O5588" s="132"/>
    </row>
    <row r="5589" spans="2:15" ht="26.25" customHeight="1" x14ac:dyDescent="0.25">
      <c r="B5589" s="130"/>
      <c r="C5589" s="135"/>
      <c r="D5589" s="177"/>
      <c r="E5589" s="178"/>
      <c r="F5589" s="178"/>
      <c r="G5589" s="340"/>
      <c r="H5589" s="340"/>
      <c r="I5589" s="179"/>
      <c r="J5589" s="344"/>
      <c r="K5589" s="345"/>
      <c r="L5589" s="346"/>
      <c r="M5589" s="347"/>
      <c r="N5589" s="347"/>
      <c r="O5589" s="132"/>
    </row>
    <row r="5590" spans="2:15" ht="26.25" customHeight="1" x14ac:dyDescent="0.25">
      <c r="B5590" s="130"/>
      <c r="C5590" s="135"/>
      <c r="D5590" s="177"/>
      <c r="E5590" s="178"/>
      <c r="F5590" s="178"/>
      <c r="G5590" s="340"/>
      <c r="H5590" s="340"/>
      <c r="I5590" s="179"/>
      <c r="J5590" s="344"/>
      <c r="K5590" s="345"/>
      <c r="L5590" s="346"/>
      <c r="M5590" s="347"/>
      <c r="N5590" s="347"/>
      <c r="O5590" s="132"/>
    </row>
    <row r="5591" spans="2:15" ht="26.25" customHeight="1" x14ac:dyDescent="0.25">
      <c r="B5591" s="130"/>
      <c r="C5591" s="135"/>
      <c r="D5591" s="177"/>
      <c r="E5591" s="178"/>
      <c r="F5591" s="178"/>
      <c r="G5591" s="340"/>
      <c r="H5591" s="340"/>
      <c r="I5591" s="179"/>
      <c r="J5591" s="344"/>
      <c r="K5591" s="345"/>
      <c r="L5591" s="346"/>
      <c r="M5591" s="347"/>
      <c r="N5591" s="347"/>
      <c r="O5591" s="132"/>
    </row>
    <row r="5592" spans="2:15" ht="26.25" customHeight="1" x14ac:dyDescent="0.25">
      <c r="B5592" s="130"/>
      <c r="C5592" s="135"/>
      <c r="D5592" s="177"/>
      <c r="E5592" s="178"/>
      <c r="F5592" s="178"/>
      <c r="G5592" s="340"/>
      <c r="H5592" s="340"/>
      <c r="I5592" s="179"/>
      <c r="J5592" s="344"/>
      <c r="K5592" s="345"/>
      <c r="L5592" s="346"/>
      <c r="M5592" s="347"/>
      <c r="N5592" s="347"/>
      <c r="O5592" s="132"/>
    </row>
    <row r="5593" spans="2:15" ht="26.25" customHeight="1" x14ac:dyDescent="0.25">
      <c r="B5593" s="130"/>
      <c r="C5593" s="135"/>
      <c r="D5593" s="177"/>
      <c r="E5593" s="178"/>
      <c r="F5593" s="178"/>
      <c r="G5593" s="340"/>
      <c r="H5593" s="340"/>
      <c r="I5593" s="179"/>
      <c r="J5593" s="344"/>
      <c r="K5593" s="345"/>
      <c r="L5593" s="346"/>
      <c r="M5593" s="347"/>
      <c r="N5593" s="347"/>
      <c r="O5593" s="132"/>
    </row>
    <row r="5594" spans="2:15" ht="26.25" customHeight="1" x14ac:dyDescent="0.25">
      <c r="B5594" s="130"/>
      <c r="C5594" s="135"/>
      <c r="D5594" s="177"/>
      <c r="E5594" s="178"/>
      <c r="F5594" s="178"/>
      <c r="G5594" s="340"/>
      <c r="H5594" s="340"/>
      <c r="I5594" s="179"/>
      <c r="J5594" s="344"/>
      <c r="K5594" s="345"/>
      <c r="L5594" s="346"/>
      <c r="M5594" s="347"/>
      <c r="N5594" s="347"/>
      <c r="O5594" s="132"/>
    </row>
    <row r="5595" spans="2:15" ht="26.25" customHeight="1" x14ac:dyDescent="0.25">
      <c r="B5595" s="130"/>
      <c r="C5595" s="135"/>
      <c r="D5595" s="177"/>
      <c r="E5595" s="178"/>
      <c r="F5595" s="178"/>
      <c r="G5595" s="340"/>
      <c r="H5595" s="340"/>
      <c r="I5595" s="179"/>
      <c r="J5595" s="344"/>
      <c r="K5595" s="345"/>
      <c r="L5595" s="346"/>
      <c r="M5595" s="347"/>
      <c r="N5595" s="347"/>
      <c r="O5595" s="132"/>
    </row>
    <row r="5596" spans="2:15" ht="26.25" customHeight="1" x14ac:dyDescent="0.25">
      <c r="B5596" s="130"/>
      <c r="C5596" s="135"/>
      <c r="D5596" s="177"/>
      <c r="E5596" s="178"/>
      <c r="F5596" s="178"/>
      <c r="G5596" s="340"/>
      <c r="H5596" s="340"/>
      <c r="I5596" s="179"/>
      <c r="J5596" s="344"/>
      <c r="K5596" s="345"/>
      <c r="L5596" s="346"/>
      <c r="M5596" s="347"/>
      <c r="N5596" s="347"/>
      <c r="O5596" s="132"/>
    </row>
    <row r="5597" spans="2:15" ht="26.25" customHeight="1" x14ac:dyDescent="0.25">
      <c r="B5597" s="130"/>
      <c r="C5597" s="135"/>
      <c r="D5597" s="177"/>
      <c r="E5597" s="178"/>
      <c r="F5597" s="178"/>
      <c r="G5597" s="340"/>
      <c r="H5597" s="340"/>
      <c r="I5597" s="179"/>
      <c r="J5597" s="344"/>
      <c r="K5597" s="345"/>
      <c r="L5597" s="346"/>
      <c r="M5597" s="347"/>
      <c r="N5597" s="347"/>
      <c r="O5597" s="132"/>
    </row>
    <row r="5598" spans="2:15" ht="26.25" customHeight="1" x14ac:dyDescent="0.25">
      <c r="B5598" s="130"/>
      <c r="C5598" s="135"/>
      <c r="D5598" s="177"/>
      <c r="E5598" s="178"/>
      <c r="F5598" s="178"/>
      <c r="G5598" s="340"/>
      <c r="H5598" s="340"/>
      <c r="I5598" s="179"/>
      <c r="J5598" s="344"/>
      <c r="K5598" s="345"/>
      <c r="L5598" s="346"/>
      <c r="M5598" s="347"/>
      <c r="N5598" s="347"/>
      <c r="O5598" s="132"/>
    </row>
    <row r="5599" spans="2:15" ht="26.25" customHeight="1" x14ac:dyDescent="0.25">
      <c r="B5599" s="130"/>
      <c r="C5599" s="135"/>
      <c r="D5599" s="177"/>
      <c r="E5599" s="178"/>
      <c r="F5599" s="178"/>
      <c r="G5599" s="340"/>
      <c r="H5599" s="340"/>
      <c r="I5599" s="179"/>
      <c r="J5599" s="344"/>
      <c r="K5599" s="345"/>
      <c r="L5599" s="346"/>
      <c r="M5599" s="347"/>
      <c r="N5599" s="347"/>
      <c r="O5599" s="132"/>
    </row>
    <row r="5600" spans="2:15" ht="26.25" customHeight="1" x14ac:dyDescent="0.25">
      <c r="B5600" s="130"/>
      <c r="C5600" s="135"/>
      <c r="D5600" s="177"/>
      <c r="E5600" s="178"/>
      <c r="F5600" s="178"/>
      <c r="G5600" s="340"/>
      <c r="H5600" s="340"/>
      <c r="I5600" s="179"/>
      <c r="J5600" s="344"/>
      <c r="K5600" s="345"/>
      <c r="L5600" s="346"/>
      <c r="M5600" s="347"/>
      <c r="N5600" s="347"/>
      <c r="O5600" s="132"/>
    </row>
    <row r="5601" spans="2:15" ht="26.25" customHeight="1" x14ac:dyDescent="0.25">
      <c r="B5601" s="130"/>
      <c r="C5601" s="135"/>
      <c r="D5601" s="177"/>
      <c r="E5601" s="178"/>
      <c r="F5601" s="178"/>
      <c r="G5601" s="340"/>
      <c r="H5601" s="340"/>
      <c r="I5601" s="179"/>
      <c r="J5601" s="344"/>
      <c r="K5601" s="345"/>
      <c r="L5601" s="346"/>
      <c r="M5601" s="347"/>
      <c r="N5601" s="347"/>
      <c r="O5601" s="132"/>
    </row>
    <row r="5602" spans="2:15" ht="26.25" customHeight="1" x14ac:dyDescent="0.25">
      <c r="B5602" s="130"/>
      <c r="C5602" s="135"/>
      <c r="D5602" s="177"/>
      <c r="E5602" s="178"/>
      <c r="F5602" s="178"/>
      <c r="G5602" s="340"/>
      <c r="H5602" s="340"/>
      <c r="I5602" s="179"/>
      <c r="J5602" s="344"/>
      <c r="K5602" s="345"/>
      <c r="L5602" s="346"/>
      <c r="M5602" s="347"/>
      <c r="N5602" s="347"/>
      <c r="O5602" s="132"/>
    </row>
    <row r="5603" spans="2:15" ht="26.25" customHeight="1" x14ac:dyDescent="0.25">
      <c r="B5603" s="130"/>
      <c r="C5603" s="135"/>
      <c r="D5603" s="177"/>
      <c r="E5603" s="178"/>
      <c r="F5603" s="178"/>
      <c r="G5603" s="340"/>
      <c r="H5603" s="340"/>
      <c r="I5603" s="179"/>
      <c r="J5603" s="344"/>
      <c r="K5603" s="345"/>
      <c r="L5603" s="346"/>
      <c r="M5603" s="347"/>
      <c r="N5603" s="347"/>
      <c r="O5603" s="132"/>
    </row>
    <row r="5604" spans="2:15" ht="26.25" customHeight="1" x14ac:dyDescent="0.25">
      <c r="B5604" s="130"/>
      <c r="C5604" s="135"/>
      <c r="D5604" s="177"/>
      <c r="E5604" s="178"/>
      <c r="F5604" s="178"/>
      <c r="G5604" s="340"/>
      <c r="H5604" s="340"/>
      <c r="I5604" s="179"/>
      <c r="J5604" s="344"/>
      <c r="K5604" s="345"/>
      <c r="L5604" s="346"/>
      <c r="M5604" s="347"/>
      <c r="N5604" s="347"/>
      <c r="O5604" s="132"/>
    </row>
    <row r="5605" spans="2:15" ht="26.25" customHeight="1" x14ac:dyDescent="0.25">
      <c r="B5605" s="130"/>
      <c r="C5605" s="135"/>
      <c r="D5605" s="177"/>
      <c r="E5605" s="178"/>
      <c r="F5605" s="178"/>
      <c r="G5605" s="340"/>
      <c r="H5605" s="340"/>
      <c r="I5605" s="179"/>
      <c r="J5605" s="344"/>
      <c r="K5605" s="345"/>
      <c r="L5605" s="346"/>
      <c r="M5605" s="347"/>
      <c r="N5605" s="347"/>
      <c r="O5605" s="132"/>
    </row>
    <row r="5606" spans="2:15" ht="26.25" customHeight="1" x14ac:dyDescent="0.25">
      <c r="B5606" s="130"/>
      <c r="C5606" s="135"/>
      <c r="D5606" s="177"/>
      <c r="E5606" s="178"/>
      <c r="F5606" s="178"/>
      <c r="G5606" s="340"/>
      <c r="H5606" s="340"/>
      <c r="I5606" s="179"/>
      <c r="J5606" s="344"/>
      <c r="K5606" s="345"/>
      <c r="L5606" s="346"/>
      <c r="M5606" s="347"/>
      <c r="N5606" s="347"/>
      <c r="O5606" s="132"/>
    </row>
    <row r="5607" spans="2:15" ht="26.25" customHeight="1" x14ac:dyDescent="0.25">
      <c r="B5607" s="130"/>
      <c r="C5607" s="135"/>
      <c r="D5607" s="177"/>
      <c r="E5607" s="178"/>
      <c r="F5607" s="178"/>
      <c r="G5607" s="340"/>
      <c r="H5607" s="340"/>
      <c r="I5607" s="179"/>
      <c r="J5607" s="344"/>
      <c r="K5607" s="345"/>
      <c r="L5607" s="346"/>
      <c r="M5607" s="347"/>
      <c r="N5607" s="347"/>
      <c r="O5607" s="132"/>
    </row>
    <row r="5608" spans="2:15" ht="26.25" customHeight="1" x14ac:dyDescent="0.25">
      <c r="B5608" s="130"/>
      <c r="C5608" s="135"/>
      <c r="D5608" s="177"/>
      <c r="E5608" s="178"/>
      <c r="F5608" s="178"/>
      <c r="G5608" s="340"/>
      <c r="H5608" s="340"/>
      <c r="I5608" s="179"/>
      <c r="J5608" s="344"/>
      <c r="K5608" s="345"/>
      <c r="L5608" s="346"/>
      <c r="M5608" s="347"/>
      <c r="N5608" s="347"/>
      <c r="O5608" s="132"/>
    </row>
    <row r="5609" spans="2:15" ht="26.25" customHeight="1" x14ac:dyDescent="0.25">
      <c r="B5609" s="130"/>
      <c r="C5609" s="135"/>
      <c r="D5609" s="177"/>
      <c r="E5609" s="178"/>
      <c r="F5609" s="178"/>
      <c r="G5609" s="340"/>
      <c r="H5609" s="340"/>
      <c r="I5609" s="179"/>
      <c r="J5609" s="344"/>
      <c r="K5609" s="345"/>
      <c r="L5609" s="346"/>
      <c r="M5609" s="347"/>
      <c r="N5609" s="347"/>
      <c r="O5609" s="132"/>
    </row>
    <row r="5610" spans="2:15" ht="26.25" customHeight="1" x14ac:dyDescent="0.25">
      <c r="B5610" s="130"/>
      <c r="C5610" s="135"/>
      <c r="D5610" s="177"/>
      <c r="E5610" s="178"/>
      <c r="F5610" s="178"/>
      <c r="G5610" s="340"/>
      <c r="H5610" s="340"/>
      <c r="I5610" s="179"/>
      <c r="J5610" s="344"/>
      <c r="K5610" s="345"/>
      <c r="L5610" s="346"/>
      <c r="M5610" s="347"/>
      <c r="N5610" s="347"/>
      <c r="O5610" s="132"/>
    </row>
    <row r="5611" spans="2:15" ht="26.25" customHeight="1" x14ac:dyDescent="0.25">
      <c r="B5611" s="130"/>
      <c r="C5611" s="135"/>
      <c r="D5611" s="177"/>
      <c r="E5611" s="178"/>
      <c r="F5611" s="178"/>
      <c r="G5611" s="340"/>
      <c r="H5611" s="340"/>
      <c r="I5611" s="179"/>
      <c r="J5611" s="344"/>
      <c r="K5611" s="345"/>
      <c r="L5611" s="346"/>
      <c r="M5611" s="347"/>
      <c r="N5611" s="347"/>
      <c r="O5611" s="132"/>
    </row>
    <row r="5612" spans="2:15" ht="26.25" customHeight="1" x14ac:dyDescent="0.25">
      <c r="B5612" s="130"/>
      <c r="C5612" s="135"/>
      <c r="D5612" s="177"/>
      <c r="E5612" s="178"/>
      <c r="F5612" s="178"/>
      <c r="G5612" s="340"/>
      <c r="H5612" s="340"/>
      <c r="I5612" s="179"/>
      <c r="J5612" s="344"/>
      <c r="K5612" s="345"/>
      <c r="L5612" s="346"/>
      <c r="M5612" s="347"/>
      <c r="N5612" s="347"/>
      <c r="O5612" s="132"/>
    </row>
    <row r="5613" spans="2:15" ht="26.25" customHeight="1" x14ac:dyDescent="0.25">
      <c r="B5613" s="130"/>
      <c r="C5613" s="135"/>
      <c r="D5613" s="177"/>
      <c r="E5613" s="178"/>
      <c r="F5613" s="178"/>
      <c r="G5613" s="340"/>
      <c r="H5613" s="340"/>
      <c r="I5613" s="179"/>
      <c r="J5613" s="344"/>
      <c r="K5613" s="345"/>
      <c r="L5613" s="346"/>
      <c r="M5613" s="347"/>
      <c r="N5613" s="347"/>
      <c r="O5613" s="132"/>
    </row>
    <row r="5614" spans="2:15" ht="26.25" customHeight="1" x14ac:dyDescent="0.25">
      <c r="B5614" s="130"/>
      <c r="C5614" s="135"/>
      <c r="D5614" s="177"/>
      <c r="E5614" s="178"/>
      <c r="F5614" s="178"/>
      <c r="G5614" s="340"/>
      <c r="H5614" s="340"/>
      <c r="I5614" s="179"/>
      <c r="J5614" s="344"/>
      <c r="K5614" s="345"/>
      <c r="L5614" s="346"/>
      <c r="M5614" s="347"/>
      <c r="N5614" s="347"/>
      <c r="O5614" s="132"/>
    </row>
    <row r="5615" spans="2:15" ht="26.25" customHeight="1" x14ac:dyDescent="0.25">
      <c r="B5615" s="130"/>
      <c r="C5615" s="135"/>
      <c r="D5615" s="177"/>
      <c r="E5615" s="178"/>
      <c r="F5615" s="178"/>
      <c r="G5615" s="340"/>
      <c r="H5615" s="340"/>
      <c r="I5615" s="179"/>
      <c r="J5615" s="344"/>
      <c r="K5615" s="345"/>
      <c r="L5615" s="346"/>
      <c r="M5615" s="347"/>
      <c r="N5615" s="347"/>
      <c r="O5615" s="132"/>
    </row>
    <row r="5616" spans="2:15" ht="26.25" customHeight="1" x14ac:dyDescent="0.25">
      <c r="B5616" s="130"/>
      <c r="C5616" s="135"/>
      <c r="D5616" s="177"/>
      <c r="E5616" s="178"/>
      <c r="F5616" s="178"/>
      <c r="G5616" s="340"/>
      <c r="H5616" s="340"/>
      <c r="I5616" s="179"/>
      <c r="J5616" s="344"/>
      <c r="K5616" s="345"/>
      <c r="L5616" s="346"/>
      <c r="M5616" s="347"/>
      <c r="N5616" s="347"/>
      <c r="O5616" s="132"/>
    </row>
    <row r="5617" spans="2:15" ht="26.25" customHeight="1" x14ac:dyDescent="0.25">
      <c r="B5617" s="130"/>
      <c r="C5617" s="135"/>
      <c r="D5617" s="177"/>
      <c r="E5617" s="178"/>
      <c r="F5617" s="178"/>
      <c r="G5617" s="340"/>
      <c r="H5617" s="340"/>
      <c r="I5617" s="179"/>
      <c r="J5617" s="344"/>
      <c r="K5617" s="345"/>
      <c r="L5617" s="346"/>
      <c r="M5617" s="347"/>
      <c r="N5617" s="347"/>
      <c r="O5617" s="132"/>
    </row>
    <row r="5618" spans="2:15" ht="26.25" customHeight="1" x14ac:dyDescent="0.25">
      <c r="B5618" s="130"/>
      <c r="C5618" s="135"/>
      <c r="D5618" s="177"/>
      <c r="E5618" s="178"/>
      <c r="F5618" s="178"/>
      <c r="G5618" s="340"/>
      <c r="H5618" s="340"/>
      <c r="I5618" s="179"/>
      <c r="J5618" s="344"/>
      <c r="K5618" s="345"/>
      <c r="L5618" s="346"/>
      <c r="M5618" s="347"/>
      <c r="N5618" s="347"/>
      <c r="O5618" s="132"/>
    </row>
    <row r="5619" spans="2:15" ht="26.25" customHeight="1" x14ac:dyDescent="0.25">
      <c r="B5619" s="130"/>
      <c r="C5619" s="135"/>
      <c r="D5619" s="177"/>
      <c r="E5619" s="178"/>
      <c r="F5619" s="178"/>
      <c r="G5619" s="340"/>
      <c r="H5619" s="340"/>
      <c r="I5619" s="179"/>
      <c r="J5619" s="344"/>
      <c r="K5619" s="345"/>
      <c r="L5619" s="346"/>
      <c r="M5619" s="347"/>
      <c r="N5619" s="347"/>
      <c r="O5619" s="132"/>
    </row>
    <row r="5620" spans="2:15" ht="26.25" customHeight="1" x14ac:dyDescent="0.25">
      <c r="B5620" s="130"/>
      <c r="C5620" s="135"/>
      <c r="D5620" s="177"/>
      <c r="E5620" s="178"/>
      <c r="F5620" s="178"/>
      <c r="G5620" s="340"/>
      <c r="H5620" s="340"/>
      <c r="I5620" s="179"/>
      <c r="J5620" s="344"/>
      <c r="K5620" s="345"/>
      <c r="L5620" s="346"/>
      <c r="M5620" s="347"/>
      <c r="N5620" s="347"/>
      <c r="O5620" s="132"/>
    </row>
    <row r="5621" spans="2:15" ht="26.25" customHeight="1" x14ac:dyDescent="0.25">
      <c r="B5621" s="130"/>
      <c r="C5621" s="135"/>
      <c r="D5621" s="177"/>
      <c r="E5621" s="178"/>
      <c r="F5621" s="178"/>
      <c r="G5621" s="340"/>
      <c r="H5621" s="340"/>
      <c r="I5621" s="179"/>
      <c r="J5621" s="344"/>
      <c r="K5621" s="345"/>
      <c r="L5621" s="346"/>
      <c r="M5621" s="347"/>
      <c r="N5621" s="347"/>
      <c r="O5621" s="132"/>
    </row>
    <row r="5622" spans="2:15" ht="26.25" customHeight="1" x14ac:dyDescent="0.25">
      <c r="B5622" s="130"/>
      <c r="C5622" s="135"/>
      <c r="D5622" s="177"/>
      <c r="E5622" s="178"/>
      <c r="F5622" s="178"/>
      <c r="G5622" s="340"/>
      <c r="H5622" s="340"/>
      <c r="I5622" s="179"/>
      <c r="J5622" s="344"/>
      <c r="K5622" s="345"/>
      <c r="L5622" s="346"/>
      <c r="M5622" s="347"/>
      <c r="N5622" s="347"/>
      <c r="O5622" s="132"/>
    </row>
    <row r="5623" spans="2:15" ht="26.25" customHeight="1" x14ac:dyDescent="0.25">
      <c r="B5623" s="130"/>
      <c r="C5623" s="135"/>
      <c r="D5623" s="177"/>
      <c r="E5623" s="178"/>
      <c r="F5623" s="178"/>
      <c r="G5623" s="340"/>
      <c r="H5623" s="340"/>
      <c r="I5623" s="179"/>
      <c r="J5623" s="344"/>
      <c r="K5623" s="345"/>
      <c r="L5623" s="346"/>
      <c r="M5623" s="347"/>
      <c r="N5623" s="347"/>
      <c r="O5623" s="132"/>
    </row>
    <row r="5624" spans="2:15" ht="26.25" customHeight="1" x14ac:dyDescent="0.25">
      <c r="B5624" s="130"/>
      <c r="C5624" s="135"/>
      <c r="D5624" s="177"/>
      <c r="E5624" s="178"/>
      <c r="F5624" s="178"/>
      <c r="G5624" s="340"/>
      <c r="H5624" s="340"/>
      <c r="I5624" s="179"/>
      <c r="J5624" s="344"/>
      <c r="K5624" s="345"/>
      <c r="L5624" s="346"/>
      <c r="M5624" s="347"/>
      <c r="N5624" s="347"/>
      <c r="O5624" s="132"/>
    </row>
    <row r="5625" spans="2:15" ht="26.25" customHeight="1" x14ac:dyDescent="0.25">
      <c r="B5625" s="130"/>
      <c r="C5625" s="135"/>
      <c r="D5625" s="177"/>
      <c r="E5625" s="178"/>
      <c r="F5625" s="178"/>
      <c r="G5625" s="340"/>
      <c r="H5625" s="340"/>
      <c r="I5625" s="179"/>
      <c r="J5625" s="344"/>
      <c r="K5625" s="345"/>
      <c r="L5625" s="346"/>
      <c r="M5625" s="347"/>
      <c r="N5625" s="347"/>
      <c r="O5625" s="132"/>
    </row>
    <row r="5626" spans="2:15" ht="26.25" customHeight="1" x14ac:dyDescent="0.25">
      <c r="B5626" s="130"/>
      <c r="C5626" s="135"/>
      <c r="D5626" s="177"/>
      <c r="E5626" s="178"/>
      <c r="F5626" s="178"/>
      <c r="G5626" s="340"/>
      <c r="H5626" s="340"/>
      <c r="I5626" s="179"/>
      <c r="J5626" s="344"/>
      <c r="K5626" s="345"/>
      <c r="L5626" s="346"/>
      <c r="M5626" s="347"/>
      <c r="N5626" s="347"/>
      <c r="O5626" s="132"/>
    </row>
    <row r="5627" spans="2:15" ht="26.25" customHeight="1" x14ac:dyDescent="0.25">
      <c r="B5627" s="130"/>
      <c r="C5627" s="135"/>
      <c r="D5627" s="177"/>
      <c r="E5627" s="178"/>
      <c r="F5627" s="178"/>
      <c r="G5627" s="340"/>
      <c r="H5627" s="340"/>
      <c r="I5627" s="179"/>
      <c r="J5627" s="344"/>
      <c r="K5627" s="345"/>
      <c r="L5627" s="346"/>
      <c r="M5627" s="347"/>
      <c r="N5627" s="347"/>
      <c r="O5627" s="132"/>
    </row>
    <row r="5628" spans="2:15" ht="26.25" customHeight="1" x14ac:dyDescent="0.25">
      <c r="B5628" s="130"/>
      <c r="C5628" s="135"/>
      <c r="D5628" s="177"/>
      <c r="E5628" s="178"/>
      <c r="F5628" s="178"/>
      <c r="G5628" s="340"/>
      <c r="H5628" s="340"/>
      <c r="I5628" s="179"/>
      <c r="J5628" s="344"/>
      <c r="K5628" s="345"/>
      <c r="L5628" s="346"/>
      <c r="M5628" s="347"/>
      <c r="N5628" s="347"/>
      <c r="O5628" s="132"/>
    </row>
    <row r="5629" spans="2:15" ht="26.25" customHeight="1" x14ac:dyDescent="0.25">
      <c r="B5629" s="130"/>
      <c r="C5629" s="135"/>
      <c r="D5629" s="177"/>
      <c r="E5629" s="178"/>
      <c r="F5629" s="178"/>
      <c r="G5629" s="340"/>
      <c r="H5629" s="340"/>
      <c r="I5629" s="179"/>
      <c r="J5629" s="344"/>
      <c r="K5629" s="345"/>
      <c r="L5629" s="346"/>
      <c r="M5629" s="347"/>
      <c r="N5629" s="347"/>
      <c r="O5629" s="132"/>
    </row>
    <row r="5630" spans="2:15" ht="26.25" customHeight="1" x14ac:dyDescent="0.25">
      <c r="B5630" s="130"/>
      <c r="C5630" s="135"/>
      <c r="D5630" s="177"/>
      <c r="E5630" s="178"/>
      <c r="F5630" s="178"/>
      <c r="G5630" s="340"/>
      <c r="H5630" s="340"/>
      <c r="I5630" s="179"/>
      <c r="J5630" s="344"/>
      <c r="K5630" s="345"/>
      <c r="L5630" s="346"/>
      <c r="M5630" s="347"/>
      <c r="N5630" s="347"/>
      <c r="O5630" s="132"/>
    </row>
    <row r="5631" spans="2:15" ht="26.25" customHeight="1" x14ac:dyDescent="0.25">
      <c r="B5631" s="130"/>
      <c r="C5631" s="135"/>
      <c r="D5631" s="177"/>
      <c r="E5631" s="178"/>
      <c r="F5631" s="178"/>
      <c r="G5631" s="340"/>
      <c r="H5631" s="340"/>
      <c r="I5631" s="179"/>
      <c r="J5631" s="344"/>
      <c r="K5631" s="345"/>
      <c r="L5631" s="346"/>
      <c r="M5631" s="347"/>
      <c r="N5631" s="347"/>
      <c r="O5631" s="132"/>
    </row>
    <row r="5632" spans="2:15" ht="26.25" customHeight="1" x14ac:dyDescent="0.25">
      <c r="B5632" s="130"/>
      <c r="C5632" s="135"/>
      <c r="D5632" s="177"/>
      <c r="E5632" s="178"/>
      <c r="F5632" s="178"/>
      <c r="G5632" s="340"/>
      <c r="H5632" s="340"/>
      <c r="I5632" s="179"/>
      <c r="J5632" s="344"/>
      <c r="K5632" s="345"/>
      <c r="L5632" s="346"/>
      <c r="M5632" s="347"/>
      <c r="N5632" s="347"/>
      <c r="O5632" s="132"/>
    </row>
    <row r="5633" spans="2:15" ht="26.25" customHeight="1" x14ac:dyDescent="0.25">
      <c r="B5633" s="130"/>
      <c r="C5633" s="135"/>
      <c r="D5633" s="177"/>
      <c r="E5633" s="178"/>
      <c r="F5633" s="178"/>
      <c r="G5633" s="340"/>
      <c r="H5633" s="340"/>
      <c r="I5633" s="179"/>
      <c r="J5633" s="344"/>
      <c r="K5633" s="345"/>
      <c r="L5633" s="346"/>
      <c r="M5633" s="347"/>
      <c r="N5633" s="347"/>
      <c r="O5633" s="132"/>
    </row>
    <row r="5634" spans="2:15" ht="26.25" customHeight="1" x14ac:dyDescent="0.25">
      <c r="B5634" s="130"/>
      <c r="C5634" s="135"/>
      <c r="D5634" s="177"/>
      <c r="E5634" s="178"/>
      <c r="F5634" s="178"/>
      <c r="G5634" s="340"/>
      <c r="H5634" s="340"/>
      <c r="I5634" s="179"/>
      <c r="J5634" s="344"/>
      <c r="K5634" s="345"/>
      <c r="L5634" s="346"/>
      <c r="M5634" s="347"/>
      <c r="N5634" s="347"/>
      <c r="O5634" s="132"/>
    </row>
    <row r="5635" spans="2:15" ht="26.25" customHeight="1" x14ac:dyDescent="0.25">
      <c r="B5635" s="130"/>
      <c r="C5635" s="135"/>
      <c r="D5635" s="177"/>
      <c r="E5635" s="178"/>
      <c r="F5635" s="178"/>
      <c r="G5635" s="340"/>
      <c r="H5635" s="340"/>
      <c r="I5635" s="179"/>
      <c r="J5635" s="344"/>
      <c r="K5635" s="345"/>
      <c r="L5635" s="346"/>
      <c r="M5635" s="347"/>
      <c r="N5635" s="347"/>
      <c r="O5635" s="132"/>
    </row>
    <row r="5636" spans="2:15" ht="26.25" customHeight="1" x14ac:dyDescent="0.25">
      <c r="B5636" s="130"/>
      <c r="C5636" s="135"/>
      <c r="D5636" s="177"/>
      <c r="E5636" s="178"/>
      <c r="F5636" s="178"/>
      <c r="G5636" s="340"/>
      <c r="H5636" s="340"/>
      <c r="I5636" s="179"/>
      <c r="J5636" s="344"/>
      <c r="K5636" s="345"/>
      <c r="L5636" s="346"/>
      <c r="M5636" s="347"/>
      <c r="N5636" s="347"/>
      <c r="O5636" s="132"/>
    </row>
    <row r="5637" spans="2:15" ht="26.25" customHeight="1" x14ac:dyDescent="0.25">
      <c r="B5637" s="130"/>
      <c r="C5637" s="135"/>
      <c r="D5637" s="177"/>
      <c r="E5637" s="178"/>
      <c r="F5637" s="178"/>
      <c r="G5637" s="340"/>
      <c r="H5637" s="340"/>
      <c r="I5637" s="179"/>
      <c r="J5637" s="344"/>
      <c r="K5637" s="345"/>
      <c r="L5637" s="346"/>
      <c r="M5637" s="347"/>
      <c r="N5637" s="347"/>
      <c r="O5637" s="132"/>
    </row>
    <row r="5638" spans="2:15" ht="26.25" customHeight="1" x14ac:dyDescent="0.25">
      <c r="B5638" s="130"/>
      <c r="C5638" s="135"/>
      <c r="D5638" s="177"/>
      <c r="E5638" s="178"/>
      <c r="F5638" s="178"/>
      <c r="G5638" s="340"/>
      <c r="H5638" s="340"/>
      <c r="I5638" s="179"/>
      <c r="J5638" s="344"/>
      <c r="K5638" s="345"/>
      <c r="L5638" s="346"/>
      <c r="M5638" s="347"/>
      <c r="N5638" s="347"/>
      <c r="O5638" s="132"/>
    </row>
    <row r="5639" spans="2:15" ht="26.25" customHeight="1" x14ac:dyDescent="0.25">
      <c r="B5639" s="130"/>
      <c r="C5639" s="135"/>
      <c r="D5639" s="177"/>
      <c r="E5639" s="178"/>
      <c r="F5639" s="178"/>
      <c r="G5639" s="340"/>
      <c r="H5639" s="340"/>
      <c r="I5639" s="179"/>
      <c r="J5639" s="344"/>
      <c r="K5639" s="345"/>
      <c r="L5639" s="346"/>
      <c r="M5639" s="347"/>
      <c r="N5639" s="347"/>
      <c r="O5639" s="132"/>
    </row>
    <row r="5640" spans="2:15" ht="26.25" customHeight="1" x14ac:dyDescent="0.25">
      <c r="B5640" s="130"/>
      <c r="C5640" s="135"/>
      <c r="D5640" s="177"/>
      <c r="E5640" s="178"/>
      <c r="F5640" s="178"/>
      <c r="G5640" s="340"/>
      <c r="H5640" s="340"/>
      <c r="I5640" s="179"/>
      <c r="J5640" s="344"/>
      <c r="K5640" s="345"/>
      <c r="L5640" s="346"/>
      <c r="M5640" s="347"/>
      <c r="N5640" s="347"/>
      <c r="O5640" s="132"/>
    </row>
    <row r="5641" spans="2:15" ht="26.25" customHeight="1" x14ac:dyDescent="0.25">
      <c r="B5641" s="130"/>
      <c r="C5641" s="135"/>
      <c r="D5641" s="177"/>
      <c r="E5641" s="178"/>
      <c r="F5641" s="178"/>
      <c r="G5641" s="340"/>
      <c r="H5641" s="340"/>
      <c r="I5641" s="179"/>
      <c r="J5641" s="344"/>
      <c r="K5641" s="345"/>
      <c r="L5641" s="346"/>
      <c r="M5641" s="347"/>
      <c r="N5641" s="347"/>
      <c r="O5641" s="132"/>
    </row>
    <row r="5642" spans="2:15" ht="26.25" customHeight="1" x14ac:dyDescent="0.25">
      <c r="B5642" s="130"/>
      <c r="C5642" s="135"/>
      <c r="D5642" s="177"/>
      <c r="E5642" s="178"/>
      <c r="F5642" s="178"/>
      <c r="G5642" s="340"/>
      <c r="H5642" s="340"/>
      <c r="I5642" s="179"/>
      <c r="J5642" s="344"/>
      <c r="K5642" s="345"/>
      <c r="L5642" s="346"/>
      <c r="M5642" s="347"/>
      <c r="N5642" s="347"/>
      <c r="O5642" s="132"/>
    </row>
    <row r="5643" spans="2:15" ht="26.25" customHeight="1" x14ac:dyDescent="0.25">
      <c r="B5643" s="130"/>
      <c r="C5643" s="135"/>
      <c r="D5643" s="177"/>
      <c r="E5643" s="178"/>
      <c r="F5643" s="178"/>
      <c r="G5643" s="340"/>
      <c r="H5643" s="340"/>
      <c r="I5643" s="179"/>
      <c r="J5643" s="344"/>
      <c r="K5643" s="345"/>
      <c r="L5643" s="346"/>
      <c r="M5643" s="347"/>
      <c r="N5643" s="347"/>
      <c r="O5643" s="132"/>
    </row>
    <row r="5644" spans="2:15" ht="26.25" customHeight="1" x14ac:dyDescent="0.25">
      <c r="B5644" s="130"/>
      <c r="C5644" s="135"/>
      <c r="D5644" s="177"/>
      <c r="E5644" s="178"/>
      <c r="F5644" s="178"/>
      <c r="G5644" s="340"/>
      <c r="H5644" s="340"/>
      <c r="I5644" s="179"/>
      <c r="J5644" s="344"/>
      <c r="K5644" s="345"/>
      <c r="L5644" s="346"/>
      <c r="M5644" s="347"/>
      <c r="N5644" s="347"/>
      <c r="O5644" s="132"/>
    </row>
    <row r="5645" spans="2:15" ht="26.25" customHeight="1" x14ac:dyDescent="0.25">
      <c r="B5645" s="130"/>
      <c r="C5645" s="135"/>
      <c r="D5645" s="177"/>
      <c r="E5645" s="178"/>
      <c r="F5645" s="178"/>
      <c r="G5645" s="340"/>
      <c r="H5645" s="340"/>
      <c r="I5645" s="179"/>
      <c r="J5645" s="344"/>
      <c r="K5645" s="345"/>
      <c r="L5645" s="346"/>
      <c r="M5645" s="347"/>
      <c r="N5645" s="347"/>
      <c r="O5645" s="132"/>
    </row>
    <row r="5646" spans="2:15" ht="26.25" customHeight="1" x14ac:dyDescent="0.25">
      <c r="B5646" s="130"/>
      <c r="C5646" s="135"/>
      <c r="D5646" s="177"/>
      <c r="E5646" s="178"/>
      <c r="F5646" s="178"/>
      <c r="G5646" s="340"/>
      <c r="H5646" s="340"/>
      <c r="I5646" s="179"/>
      <c r="J5646" s="344"/>
      <c r="K5646" s="345"/>
      <c r="L5646" s="346"/>
      <c r="M5646" s="347"/>
      <c r="N5646" s="347"/>
      <c r="O5646" s="132"/>
    </row>
    <row r="5647" spans="2:15" ht="26.25" customHeight="1" x14ac:dyDescent="0.25">
      <c r="B5647" s="130"/>
      <c r="C5647" s="135"/>
      <c r="D5647" s="177"/>
      <c r="E5647" s="178"/>
      <c r="F5647" s="178"/>
      <c r="G5647" s="340"/>
      <c r="H5647" s="340"/>
      <c r="I5647" s="179"/>
      <c r="J5647" s="344"/>
      <c r="K5647" s="345"/>
      <c r="L5647" s="346"/>
      <c r="M5647" s="347"/>
      <c r="N5647" s="347"/>
      <c r="O5647" s="132"/>
    </row>
    <row r="5648" spans="2:15" ht="26.25" customHeight="1" x14ac:dyDescent="0.25">
      <c r="B5648" s="130"/>
      <c r="C5648" s="135"/>
      <c r="D5648" s="177"/>
      <c r="E5648" s="178"/>
      <c r="F5648" s="178"/>
      <c r="G5648" s="340"/>
      <c r="H5648" s="340"/>
      <c r="I5648" s="179"/>
      <c r="J5648" s="344"/>
      <c r="K5648" s="345"/>
      <c r="L5648" s="346"/>
      <c r="M5648" s="347"/>
      <c r="N5648" s="347"/>
      <c r="O5648" s="132"/>
    </row>
    <row r="5649" spans="2:15" ht="26.25" customHeight="1" x14ac:dyDescent="0.25">
      <c r="B5649" s="130"/>
      <c r="C5649" s="135"/>
      <c r="D5649" s="177"/>
      <c r="E5649" s="178"/>
      <c r="F5649" s="178"/>
      <c r="G5649" s="340"/>
      <c r="H5649" s="340"/>
      <c r="I5649" s="179"/>
      <c r="J5649" s="344"/>
      <c r="K5649" s="345"/>
      <c r="L5649" s="346"/>
      <c r="M5649" s="347"/>
      <c r="N5649" s="347"/>
      <c r="O5649" s="132"/>
    </row>
    <row r="5650" spans="2:15" ht="26.25" customHeight="1" x14ac:dyDescent="0.25">
      <c r="B5650" s="130"/>
      <c r="C5650" s="135"/>
      <c r="D5650" s="177"/>
      <c r="E5650" s="178"/>
      <c r="F5650" s="178"/>
      <c r="G5650" s="340"/>
      <c r="H5650" s="340"/>
      <c r="I5650" s="179"/>
      <c r="J5650" s="344"/>
      <c r="K5650" s="345"/>
      <c r="L5650" s="346"/>
      <c r="M5650" s="347"/>
      <c r="N5650" s="347"/>
      <c r="O5650" s="132"/>
    </row>
    <row r="5651" spans="2:15" ht="26.25" customHeight="1" x14ac:dyDescent="0.25">
      <c r="B5651" s="130"/>
      <c r="C5651" s="135"/>
      <c r="D5651" s="177"/>
      <c r="E5651" s="178"/>
      <c r="F5651" s="178"/>
      <c r="G5651" s="340"/>
      <c r="H5651" s="340"/>
      <c r="I5651" s="179"/>
      <c r="J5651" s="344"/>
      <c r="K5651" s="345"/>
      <c r="L5651" s="346"/>
      <c r="M5651" s="347"/>
      <c r="N5651" s="347"/>
      <c r="O5651" s="132"/>
    </row>
    <row r="5652" spans="2:15" ht="26.25" customHeight="1" x14ac:dyDescent="0.25">
      <c r="B5652" s="130"/>
      <c r="C5652" s="135"/>
      <c r="D5652" s="177"/>
      <c r="E5652" s="178"/>
      <c r="F5652" s="178"/>
      <c r="G5652" s="340"/>
      <c r="H5652" s="340"/>
      <c r="I5652" s="179"/>
      <c r="J5652" s="344"/>
      <c r="K5652" s="345"/>
      <c r="L5652" s="346"/>
      <c r="M5652" s="347"/>
      <c r="N5652" s="347"/>
      <c r="O5652" s="132"/>
    </row>
    <row r="5653" spans="2:15" ht="26.25" customHeight="1" x14ac:dyDescent="0.25">
      <c r="B5653" s="130"/>
      <c r="C5653" s="135"/>
      <c r="D5653" s="177"/>
      <c r="E5653" s="178"/>
      <c r="F5653" s="178"/>
      <c r="G5653" s="340"/>
      <c r="H5653" s="340"/>
      <c r="I5653" s="179"/>
      <c r="J5653" s="344"/>
      <c r="K5653" s="345"/>
      <c r="L5653" s="346"/>
      <c r="M5653" s="347"/>
      <c r="N5653" s="347"/>
      <c r="O5653" s="132"/>
    </row>
    <row r="5654" spans="2:15" ht="26.25" customHeight="1" x14ac:dyDescent="0.25">
      <c r="B5654" s="130"/>
      <c r="C5654" s="135"/>
      <c r="D5654" s="177"/>
      <c r="E5654" s="178"/>
      <c r="F5654" s="178"/>
      <c r="G5654" s="340"/>
      <c r="H5654" s="340"/>
      <c r="I5654" s="179"/>
      <c r="J5654" s="344"/>
      <c r="K5654" s="345"/>
      <c r="L5654" s="346"/>
      <c r="M5654" s="347"/>
      <c r="N5654" s="347"/>
      <c r="O5654" s="132"/>
    </row>
    <row r="5655" spans="2:15" ht="26.25" customHeight="1" x14ac:dyDescent="0.25">
      <c r="B5655" s="130"/>
      <c r="C5655" s="135"/>
      <c r="D5655" s="177"/>
      <c r="E5655" s="178"/>
      <c r="F5655" s="178"/>
      <c r="G5655" s="340"/>
      <c r="H5655" s="340"/>
      <c r="I5655" s="179"/>
      <c r="J5655" s="344"/>
      <c r="K5655" s="345"/>
      <c r="L5655" s="346"/>
      <c r="M5655" s="347"/>
      <c r="N5655" s="347"/>
      <c r="O5655" s="132"/>
    </row>
    <row r="5656" spans="2:15" ht="26.25" customHeight="1" x14ac:dyDescent="0.25">
      <c r="B5656" s="130"/>
      <c r="C5656" s="135"/>
      <c r="D5656" s="177"/>
      <c r="E5656" s="178"/>
      <c r="F5656" s="178"/>
      <c r="G5656" s="340"/>
      <c r="H5656" s="340"/>
      <c r="I5656" s="179"/>
      <c r="J5656" s="344"/>
      <c r="K5656" s="345"/>
      <c r="L5656" s="346"/>
      <c r="M5656" s="347"/>
      <c r="N5656" s="347"/>
      <c r="O5656" s="132"/>
    </row>
    <row r="5657" spans="2:15" ht="26.25" customHeight="1" x14ac:dyDescent="0.25">
      <c r="B5657" s="130"/>
      <c r="C5657" s="135"/>
      <c r="D5657" s="177"/>
      <c r="E5657" s="178"/>
      <c r="F5657" s="178"/>
      <c r="G5657" s="340"/>
      <c r="H5657" s="340"/>
      <c r="I5657" s="179"/>
      <c r="J5657" s="344"/>
      <c r="K5657" s="345"/>
      <c r="L5657" s="346"/>
      <c r="M5657" s="347"/>
      <c r="N5657" s="347"/>
      <c r="O5657" s="132"/>
    </row>
    <row r="5658" spans="2:15" ht="26.25" customHeight="1" x14ac:dyDescent="0.25">
      <c r="B5658" s="130"/>
      <c r="C5658" s="135"/>
      <c r="D5658" s="177"/>
      <c r="E5658" s="178"/>
      <c r="F5658" s="178"/>
      <c r="G5658" s="340"/>
      <c r="H5658" s="340"/>
      <c r="I5658" s="179"/>
      <c r="J5658" s="344"/>
      <c r="K5658" s="345"/>
      <c r="L5658" s="346"/>
      <c r="M5658" s="347"/>
      <c r="N5658" s="347"/>
      <c r="O5658" s="132"/>
    </row>
    <row r="5659" spans="2:15" ht="26.25" customHeight="1" x14ac:dyDescent="0.25">
      <c r="B5659" s="130"/>
      <c r="C5659" s="135"/>
      <c r="D5659" s="177"/>
      <c r="E5659" s="178"/>
      <c r="F5659" s="178"/>
      <c r="G5659" s="340"/>
      <c r="H5659" s="340"/>
      <c r="I5659" s="179"/>
      <c r="J5659" s="344"/>
      <c r="K5659" s="345"/>
      <c r="L5659" s="346"/>
      <c r="M5659" s="347"/>
      <c r="N5659" s="347"/>
      <c r="O5659" s="132"/>
    </row>
    <row r="5660" spans="2:15" ht="26.25" customHeight="1" x14ac:dyDescent="0.25">
      <c r="B5660" s="130"/>
      <c r="C5660" s="135"/>
      <c r="D5660" s="177"/>
      <c r="E5660" s="178"/>
      <c r="F5660" s="178"/>
      <c r="G5660" s="340"/>
      <c r="H5660" s="340"/>
      <c r="I5660" s="179"/>
      <c r="J5660" s="344"/>
      <c r="K5660" s="345"/>
      <c r="L5660" s="346"/>
      <c r="M5660" s="347"/>
      <c r="N5660" s="347"/>
      <c r="O5660" s="132"/>
    </row>
    <row r="5661" spans="2:15" ht="26.25" customHeight="1" x14ac:dyDescent="0.25">
      <c r="B5661" s="130"/>
      <c r="C5661" s="135"/>
      <c r="D5661" s="177"/>
      <c r="E5661" s="178"/>
      <c r="F5661" s="178"/>
      <c r="G5661" s="340"/>
      <c r="H5661" s="340"/>
      <c r="I5661" s="179"/>
      <c r="J5661" s="344"/>
      <c r="K5661" s="345"/>
      <c r="L5661" s="346"/>
      <c r="M5661" s="347"/>
      <c r="N5661" s="347"/>
      <c r="O5661" s="132"/>
    </row>
    <row r="5662" spans="2:15" ht="26.25" customHeight="1" x14ac:dyDescent="0.25">
      <c r="B5662" s="130"/>
      <c r="C5662" s="135"/>
      <c r="D5662" s="177"/>
      <c r="E5662" s="178"/>
      <c r="F5662" s="178"/>
      <c r="G5662" s="340"/>
      <c r="H5662" s="340"/>
      <c r="I5662" s="179"/>
      <c r="J5662" s="344"/>
      <c r="K5662" s="345"/>
      <c r="L5662" s="346"/>
      <c r="M5662" s="347"/>
      <c r="N5662" s="347"/>
      <c r="O5662" s="132"/>
    </row>
    <row r="5663" spans="2:15" ht="26.25" customHeight="1" x14ac:dyDescent="0.25">
      <c r="B5663" s="130"/>
      <c r="C5663" s="135"/>
      <c r="D5663" s="177"/>
      <c r="E5663" s="178"/>
      <c r="F5663" s="178"/>
      <c r="G5663" s="340"/>
      <c r="H5663" s="340"/>
      <c r="I5663" s="179"/>
      <c r="J5663" s="344"/>
      <c r="K5663" s="345"/>
      <c r="L5663" s="346"/>
      <c r="M5663" s="347"/>
      <c r="N5663" s="347"/>
      <c r="O5663" s="132"/>
    </row>
    <row r="5664" spans="2:15" ht="26.25" customHeight="1" x14ac:dyDescent="0.25">
      <c r="B5664" s="130"/>
      <c r="C5664" s="135"/>
      <c r="D5664" s="177"/>
      <c r="E5664" s="178"/>
      <c r="F5664" s="178"/>
      <c r="G5664" s="340"/>
      <c r="H5664" s="340"/>
      <c r="I5664" s="179"/>
      <c r="J5664" s="344"/>
      <c r="K5664" s="345"/>
      <c r="L5664" s="346"/>
      <c r="M5664" s="347"/>
      <c r="N5664" s="347"/>
      <c r="O5664" s="132"/>
    </row>
    <row r="5665" spans="2:15" ht="26.25" customHeight="1" x14ac:dyDescent="0.25">
      <c r="B5665" s="130"/>
      <c r="C5665" s="135"/>
      <c r="D5665" s="177"/>
      <c r="E5665" s="178"/>
      <c r="F5665" s="178"/>
      <c r="G5665" s="340"/>
      <c r="H5665" s="340"/>
      <c r="I5665" s="179"/>
      <c r="J5665" s="344"/>
      <c r="K5665" s="345"/>
      <c r="L5665" s="346"/>
      <c r="M5665" s="347"/>
      <c r="N5665" s="347"/>
      <c r="O5665" s="132"/>
    </row>
    <row r="5666" spans="2:15" ht="26.25" customHeight="1" x14ac:dyDescent="0.25">
      <c r="B5666" s="130"/>
      <c r="C5666" s="135"/>
      <c r="D5666" s="177"/>
      <c r="E5666" s="178"/>
      <c r="F5666" s="178"/>
      <c r="G5666" s="340"/>
      <c r="H5666" s="340"/>
      <c r="I5666" s="179"/>
      <c r="J5666" s="344"/>
      <c r="K5666" s="345"/>
      <c r="L5666" s="346"/>
      <c r="M5666" s="347"/>
      <c r="N5666" s="347"/>
      <c r="O5666" s="132"/>
    </row>
    <row r="5667" spans="2:15" ht="26.25" customHeight="1" x14ac:dyDescent="0.25">
      <c r="B5667" s="130"/>
      <c r="C5667" s="135"/>
      <c r="D5667" s="177"/>
      <c r="E5667" s="178"/>
      <c r="F5667" s="178"/>
      <c r="G5667" s="340"/>
      <c r="H5667" s="340"/>
      <c r="I5667" s="179"/>
      <c r="J5667" s="344"/>
      <c r="K5667" s="345"/>
      <c r="L5667" s="346"/>
      <c r="M5667" s="347"/>
      <c r="N5667" s="347"/>
      <c r="O5667" s="132"/>
    </row>
    <row r="5668" spans="2:15" ht="26.25" customHeight="1" x14ac:dyDescent="0.25">
      <c r="B5668" s="130"/>
      <c r="C5668" s="135"/>
      <c r="D5668" s="177"/>
      <c r="E5668" s="178"/>
      <c r="F5668" s="178"/>
      <c r="G5668" s="340"/>
      <c r="H5668" s="340"/>
      <c r="I5668" s="179"/>
      <c r="J5668" s="344"/>
      <c r="K5668" s="345"/>
      <c r="L5668" s="346"/>
      <c r="M5668" s="347"/>
      <c r="N5668" s="347"/>
      <c r="O5668" s="132"/>
    </row>
    <row r="5669" spans="2:15" ht="26.25" customHeight="1" x14ac:dyDescent="0.25">
      <c r="B5669" s="130"/>
      <c r="C5669" s="135"/>
      <c r="D5669" s="177"/>
      <c r="E5669" s="178"/>
      <c r="F5669" s="178"/>
      <c r="G5669" s="340"/>
      <c r="H5669" s="340"/>
      <c r="I5669" s="179"/>
      <c r="J5669" s="344"/>
      <c r="K5669" s="345"/>
      <c r="L5669" s="346"/>
      <c r="M5669" s="347"/>
      <c r="N5669" s="347"/>
      <c r="O5669" s="132"/>
    </row>
    <row r="5670" spans="2:15" ht="26.25" customHeight="1" x14ac:dyDescent="0.25">
      <c r="B5670" s="130"/>
      <c r="C5670" s="135"/>
      <c r="D5670" s="177"/>
      <c r="E5670" s="178"/>
      <c r="F5670" s="178"/>
      <c r="G5670" s="340"/>
      <c r="H5670" s="340"/>
      <c r="I5670" s="179"/>
      <c r="J5670" s="344"/>
      <c r="K5670" s="345"/>
      <c r="L5670" s="346"/>
      <c r="M5670" s="347"/>
      <c r="N5670" s="347"/>
      <c r="O5670" s="132"/>
    </row>
    <row r="5671" spans="2:15" ht="26.25" customHeight="1" x14ac:dyDescent="0.25">
      <c r="B5671" s="130"/>
      <c r="C5671" s="135"/>
      <c r="D5671" s="177"/>
      <c r="E5671" s="178"/>
      <c r="F5671" s="178"/>
      <c r="G5671" s="340"/>
      <c r="H5671" s="340"/>
      <c r="I5671" s="179"/>
      <c r="J5671" s="344"/>
      <c r="K5671" s="345"/>
      <c r="L5671" s="346"/>
      <c r="M5671" s="347"/>
      <c r="N5671" s="347"/>
      <c r="O5671" s="132"/>
    </row>
    <row r="5672" spans="2:15" ht="26.25" customHeight="1" x14ac:dyDescent="0.25">
      <c r="B5672" s="130"/>
      <c r="C5672" s="135"/>
      <c r="D5672" s="177"/>
      <c r="E5672" s="178"/>
      <c r="F5672" s="178"/>
      <c r="G5672" s="340"/>
      <c r="H5672" s="340"/>
      <c r="I5672" s="179"/>
      <c r="J5672" s="344"/>
      <c r="K5672" s="345"/>
      <c r="L5672" s="346"/>
      <c r="M5672" s="347"/>
      <c r="N5672" s="347"/>
      <c r="O5672" s="132"/>
    </row>
    <row r="5673" spans="2:15" ht="26.25" customHeight="1" x14ac:dyDescent="0.25">
      <c r="B5673" s="130"/>
      <c r="C5673" s="135"/>
      <c r="D5673" s="177"/>
      <c r="E5673" s="178"/>
      <c r="F5673" s="178"/>
      <c r="G5673" s="340"/>
      <c r="H5673" s="340"/>
      <c r="I5673" s="179"/>
      <c r="J5673" s="344"/>
      <c r="K5673" s="345"/>
      <c r="L5673" s="346"/>
      <c r="M5673" s="347"/>
      <c r="N5673" s="347"/>
      <c r="O5673" s="132"/>
    </row>
    <row r="5674" spans="2:15" ht="26.25" customHeight="1" x14ac:dyDescent="0.25">
      <c r="B5674" s="130"/>
      <c r="C5674" s="135"/>
      <c r="D5674" s="177"/>
      <c r="E5674" s="178"/>
      <c r="F5674" s="178"/>
      <c r="G5674" s="340"/>
      <c r="H5674" s="340"/>
      <c r="I5674" s="179"/>
      <c r="J5674" s="344"/>
      <c r="K5674" s="345"/>
      <c r="L5674" s="346"/>
      <c r="M5674" s="347"/>
      <c r="N5674" s="347"/>
      <c r="O5674" s="132"/>
    </row>
    <row r="5675" spans="2:15" ht="26.25" customHeight="1" x14ac:dyDescent="0.25">
      <c r="B5675" s="130"/>
      <c r="C5675" s="135"/>
      <c r="D5675" s="177"/>
      <c r="E5675" s="178"/>
      <c r="F5675" s="178"/>
      <c r="G5675" s="340"/>
      <c r="H5675" s="340"/>
      <c r="I5675" s="179"/>
      <c r="J5675" s="344"/>
      <c r="K5675" s="345"/>
      <c r="L5675" s="346"/>
      <c r="M5675" s="347"/>
      <c r="N5675" s="347"/>
      <c r="O5675" s="132"/>
    </row>
    <row r="5676" spans="2:15" ht="26.25" customHeight="1" x14ac:dyDescent="0.25">
      <c r="B5676" s="130"/>
      <c r="C5676" s="135"/>
      <c r="D5676" s="177"/>
      <c r="E5676" s="178"/>
      <c r="F5676" s="178"/>
      <c r="G5676" s="340"/>
      <c r="H5676" s="340"/>
      <c r="I5676" s="179"/>
      <c r="J5676" s="344"/>
      <c r="K5676" s="345"/>
      <c r="L5676" s="346"/>
      <c r="M5676" s="347"/>
      <c r="N5676" s="347"/>
      <c r="O5676" s="132"/>
    </row>
    <row r="5677" spans="2:15" ht="26.25" customHeight="1" x14ac:dyDescent="0.25">
      <c r="B5677" s="130"/>
      <c r="C5677" s="135"/>
      <c r="D5677" s="177"/>
      <c r="E5677" s="178"/>
      <c r="F5677" s="178"/>
      <c r="G5677" s="340"/>
      <c r="H5677" s="340"/>
      <c r="I5677" s="179"/>
      <c r="J5677" s="344"/>
      <c r="K5677" s="345"/>
      <c r="L5677" s="346"/>
      <c r="M5677" s="347"/>
      <c r="N5677" s="347"/>
      <c r="O5677" s="132"/>
    </row>
    <row r="5678" spans="2:15" ht="26.25" customHeight="1" x14ac:dyDescent="0.25">
      <c r="B5678" s="130"/>
      <c r="C5678" s="135"/>
      <c r="D5678" s="177"/>
      <c r="E5678" s="178"/>
      <c r="F5678" s="178"/>
      <c r="G5678" s="340"/>
      <c r="H5678" s="340"/>
      <c r="I5678" s="179"/>
      <c r="J5678" s="344"/>
      <c r="K5678" s="345"/>
      <c r="L5678" s="346"/>
      <c r="M5678" s="347"/>
      <c r="N5678" s="347"/>
      <c r="O5678" s="132"/>
    </row>
    <row r="5679" spans="2:15" ht="26.25" customHeight="1" x14ac:dyDescent="0.25">
      <c r="B5679" s="130"/>
      <c r="C5679" s="135"/>
      <c r="D5679" s="177"/>
      <c r="E5679" s="178"/>
      <c r="F5679" s="178"/>
      <c r="G5679" s="340"/>
      <c r="H5679" s="340"/>
      <c r="I5679" s="179"/>
      <c r="J5679" s="344"/>
      <c r="K5679" s="345"/>
      <c r="L5679" s="346"/>
      <c r="M5679" s="347"/>
      <c r="N5679" s="347"/>
      <c r="O5679" s="132"/>
    </row>
    <row r="5680" spans="2:15" ht="26.25" customHeight="1" x14ac:dyDescent="0.25">
      <c r="B5680" s="130"/>
      <c r="C5680" s="135"/>
      <c r="D5680" s="177"/>
      <c r="E5680" s="178"/>
      <c r="F5680" s="178"/>
      <c r="G5680" s="340"/>
      <c r="H5680" s="340"/>
      <c r="I5680" s="179"/>
      <c r="J5680" s="344"/>
      <c r="K5680" s="345"/>
      <c r="L5680" s="346"/>
      <c r="M5680" s="347"/>
      <c r="N5680" s="347"/>
      <c r="O5680" s="132"/>
    </row>
    <row r="5681" spans="2:15" ht="26.25" customHeight="1" x14ac:dyDescent="0.25">
      <c r="B5681" s="130"/>
      <c r="C5681" s="135"/>
      <c r="D5681" s="177"/>
      <c r="E5681" s="178"/>
      <c r="F5681" s="178"/>
      <c r="G5681" s="340"/>
      <c r="H5681" s="340"/>
      <c r="I5681" s="179"/>
      <c r="J5681" s="344"/>
      <c r="K5681" s="345"/>
      <c r="L5681" s="346"/>
      <c r="M5681" s="347"/>
      <c r="N5681" s="347"/>
      <c r="O5681" s="132"/>
    </row>
    <row r="5682" spans="2:15" ht="26.25" customHeight="1" x14ac:dyDescent="0.25">
      <c r="B5682" s="130"/>
      <c r="C5682" s="135"/>
      <c r="D5682" s="177"/>
      <c r="E5682" s="178"/>
      <c r="F5682" s="178"/>
      <c r="G5682" s="340"/>
      <c r="H5682" s="340"/>
      <c r="I5682" s="179"/>
      <c r="J5682" s="344"/>
      <c r="K5682" s="345"/>
      <c r="L5682" s="346"/>
      <c r="M5682" s="347"/>
      <c r="N5682" s="347"/>
      <c r="O5682" s="132"/>
    </row>
    <row r="5683" spans="2:15" ht="26.25" customHeight="1" x14ac:dyDescent="0.25">
      <c r="B5683" s="130"/>
      <c r="C5683" s="135"/>
      <c r="D5683" s="177"/>
      <c r="E5683" s="178"/>
      <c r="F5683" s="178"/>
      <c r="G5683" s="340"/>
      <c r="H5683" s="340"/>
      <c r="I5683" s="179"/>
      <c r="J5683" s="344"/>
      <c r="K5683" s="345"/>
      <c r="L5683" s="346"/>
      <c r="M5683" s="347"/>
      <c r="N5683" s="347"/>
      <c r="O5683" s="132"/>
    </row>
    <row r="5684" spans="2:15" ht="26.25" customHeight="1" x14ac:dyDescent="0.25">
      <c r="B5684" s="130"/>
      <c r="C5684" s="135"/>
      <c r="D5684" s="177"/>
      <c r="E5684" s="178"/>
      <c r="F5684" s="178"/>
      <c r="G5684" s="340"/>
      <c r="H5684" s="340"/>
      <c r="I5684" s="179"/>
      <c r="J5684" s="344"/>
      <c r="K5684" s="345"/>
      <c r="L5684" s="346"/>
      <c r="M5684" s="347"/>
      <c r="N5684" s="347"/>
      <c r="O5684" s="132"/>
    </row>
    <row r="5685" spans="2:15" ht="26.25" customHeight="1" x14ac:dyDescent="0.25">
      <c r="B5685" s="130"/>
      <c r="C5685" s="135"/>
      <c r="D5685" s="177"/>
      <c r="E5685" s="178"/>
      <c r="F5685" s="178"/>
      <c r="G5685" s="340"/>
      <c r="H5685" s="340"/>
      <c r="I5685" s="179"/>
      <c r="J5685" s="344"/>
      <c r="K5685" s="345"/>
      <c r="L5685" s="346"/>
      <c r="M5685" s="347"/>
      <c r="N5685" s="347"/>
      <c r="O5685" s="132"/>
    </row>
    <row r="5686" spans="2:15" ht="26.25" customHeight="1" x14ac:dyDescent="0.25">
      <c r="B5686" s="130"/>
      <c r="C5686" s="135"/>
      <c r="D5686" s="177"/>
      <c r="E5686" s="178"/>
      <c r="F5686" s="178"/>
      <c r="G5686" s="340"/>
      <c r="H5686" s="340"/>
      <c r="I5686" s="179"/>
      <c r="J5686" s="344"/>
      <c r="K5686" s="345"/>
      <c r="L5686" s="346"/>
      <c r="M5686" s="347"/>
      <c r="N5686" s="347"/>
      <c r="O5686" s="132"/>
    </row>
    <row r="5687" spans="2:15" ht="26.25" customHeight="1" x14ac:dyDescent="0.25">
      <c r="B5687" s="130"/>
      <c r="C5687" s="135"/>
      <c r="D5687" s="177"/>
      <c r="E5687" s="178"/>
      <c r="F5687" s="178"/>
      <c r="G5687" s="340"/>
      <c r="H5687" s="340"/>
      <c r="I5687" s="179"/>
      <c r="J5687" s="344"/>
      <c r="K5687" s="345"/>
      <c r="L5687" s="346"/>
      <c r="M5687" s="347"/>
      <c r="N5687" s="347"/>
      <c r="O5687" s="132"/>
    </row>
    <row r="5688" spans="2:15" ht="26.25" customHeight="1" x14ac:dyDescent="0.25">
      <c r="B5688" s="130"/>
      <c r="C5688" s="135"/>
      <c r="D5688" s="177"/>
      <c r="E5688" s="178"/>
      <c r="F5688" s="178"/>
      <c r="G5688" s="340"/>
      <c r="H5688" s="340"/>
      <c r="I5688" s="179"/>
      <c r="J5688" s="344"/>
      <c r="K5688" s="345"/>
      <c r="L5688" s="346"/>
      <c r="M5688" s="347"/>
      <c r="N5688" s="347"/>
      <c r="O5688" s="132"/>
    </row>
    <row r="5689" spans="2:15" ht="26.25" customHeight="1" x14ac:dyDescent="0.25">
      <c r="B5689" s="130"/>
      <c r="C5689" s="135"/>
      <c r="D5689" s="177"/>
      <c r="E5689" s="178"/>
      <c r="F5689" s="178"/>
      <c r="G5689" s="340"/>
      <c r="H5689" s="340"/>
      <c r="I5689" s="179"/>
      <c r="J5689" s="344"/>
      <c r="K5689" s="345"/>
      <c r="L5689" s="346"/>
      <c r="M5689" s="347"/>
      <c r="N5689" s="347"/>
      <c r="O5689" s="132"/>
    </row>
    <row r="5690" spans="2:15" ht="26.25" customHeight="1" x14ac:dyDescent="0.25">
      <c r="B5690" s="130"/>
      <c r="C5690" s="135"/>
      <c r="D5690" s="177"/>
      <c r="E5690" s="178"/>
      <c r="F5690" s="178"/>
      <c r="G5690" s="340"/>
      <c r="H5690" s="340"/>
      <c r="I5690" s="179"/>
      <c r="J5690" s="344"/>
      <c r="K5690" s="345"/>
      <c r="L5690" s="346"/>
      <c r="M5690" s="347"/>
      <c r="N5690" s="347"/>
      <c r="O5690" s="132"/>
    </row>
    <row r="5691" spans="2:15" ht="26.25" customHeight="1" x14ac:dyDescent="0.25">
      <c r="B5691" s="130"/>
      <c r="C5691" s="135"/>
      <c r="D5691" s="177"/>
      <c r="E5691" s="178"/>
      <c r="F5691" s="178"/>
      <c r="G5691" s="340"/>
      <c r="H5691" s="340"/>
      <c r="I5691" s="179"/>
      <c r="J5691" s="344"/>
      <c r="K5691" s="345"/>
      <c r="L5691" s="346"/>
      <c r="M5691" s="347"/>
      <c r="N5691" s="347"/>
      <c r="O5691" s="132"/>
    </row>
    <row r="5692" spans="2:15" ht="26.25" customHeight="1" x14ac:dyDescent="0.25">
      <c r="B5692" s="130"/>
      <c r="C5692" s="135"/>
      <c r="D5692" s="177"/>
      <c r="E5692" s="178"/>
      <c r="F5692" s="178"/>
      <c r="G5692" s="340"/>
      <c r="H5692" s="340"/>
      <c r="I5692" s="179"/>
      <c r="J5692" s="344"/>
      <c r="K5692" s="345"/>
      <c r="L5692" s="346"/>
      <c r="M5692" s="347"/>
      <c r="N5692" s="347"/>
      <c r="O5692" s="132"/>
    </row>
    <row r="5693" spans="2:15" ht="26.25" customHeight="1" x14ac:dyDescent="0.25">
      <c r="B5693" s="130"/>
      <c r="C5693" s="135"/>
      <c r="D5693" s="177"/>
      <c r="E5693" s="178"/>
      <c r="F5693" s="178"/>
      <c r="G5693" s="340"/>
      <c r="H5693" s="340"/>
      <c r="I5693" s="179"/>
      <c r="J5693" s="344"/>
      <c r="K5693" s="345"/>
      <c r="L5693" s="346"/>
      <c r="M5693" s="347"/>
      <c r="N5693" s="347"/>
      <c r="O5693" s="132"/>
    </row>
    <row r="5694" spans="2:15" ht="26.25" customHeight="1" x14ac:dyDescent="0.25">
      <c r="B5694" s="130"/>
      <c r="C5694" s="135"/>
      <c r="D5694" s="177"/>
      <c r="E5694" s="178"/>
      <c r="F5694" s="178"/>
      <c r="G5694" s="340"/>
      <c r="H5694" s="340"/>
      <c r="I5694" s="179"/>
      <c r="J5694" s="344"/>
      <c r="K5694" s="345"/>
      <c r="L5694" s="346"/>
      <c r="M5694" s="347"/>
      <c r="N5694" s="347"/>
      <c r="O5694" s="132"/>
    </row>
    <row r="5695" spans="2:15" ht="26.25" customHeight="1" x14ac:dyDescent="0.25">
      <c r="B5695" s="130"/>
      <c r="C5695" s="135"/>
      <c r="D5695" s="177"/>
      <c r="E5695" s="178"/>
      <c r="F5695" s="178"/>
      <c r="G5695" s="340"/>
      <c r="H5695" s="340"/>
      <c r="I5695" s="179"/>
      <c r="J5695" s="344"/>
      <c r="K5695" s="345"/>
      <c r="L5695" s="346"/>
      <c r="M5695" s="347"/>
      <c r="N5695" s="347"/>
      <c r="O5695" s="132"/>
    </row>
    <row r="5696" spans="2:15" ht="26.25" customHeight="1" x14ac:dyDescent="0.25">
      <c r="B5696" s="130"/>
      <c r="C5696" s="135"/>
      <c r="D5696" s="177"/>
      <c r="E5696" s="178"/>
      <c r="F5696" s="178"/>
      <c r="G5696" s="340"/>
      <c r="H5696" s="340"/>
      <c r="I5696" s="179"/>
      <c r="J5696" s="344"/>
      <c r="K5696" s="345"/>
      <c r="L5696" s="346"/>
      <c r="M5696" s="347"/>
      <c r="N5696" s="347"/>
      <c r="O5696" s="132"/>
    </row>
    <row r="5697" spans="2:15" ht="26.25" customHeight="1" x14ac:dyDescent="0.25">
      <c r="B5697" s="130"/>
      <c r="C5697" s="135"/>
      <c r="D5697" s="177"/>
      <c r="E5697" s="178"/>
      <c r="F5697" s="178"/>
      <c r="G5697" s="340"/>
      <c r="H5697" s="340"/>
      <c r="I5697" s="179"/>
      <c r="J5697" s="344"/>
      <c r="K5697" s="345"/>
      <c r="L5697" s="346"/>
      <c r="M5697" s="347"/>
      <c r="N5697" s="347"/>
      <c r="O5697" s="132"/>
    </row>
    <row r="5698" spans="2:15" ht="26.25" customHeight="1" x14ac:dyDescent="0.25">
      <c r="B5698" s="130"/>
      <c r="C5698" s="135"/>
      <c r="D5698" s="177"/>
      <c r="E5698" s="178"/>
      <c r="F5698" s="178"/>
      <c r="G5698" s="340"/>
      <c r="H5698" s="340"/>
      <c r="I5698" s="179"/>
      <c r="J5698" s="344"/>
      <c r="K5698" s="345"/>
      <c r="L5698" s="346"/>
      <c r="M5698" s="347"/>
      <c r="N5698" s="347"/>
      <c r="O5698" s="132"/>
    </row>
    <row r="5699" spans="2:15" ht="26.25" customHeight="1" x14ac:dyDescent="0.25">
      <c r="B5699" s="130"/>
      <c r="C5699" s="135"/>
      <c r="D5699" s="177"/>
      <c r="E5699" s="178"/>
      <c r="F5699" s="178"/>
      <c r="G5699" s="340"/>
      <c r="H5699" s="340"/>
      <c r="I5699" s="179"/>
      <c r="J5699" s="344"/>
      <c r="K5699" s="345"/>
      <c r="L5699" s="346"/>
      <c r="M5699" s="347"/>
      <c r="N5699" s="347"/>
      <c r="O5699" s="132"/>
    </row>
    <row r="5700" spans="2:15" ht="26.25" customHeight="1" x14ac:dyDescent="0.25">
      <c r="B5700" s="130"/>
      <c r="C5700" s="135"/>
      <c r="D5700" s="177"/>
      <c r="E5700" s="178"/>
      <c r="F5700" s="178"/>
      <c r="G5700" s="340"/>
      <c r="H5700" s="340"/>
      <c r="I5700" s="179"/>
      <c r="J5700" s="344"/>
      <c r="K5700" s="345"/>
      <c r="L5700" s="346"/>
      <c r="M5700" s="347"/>
      <c r="N5700" s="347"/>
      <c r="O5700" s="132"/>
    </row>
    <row r="5701" spans="2:15" ht="26.25" customHeight="1" x14ac:dyDescent="0.25">
      <c r="B5701" s="130"/>
      <c r="C5701" s="135"/>
      <c r="D5701" s="177"/>
      <c r="E5701" s="178"/>
      <c r="F5701" s="178"/>
      <c r="G5701" s="340"/>
      <c r="H5701" s="340"/>
      <c r="I5701" s="179"/>
      <c r="J5701" s="344"/>
      <c r="K5701" s="345"/>
      <c r="L5701" s="346"/>
      <c r="M5701" s="347"/>
      <c r="N5701" s="347"/>
      <c r="O5701" s="132"/>
    </row>
    <row r="5702" spans="2:15" ht="26.25" customHeight="1" x14ac:dyDescent="0.25">
      <c r="B5702" s="130"/>
      <c r="C5702" s="135"/>
      <c r="D5702" s="177"/>
      <c r="E5702" s="178"/>
      <c r="F5702" s="178"/>
      <c r="G5702" s="340"/>
      <c r="H5702" s="340"/>
      <c r="I5702" s="179"/>
      <c r="J5702" s="344"/>
      <c r="K5702" s="345"/>
      <c r="L5702" s="346"/>
      <c r="M5702" s="347"/>
      <c r="N5702" s="347"/>
      <c r="O5702" s="132"/>
    </row>
    <row r="5703" spans="2:15" ht="26.25" customHeight="1" x14ac:dyDescent="0.25">
      <c r="B5703" s="130"/>
      <c r="C5703" s="135"/>
      <c r="D5703" s="177"/>
      <c r="E5703" s="178"/>
      <c r="F5703" s="178"/>
      <c r="G5703" s="340"/>
      <c r="H5703" s="340"/>
      <c r="I5703" s="179"/>
      <c r="J5703" s="344"/>
      <c r="K5703" s="345"/>
      <c r="L5703" s="346"/>
      <c r="M5703" s="347"/>
      <c r="N5703" s="347"/>
      <c r="O5703" s="132"/>
    </row>
    <row r="5704" spans="2:15" ht="26.25" customHeight="1" x14ac:dyDescent="0.25">
      <c r="B5704" s="130"/>
      <c r="C5704" s="135"/>
      <c r="D5704" s="177"/>
      <c r="E5704" s="178"/>
      <c r="F5704" s="178"/>
      <c r="G5704" s="340"/>
      <c r="H5704" s="340"/>
      <c r="I5704" s="179"/>
      <c r="J5704" s="344"/>
      <c r="K5704" s="345"/>
      <c r="L5704" s="346"/>
      <c r="M5704" s="347"/>
      <c r="N5704" s="347"/>
      <c r="O5704" s="132"/>
    </row>
    <row r="5705" spans="2:15" ht="26.25" customHeight="1" x14ac:dyDescent="0.25">
      <c r="B5705" s="130"/>
      <c r="C5705" s="135"/>
      <c r="D5705" s="177"/>
      <c r="E5705" s="178"/>
      <c r="F5705" s="178"/>
      <c r="G5705" s="340"/>
      <c r="H5705" s="340"/>
      <c r="I5705" s="179"/>
      <c r="J5705" s="344"/>
      <c r="K5705" s="345"/>
      <c r="L5705" s="346"/>
      <c r="M5705" s="347"/>
      <c r="N5705" s="347"/>
      <c r="O5705" s="132"/>
    </row>
    <row r="5706" spans="2:15" ht="26.25" customHeight="1" x14ac:dyDescent="0.25">
      <c r="B5706" s="130"/>
      <c r="C5706" s="135"/>
      <c r="D5706" s="177"/>
      <c r="E5706" s="178"/>
      <c r="F5706" s="178"/>
      <c r="G5706" s="340"/>
      <c r="H5706" s="340"/>
      <c r="I5706" s="179"/>
      <c r="J5706" s="344"/>
      <c r="K5706" s="345"/>
      <c r="L5706" s="346"/>
      <c r="M5706" s="347"/>
      <c r="N5706" s="347"/>
      <c r="O5706" s="132"/>
    </row>
    <row r="5707" spans="2:15" ht="26.25" customHeight="1" x14ac:dyDescent="0.25">
      <c r="B5707" s="130"/>
      <c r="C5707" s="135"/>
      <c r="D5707" s="177"/>
      <c r="E5707" s="178"/>
      <c r="F5707" s="178"/>
      <c r="G5707" s="340"/>
      <c r="H5707" s="340"/>
      <c r="I5707" s="179"/>
      <c r="J5707" s="344"/>
      <c r="K5707" s="345"/>
      <c r="L5707" s="346"/>
      <c r="M5707" s="347"/>
      <c r="N5707" s="347"/>
      <c r="O5707" s="132"/>
    </row>
    <row r="5708" spans="2:15" ht="26.25" customHeight="1" x14ac:dyDescent="0.25">
      <c r="B5708" s="130"/>
      <c r="C5708" s="135"/>
      <c r="D5708" s="177"/>
      <c r="E5708" s="178"/>
      <c r="F5708" s="178"/>
      <c r="G5708" s="340"/>
      <c r="H5708" s="340"/>
      <c r="I5708" s="179"/>
      <c r="J5708" s="344"/>
      <c r="K5708" s="345"/>
      <c r="L5708" s="346"/>
      <c r="M5708" s="347"/>
      <c r="N5708" s="347"/>
      <c r="O5708" s="132"/>
    </row>
    <row r="5709" spans="2:15" ht="26.25" customHeight="1" x14ac:dyDescent="0.25">
      <c r="B5709" s="130"/>
      <c r="C5709" s="135"/>
      <c r="D5709" s="177"/>
      <c r="E5709" s="178"/>
      <c r="F5709" s="178"/>
      <c r="G5709" s="340"/>
      <c r="H5709" s="340"/>
      <c r="I5709" s="179"/>
      <c r="J5709" s="344"/>
      <c r="K5709" s="345"/>
      <c r="L5709" s="346"/>
      <c r="M5709" s="347"/>
      <c r="N5709" s="347"/>
      <c r="O5709" s="132"/>
    </row>
    <row r="5710" spans="2:15" ht="26.25" customHeight="1" x14ac:dyDescent="0.25">
      <c r="B5710" s="130"/>
      <c r="C5710" s="135"/>
      <c r="D5710" s="177"/>
      <c r="E5710" s="178"/>
      <c r="F5710" s="178"/>
      <c r="G5710" s="340"/>
      <c r="H5710" s="340"/>
      <c r="I5710" s="179"/>
      <c r="J5710" s="344"/>
      <c r="K5710" s="345"/>
      <c r="L5710" s="346"/>
      <c r="M5710" s="347"/>
      <c r="N5710" s="347"/>
      <c r="O5710" s="132"/>
    </row>
    <row r="5711" spans="2:15" ht="26.25" customHeight="1" x14ac:dyDescent="0.25">
      <c r="B5711" s="130"/>
      <c r="C5711" s="135"/>
      <c r="D5711" s="177"/>
      <c r="E5711" s="178"/>
      <c r="F5711" s="178"/>
      <c r="G5711" s="340"/>
      <c r="H5711" s="340"/>
      <c r="I5711" s="179"/>
      <c r="J5711" s="344"/>
      <c r="K5711" s="345"/>
      <c r="L5711" s="346"/>
      <c r="M5711" s="347"/>
      <c r="N5711" s="347"/>
      <c r="O5711" s="132"/>
    </row>
    <row r="5712" spans="2:15" ht="26.25" customHeight="1" x14ac:dyDescent="0.25">
      <c r="B5712" s="130"/>
      <c r="C5712" s="135"/>
      <c r="D5712" s="177"/>
      <c r="E5712" s="178"/>
      <c r="F5712" s="178"/>
      <c r="G5712" s="340"/>
      <c r="H5712" s="340"/>
      <c r="I5712" s="179"/>
      <c r="J5712" s="344"/>
      <c r="K5712" s="345"/>
      <c r="L5712" s="346"/>
      <c r="M5712" s="347"/>
      <c r="N5712" s="347"/>
      <c r="O5712" s="132"/>
    </row>
    <row r="5713" spans="2:15" ht="26.25" customHeight="1" x14ac:dyDescent="0.25">
      <c r="B5713" s="130"/>
      <c r="C5713" s="135"/>
      <c r="D5713" s="177"/>
      <c r="E5713" s="178"/>
      <c r="F5713" s="178"/>
      <c r="G5713" s="340"/>
      <c r="H5713" s="340"/>
      <c r="I5713" s="179"/>
      <c r="J5713" s="344"/>
      <c r="K5713" s="345"/>
      <c r="L5713" s="346"/>
      <c r="M5713" s="347"/>
      <c r="N5713" s="347"/>
      <c r="O5713" s="132"/>
    </row>
    <row r="5714" spans="2:15" ht="26.25" customHeight="1" x14ac:dyDescent="0.25">
      <c r="B5714" s="130"/>
      <c r="C5714" s="135"/>
      <c r="D5714" s="177"/>
      <c r="E5714" s="178"/>
      <c r="F5714" s="178"/>
      <c r="G5714" s="340"/>
      <c r="H5714" s="340"/>
      <c r="I5714" s="179"/>
      <c r="J5714" s="344"/>
      <c r="K5714" s="345"/>
      <c r="L5714" s="346"/>
      <c r="M5714" s="347"/>
      <c r="N5714" s="347"/>
      <c r="O5714" s="132"/>
    </row>
    <row r="5715" spans="2:15" ht="26.25" customHeight="1" x14ac:dyDescent="0.25">
      <c r="B5715" s="130"/>
      <c r="C5715" s="135"/>
      <c r="D5715" s="177"/>
      <c r="E5715" s="178"/>
      <c r="F5715" s="178"/>
      <c r="G5715" s="340"/>
      <c r="H5715" s="340"/>
      <c r="I5715" s="179"/>
      <c r="J5715" s="344"/>
      <c r="K5715" s="345"/>
      <c r="L5715" s="346"/>
      <c r="M5715" s="347"/>
      <c r="N5715" s="347"/>
      <c r="O5715" s="132"/>
    </row>
    <row r="5716" spans="2:15" ht="26.25" customHeight="1" x14ac:dyDescent="0.25">
      <c r="B5716" s="130"/>
      <c r="C5716" s="135"/>
      <c r="D5716" s="177"/>
      <c r="E5716" s="178"/>
      <c r="F5716" s="178"/>
      <c r="G5716" s="340"/>
      <c r="H5716" s="340"/>
      <c r="I5716" s="179"/>
      <c r="J5716" s="344"/>
      <c r="K5716" s="345"/>
      <c r="L5716" s="346"/>
      <c r="M5716" s="347"/>
      <c r="N5716" s="347"/>
      <c r="O5716" s="132"/>
    </row>
    <row r="5717" spans="2:15" ht="26.25" customHeight="1" x14ac:dyDescent="0.25">
      <c r="B5717" s="130"/>
      <c r="C5717" s="135"/>
      <c r="D5717" s="177"/>
      <c r="E5717" s="178"/>
      <c r="F5717" s="178"/>
      <c r="G5717" s="340"/>
      <c r="H5717" s="340"/>
      <c r="I5717" s="179"/>
      <c r="J5717" s="344"/>
      <c r="K5717" s="345"/>
      <c r="L5717" s="346"/>
      <c r="M5717" s="347"/>
      <c r="N5717" s="347"/>
      <c r="O5717" s="132"/>
    </row>
    <row r="5718" spans="2:15" ht="26.25" customHeight="1" x14ac:dyDescent="0.25">
      <c r="B5718" s="130"/>
      <c r="C5718" s="135"/>
      <c r="D5718" s="177"/>
      <c r="E5718" s="178"/>
      <c r="F5718" s="178"/>
      <c r="G5718" s="340"/>
      <c r="H5718" s="340"/>
      <c r="I5718" s="179"/>
      <c r="J5718" s="344"/>
      <c r="K5718" s="345"/>
      <c r="L5718" s="346"/>
      <c r="M5718" s="347"/>
      <c r="N5718" s="347"/>
      <c r="O5718" s="132"/>
    </row>
    <row r="5719" spans="2:15" ht="26.25" customHeight="1" x14ac:dyDescent="0.25">
      <c r="B5719" s="130"/>
      <c r="C5719" s="135"/>
      <c r="D5719" s="177"/>
      <c r="E5719" s="178"/>
      <c r="F5719" s="178"/>
      <c r="G5719" s="340"/>
      <c r="H5719" s="340"/>
      <c r="I5719" s="179"/>
      <c r="J5719" s="344"/>
      <c r="K5719" s="345"/>
      <c r="L5719" s="346"/>
      <c r="M5719" s="347"/>
      <c r="N5719" s="347"/>
      <c r="O5719" s="132"/>
    </row>
    <row r="5720" spans="2:15" ht="26.25" customHeight="1" x14ac:dyDescent="0.25">
      <c r="B5720" s="130"/>
      <c r="C5720" s="135"/>
      <c r="D5720" s="177"/>
      <c r="E5720" s="178"/>
      <c r="F5720" s="178"/>
      <c r="G5720" s="340"/>
      <c r="H5720" s="340"/>
      <c r="I5720" s="179"/>
      <c r="J5720" s="344"/>
      <c r="K5720" s="345"/>
      <c r="L5720" s="346"/>
      <c r="M5720" s="347"/>
      <c r="N5720" s="347"/>
      <c r="O5720" s="132"/>
    </row>
    <row r="5721" spans="2:15" ht="26.25" customHeight="1" x14ac:dyDescent="0.25">
      <c r="B5721" s="130"/>
      <c r="C5721" s="135"/>
      <c r="D5721" s="177"/>
      <c r="E5721" s="178"/>
      <c r="F5721" s="178"/>
      <c r="G5721" s="340"/>
      <c r="H5721" s="340"/>
      <c r="I5721" s="179"/>
      <c r="J5721" s="344"/>
      <c r="K5721" s="345"/>
      <c r="L5721" s="346"/>
      <c r="M5721" s="347"/>
      <c r="N5721" s="347"/>
      <c r="O5721" s="132"/>
    </row>
    <row r="5722" spans="2:15" ht="26.25" customHeight="1" x14ac:dyDescent="0.25">
      <c r="B5722" s="130"/>
      <c r="C5722" s="135"/>
      <c r="D5722" s="177"/>
      <c r="E5722" s="178"/>
      <c r="F5722" s="178"/>
      <c r="G5722" s="340"/>
      <c r="H5722" s="340"/>
      <c r="I5722" s="179"/>
      <c r="J5722" s="344"/>
      <c r="K5722" s="345"/>
      <c r="L5722" s="346"/>
      <c r="M5722" s="347"/>
      <c r="N5722" s="347"/>
      <c r="O5722" s="132"/>
    </row>
    <row r="5723" spans="2:15" ht="26.25" customHeight="1" x14ac:dyDescent="0.25">
      <c r="B5723" s="130"/>
      <c r="C5723" s="135"/>
      <c r="D5723" s="177"/>
      <c r="E5723" s="178"/>
      <c r="F5723" s="178"/>
      <c r="G5723" s="340"/>
      <c r="H5723" s="340"/>
      <c r="I5723" s="179"/>
      <c r="J5723" s="344"/>
      <c r="K5723" s="345"/>
      <c r="L5723" s="346"/>
      <c r="M5723" s="347"/>
      <c r="N5723" s="347"/>
      <c r="O5723" s="132"/>
    </row>
    <row r="5724" spans="2:15" ht="26.25" customHeight="1" x14ac:dyDescent="0.25">
      <c r="B5724" s="130"/>
      <c r="C5724" s="135"/>
      <c r="D5724" s="177"/>
      <c r="E5724" s="178"/>
      <c r="F5724" s="178"/>
      <c r="G5724" s="340"/>
      <c r="H5724" s="340"/>
      <c r="I5724" s="179"/>
      <c r="J5724" s="344"/>
      <c r="K5724" s="345"/>
      <c r="L5724" s="346"/>
      <c r="M5724" s="347"/>
      <c r="N5724" s="347"/>
      <c r="O5724" s="132"/>
    </row>
    <row r="5725" spans="2:15" ht="26.25" customHeight="1" x14ac:dyDescent="0.25">
      <c r="B5725" s="130"/>
      <c r="C5725" s="135"/>
      <c r="D5725" s="177"/>
      <c r="E5725" s="178"/>
      <c r="F5725" s="178"/>
      <c r="G5725" s="340"/>
      <c r="H5725" s="340"/>
      <c r="I5725" s="179"/>
      <c r="J5725" s="344"/>
      <c r="K5725" s="345"/>
      <c r="L5725" s="346"/>
      <c r="M5725" s="347"/>
      <c r="N5725" s="347"/>
      <c r="O5725" s="132"/>
    </row>
    <row r="5726" spans="2:15" ht="26.25" customHeight="1" x14ac:dyDescent="0.25">
      <c r="B5726" s="130"/>
      <c r="C5726" s="135"/>
      <c r="D5726" s="177"/>
      <c r="E5726" s="178"/>
      <c r="F5726" s="178"/>
      <c r="G5726" s="340"/>
      <c r="H5726" s="340"/>
      <c r="I5726" s="179"/>
      <c r="J5726" s="344"/>
      <c r="K5726" s="345"/>
      <c r="L5726" s="346"/>
      <c r="M5726" s="347"/>
      <c r="N5726" s="347"/>
      <c r="O5726" s="132"/>
    </row>
    <row r="5727" spans="2:15" ht="26.25" customHeight="1" x14ac:dyDescent="0.25">
      <c r="B5727" s="130"/>
      <c r="C5727" s="135"/>
      <c r="D5727" s="177"/>
      <c r="E5727" s="178"/>
      <c r="F5727" s="178"/>
      <c r="G5727" s="340"/>
      <c r="H5727" s="340"/>
      <c r="I5727" s="179"/>
      <c r="J5727" s="344"/>
      <c r="K5727" s="345"/>
      <c r="L5727" s="346"/>
      <c r="M5727" s="347"/>
      <c r="N5727" s="347"/>
      <c r="O5727" s="132"/>
    </row>
    <row r="5728" spans="2:15" ht="26.25" customHeight="1" x14ac:dyDescent="0.25">
      <c r="B5728" s="130"/>
      <c r="C5728" s="135"/>
      <c r="D5728" s="177"/>
      <c r="E5728" s="178"/>
      <c r="F5728" s="178"/>
      <c r="G5728" s="340"/>
      <c r="H5728" s="340"/>
      <c r="I5728" s="179"/>
      <c r="J5728" s="344"/>
      <c r="K5728" s="345"/>
      <c r="L5728" s="346"/>
      <c r="M5728" s="347"/>
      <c r="N5728" s="347"/>
      <c r="O5728" s="132"/>
    </row>
    <row r="5729" spans="2:15" ht="26.25" customHeight="1" x14ac:dyDescent="0.25">
      <c r="B5729" s="130"/>
      <c r="C5729" s="135"/>
      <c r="D5729" s="177"/>
      <c r="E5729" s="178"/>
      <c r="F5729" s="178"/>
      <c r="G5729" s="340"/>
      <c r="H5729" s="340"/>
      <c r="I5729" s="179"/>
      <c r="J5729" s="344"/>
      <c r="K5729" s="345"/>
      <c r="L5729" s="346"/>
      <c r="M5729" s="347"/>
      <c r="N5729" s="347"/>
      <c r="O5729" s="132"/>
    </row>
    <row r="5730" spans="2:15" ht="26.25" customHeight="1" x14ac:dyDescent="0.25">
      <c r="B5730" s="130"/>
      <c r="C5730" s="135"/>
      <c r="D5730" s="177"/>
      <c r="E5730" s="178"/>
      <c r="F5730" s="178"/>
      <c r="G5730" s="340"/>
      <c r="H5730" s="340"/>
      <c r="I5730" s="179"/>
      <c r="J5730" s="344"/>
      <c r="K5730" s="345"/>
      <c r="L5730" s="346"/>
      <c r="M5730" s="347"/>
      <c r="N5730" s="347"/>
      <c r="O5730" s="132"/>
    </row>
    <row r="5731" spans="2:15" ht="26.25" customHeight="1" x14ac:dyDescent="0.25">
      <c r="B5731" s="130"/>
      <c r="C5731" s="135"/>
      <c r="D5731" s="177"/>
      <c r="E5731" s="178"/>
      <c r="F5731" s="178"/>
      <c r="G5731" s="340"/>
      <c r="H5731" s="340"/>
      <c r="I5731" s="179"/>
      <c r="J5731" s="344"/>
      <c r="K5731" s="345"/>
      <c r="L5731" s="346"/>
      <c r="M5731" s="347"/>
      <c r="N5731" s="347"/>
      <c r="O5731" s="132"/>
    </row>
    <row r="5732" spans="2:15" ht="26.25" customHeight="1" x14ac:dyDescent="0.25">
      <c r="B5732" s="130"/>
      <c r="C5732" s="135"/>
      <c r="D5732" s="177"/>
      <c r="E5732" s="178"/>
      <c r="F5732" s="178"/>
      <c r="G5732" s="340"/>
      <c r="H5732" s="340"/>
      <c r="I5732" s="179"/>
      <c r="J5732" s="344"/>
      <c r="K5732" s="345"/>
      <c r="L5732" s="346"/>
      <c r="M5732" s="347"/>
      <c r="N5732" s="347"/>
      <c r="O5732" s="132"/>
    </row>
    <row r="5733" spans="2:15" ht="26.25" customHeight="1" x14ac:dyDescent="0.25">
      <c r="B5733" s="130"/>
      <c r="C5733" s="135"/>
      <c r="D5733" s="177"/>
      <c r="E5733" s="178"/>
      <c r="F5733" s="178"/>
      <c r="G5733" s="340"/>
      <c r="H5733" s="340"/>
      <c r="I5733" s="179"/>
      <c r="J5733" s="344"/>
      <c r="K5733" s="345"/>
      <c r="L5733" s="346"/>
      <c r="M5733" s="347"/>
      <c r="N5733" s="347"/>
      <c r="O5733" s="132"/>
    </row>
    <row r="5734" spans="2:15" ht="26.25" customHeight="1" x14ac:dyDescent="0.25">
      <c r="B5734" s="130"/>
      <c r="C5734" s="135"/>
      <c r="D5734" s="177"/>
      <c r="E5734" s="178"/>
      <c r="F5734" s="178"/>
      <c r="G5734" s="340"/>
      <c r="H5734" s="340"/>
      <c r="I5734" s="179"/>
      <c r="J5734" s="344"/>
      <c r="K5734" s="345"/>
      <c r="L5734" s="346"/>
      <c r="M5734" s="347"/>
      <c r="N5734" s="347"/>
      <c r="O5734" s="132"/>
    </row>
    <row r="5735" spans="2:15" ht="26.25" customHeight="1" x14ac:dyDescent="0.25">
      <c r="B5735" s="130"/>
      <c r="C5735" s="135"/>
      <c r="D5735" s="177"/>
      <c r="E5735" s="178"/>
      <c r="F5735" s="178"/>
      <c r="G5735" s="340"/>
      <c r="H5735" s="340"/>
      <c r="I5735" s="179"/>
      <c r="J5735" s="344"/>
      <c r="K5735" s="345"/>
      <c r="L5735" s="346"/>
      <c r="M5735" s="347"/>
      <c r="N5735" s="347"/>
      <c r="O5735" s="132"/>
    </row>
    <row r="5736" spans="2:15" ht="26.25" customHeight="1" x14ac:dyDescent="0.25">
      <c r="B5736" s="130"/>
      <c r="C5736" s="135"/>
      <c r="D5736" s="177"/>
      <c r="E5736" s="178"/>
      <c r="F5736" s="178"/>
      <c r="G5736" s="340"/>
      <c r="H5736" s="340"/>
      <c r="I5736" s="179"/>
      <c r="J5736" s="344"/>
      <c r="K5736" s="345"/>
      <c r="L5736" s="346"/>
      <c r="M5736" s="347"/>
      <c r="N5736" s="347"/>
      <c r="O5736" s="132"/>
    </row>
    <row r="5737" spans="2:15" ht="26.25" customHeight="1" x14ac:dyDescent="0.25">
      <c r="B5737" s="130"/>
      <c r="C5737" s="135"/>
      <c r="D5737" s="177"/>
      <c r="E5737" s="178"/>
      <c r="F5737" s="178"/>
      <c r="G5737" s="340"/>
      <c r="H5737" s="340"/>
      <c r="I5737" s="179"/>
      <c r="J5737" s="344"/>
      <c r="K5737" s="345"/>
      <c r="L5737" s="346"/>
      <c r="M5737" s="347"/>
      <c r="N5737" s="347"/>
      <c r="O5737" s="132"/>
    </row>
    <row r="5738" spans="2:15" ht="26.25" customHeight="1" x14ac:dyDescent="0.25">
      <c r="B5738" s="130"/>
      <c r="C5738" s="135"/>
      <c r="D5738" s="177"/>
      <c r="E5738" s="178"/>
      <c r="F5738" s="178"/>
      <c r="G5738" s="340"/>
      <c r="H5738" s="340"/>
      <c r="I5738" s="179"/>
      <c r="J5738" s="344"/>
      <c r="K5738" s="345"/>
      <c r="L5738" s="346"/>
      <c r="M5738" s="347"/>
      <c r="N5738" s="347"/>
      <c r="O5738" s="132"/>
    </row>
    <row r="5739" spans="2:15" ht="26.25" customHeight="1" x14ac:dyDescent="0.25">
      <c r="B5739" s="130"/>
      <c r="C5739" s="135"/>
      <c r="D5739" s="177"/>
      <c r="E5739" s="178"/>
      <c r="F5739" s="178"/>
      <c r="G5739" s="340"/>
      <c r="H5739" s="340"/>
      <c r="I5739" s="179"/>
      <c r="J5739" s="344"/>
      <c r="K5739" s="345"/>
      <c r="L5739" s="346"/>
      <c r="M5739" s="347"/>
      <c r="N5739" s="347"/>
      <c r="O5739" s="132"/>
    </row>
    <row r="5740" spans="2:15" ht="26.25" customHeight="1" x14ac:dyDescent="0.25">
      <c r="B5740" s="130"/>
      <c r="C5740" s="135"/>
      <c r="D5740" s="177"/>
      <c r="E5740" s="178"/>
      <c r="F5740" s="178"/>
      <c r="G5740" s="340"/>
      <c r="H5740" s="340"/>
      <c r="I5740" s="179"/>
      <c r="J5740" s="344"/>
      <c r="K5740" s="345"/>
      <c r="L5740" s="346"/>
      <c r="M5740" s="347"/>
      <c r="N5740" s="347"/>
      <c r="O5740" s="132"/>
    </row>
    <row r="5741" spans="2:15" ht="26.25" customHeight="1" x14ac:dyDescent="0.25">
      <c r="B5741" s="130"/>
      <c r="C5741" s="135"/>
      <c r="D5741" s="177"/>
      <c r="E5741" s="178"/>
      <c r="F5741" s="178"/>
      <c r="G5741" s="340"/>
      <c r="H5741" s="340"/>
      <c r="I5741" s="179"/>
      <c r="J5741" s="344"/>
      <c r="K5741" s="345"/>
      <c r="L5741" s="346"/>
      <c r="M5741" s="347"/>
      <c r="N5741" s="347"/>
      <c r="O5741" s="132"/>
    </row>
    <row r="5742" spans="2:15" ht="26.25" customHeight="1" x14ac:dyDescent="0.25">
      <c r="B5742" s="130"/>
      <c r="C5742" s="135"/>
      <c r="D5742" s="177"/>
      <c r="E5742" s="178"/>
      <c r="F5742" s="178"/>
      <c r="G5742" s="340"/>
      <c r="H5742" s="340"/>
      <c r="I5742" s="179"/>
      <c r="J5742" s="344"/>
      <c r="K5742" s="345"/>
      <c r="L5742" s="346"/>
      <c r="M5742" s="347"/>
      <c r="N5742" s="347"/>
      <c r="O5742" s="132"/>
    </row>
    <row r="5743" spans="2:15" ht="26.25" customHeight="1" x14ac:dyDescent="0.25">
      <c r="B5743" s="130"/>
      <c r="C5743" s="135"/>
      <c r="D5743" s="177"/>
      <c r="E5743" s="178"/>
      <c r="F5743" s="178"/>
      <c r="G5743" s="340"/>
      <c r="H5743" s="340"/>
      <c r="I5743" s="179"/>
      <c r="J5743" s="344"/>
      <c r="K5743" s="345"/>
      <c r="L5743" s="346"/>
      <c r="M5743" s="347"/>
      <c r="N5743" s="347"/>
      <c r="O5743" s="132"/>
    </row>
    <row r="5744" spans="2:15" ht="26.25" customHeight="1" x14ac:dyDescent="0.25">
      <c r="B5744" s="130"/>
      <c r="C5744" s="135"/>
      <c r="D5744" s="177"/>
      <c r="E5744" s="178"/>
      <c r="F5744" s="178"/>
      <c r="G5744" s="340"/>
      <c r="H5744" s="340"/>
      <c r="I5744" s="179"/>
      <c r="J5744" s="344"/>
      <c r="K5744" s="345"/>
      <c r="L5744" s="346"/>
      <c r="M5744" s="347"/>
      <c r="N5744" s="347"/>
      <c r="O5744" s="132"/>
    </row>
    <row r="5745" spans="2:15" ht="26.25" customHeight="1" x14ac:dyDescent="0.25">
      <c r="B5745" s="130"/>
      <c r="C5745" s="135"/>
      <c r="D5745" s="177"/>
      <c r="E5745" s="178"/>
      <c r="F5745" s="178"/>
      <c r="G5745" s="340"/>
      <c r="H5745" s="340"/>
      <c r="I5745" s="179"/>
      <c r="J5745" s="344"/>
      <c r="K5745" s="345"/>
      <c r="L5745" s="346"/>
      <c r="M5745" s="347"/>
      <c r="N5745" s="347"/>
      <c r="O5745" s="132"/>
    </row>
    <row r="5746" spans="2:15" ht="26.25" customHeight="1" x14ac:dyDescent="0.25">
      <c r="B5746" s="130"/>
      <c r="C5746" s="135"/>
      <c r="D5746" s="177"/>
      <c r="E5746" s="178"/>
      <c r="F5746" s="178"/>
      <c r="G5746" s="340"/>
      <c r="H5746" s="340"/>
      <c r="I5746" s="179"/>
      <c r="J5746" s="344"/>
      <c r="K5746" s="345"/>
      <c r="L5746" s="346"/>
      <c r="M5746" s="347"/>
      <c r="N5746" s="347"/>
      <c r="O5746" s="132"/>
    </row>
    <row r="5747" spans="2:15" ht="26.25" customHeight="1" x14ac:dyDescent="0.25">
      <c r="B5747" s="130"/>
      <c r="C5747" s="135"/>
      <c r="D5747" s="177"/>
      <c r="E5747" s="178"/>
      <c r="F5747" s="178"/>
      <c r="G5747" s="340"/>
      <c r="H5747" s="340"/>
      <c r="I5747" s="179"/>
      <c r="J5747" s="344"/>
      <c r="K5747" s="345"/>
      <c r="L5747" s="346"/>
      <c r="M5747" s="347"/>
      <c r="N5747" s="347"/>
      <c r="O5747" s="132"/>
    </row>
    <row r="5748" spans="2:15" ht="26.25" customHeight="1" x14ac:dyDescent="0.25">
      <c r="B5748" s="130"/>
      <c r="C5748" s="135"/>
      <c r="D5748" s="177"/>
      <c r="E5748" s="178"/>
      <c r="F5748" s="178"/>
      <c r="G5748" s="340"/>
      <c r="H5748" s="340"/>
      <c r="I5748" s="179"/>
      <c r="J5748" s="344"/>
      <c r="K5748" s="345"/>
      <c r="L5748" s="346"/>
      <c r="M5748" s="347"/>
      <c r="N5748" s="347"/>
      <c r="O5748" s="132"/>
    </row>
    <row r="5749" spans="2:15" ht="26.25" customHeight="1" x14ac:dyDescent="0.25">
      <c r="B5749" s="130"/>
      <c r="C5749" s="135"/>
      <c r="D5749" s="177"/>
      <c r="E5749" s="178"/>
      <c r="F5749" s="178"/>
      <c r="G5749" s="340"/>
      <c r="H5749" s="340"/>
      <c r="I5749" s="179"/>
      <c r="J5749" s="344"/>
      <c r="K5749" s="345"/>
      <c r="L5749" s="346"/>
      <c r="M5749" s="347"/>
      <c r="N5749" s="347"/>
      <c r="O5749" s="132"/>
    </row>
    <row r="5750" spans="2:15" ht="26.25" customHeight="1" x14ac:dyDescent="0.25">
      <c r="B5750" s="130"/>
      <c r="C5750" s="135"/>
      <c r="D5750" s="177"/>
      <c r="E5750" s="178"/>
      <c r="F5750" s="178"/>
      <c r="G5750" s="340"/>
      <c r="H5750" s="340"/>
      <c r="I5750" s="179"/>
      <c r="J5750" s="344"/>
      <c r="K5750" s="345"/>
      <c r="L5750" s="346"/>
      <c r="M5750" s="347"/>
      <c r="N5750" s="347"/>
      <c r="O5750" s="132"/>
    </row>
    <row r="5751" spans="2:15" ht="26.25" customHeight="1" x14ac:dyDescent="0.25">
      <c r="B5751" s="130"/>
      <c r="C5751" s="135"/>
      <c r="D5751" s="177"/>
      <c r="E5751" s="178"/>
      <c r="F5751" s="178"/>
      <c r="G5751" s="340"/>
      <c r="H5751" s="340"/>
      <c r="I5751" s="179"/>
      <c r="J5751" s="344"/>
      <c r="K5751" s="345"/>
      <c r="L5751" s="346"/>
      <c r="M5751" s="347"/>
      <c r="N5751" s="347"/>
      <c r="O5751" s="132"/>
    </row>
    <row r="5752" spans="2:15" ht="26.25" customHeight="1" x14ac:dyDescent="0.25">
      <c r="B5752" s="130"/>
      <c r="C5752" s="135"/>
      <c r="D5752" s="177"/>
      <c r="E5752" s="178"/>
      <c r="F5752" s="178"/>
      <c r="G5752" s="340"/>
      <c r="H5752" s="340"/>
      <c r="I5752" s="179"/>
      <c r="J5752" s="344"/>
      <c r="K5752" s="345"/>
      <c r="L5752" s="346"/>
      <c r="M5752" s="347"/>
      <c r="N5752" s="347"/>
      <c r="O5752" s="132"/>
    </row>
    <row r="5753" spans="2:15" ht="26.25" customHeight="1" x14ac:dyDescent="0.25">
      <c r="B5753" s="130"/>
      <c r="C5753" s="135"/>
      <c r="D5753" s="177"/>
      <c r="E5753" s="178"/>
      <c r="F5753" s="178"/>
      <c r="G5753" s="340"/>
      <c r="H5753" s="340"/>
      <c r="I5753" s="179"/>
      <c r="J5753" s="344"/>
      <c r="K5753" s="345"/>
      <c r="L5753" s="346"/>
      <c r="M5753" s="347"/>
      <c r="N5753" s="347"/>
      <c r="O5753" s="132"/>
    </row>
    <row r="5754" spans="2:15" ht="26.25" customHeight="1" x14ac:dyDescent="0.25">
      <c r="B5754" s="130"/>
      <c r="C5754" s="135"/>
      <c r="D5754" s="177"/>
      <c r="E5754" s="178"/>
      <c r="F5754" s="178"/>
      <c r="G5754" s="340"/>
      <c r="H5754" s="340"/>
      <c r="I5754" s="179"/>
      <c r="J5754" s="344"/>
      <c r="K5754" s="345"/>
      <c r="L5754" s="346"/>
      <c r="M5754" s="347"/>
      <c r="N5754" s="347"/>
      <c r="O5754" s="132"/>
    </row>
    <row r="5755" spans="2:15" ht="26.25" customHeight="1" x14ac:dyDescent="0.25">
      <c r="B5755" s="130"/>
      <c r="C5755" s="135"/>
      <c r="D5755" s="177"/>
      <c r="E5755" s="178"/>
      <c r="F5755" s="178"/>
      <c r="G5755" s="340"/>
      <c r="H5755" s="340"/>
      <c r="I5755" s="179"/>
      <c r="J5755" s="344"/>
      <c r="K5755" s="345"/>
      <c r="L5755" s="346"/>
      <c r="M5755" s="347"/>
      <c r="N5755" s="347"/>
      <c r="O5755" s="132"/>
    </row>
    <row r="5756" spans="2:15" ht="26.25" customHeight="1" x14ac:dyDescent="0.25">
      <c r="B5756" s="130"/>
      <c r="C5756" s="135"/>
      <c r="D5756" s="177"/>
      <c r="E5756" s="178"/>
      <c r="F5756" s="178"/>
      <c r="G5756" s="340"/>
      <c r="H5756" s="340"/>
      <c r="I5756" s="179"/>
      <c r="J5756" s="344"/>
      <c r="K5756" s="345"/>
      <c r="L5756" s="346"/>
      <c r="M5756" s="347"/>
      <c r="N5756" s="347"/>
      <c r="O5756" s="132"/>
    </row>
    <row r="5757" spans="2:15" ht="26.25" customHeight="1" x14ac:dyDescent="0.25">
      <c r="B5757" s="130"/>
      <c r="C5757" s="135"/>
      <c r="D5757" s="177"/>
      <c r="E5757" s="178"/>
      <c r="F5757" s="178"/>
      <c r="G5757" s="340"/>
      <c r="H5757" s="340"/>
      <c r="I5757" s="179"/>
      <c r="J5757" s="344"/>
      <c r="K5757" s="345"/>
      <c r="L5757" s="346"/>
      <c r="M5757" s="347"/>
      <c r="N5757" s="347"/>
      <c r="O5757" s="132"/>
    </row>
    <row r="5758" spans="2:15" ht="26.25" customHeight="1" x14ac:dyDescent="0.25">
      <c r="B5758" s="130"/>
      <c r="C5758" s="135"/>
      <c r="D5758" s="177"/>
      <c r="E5758" s="178"/>
      <c r="F5758" s="178"/>
      <c r="G5758" s="340"/>
      <c r="H5758" s="340"/>
      <c r="I5758" s="179"/>
      <c r="J5758" s="344"/>
      <c r="K5758" s="345"/>
      <c r="L5758" s="346"/>
      <c r="M5758" s="347"/>
      <c r="N5758" s="347"/>
      <c r="O5758" s="132"/>
    </row>
    <row r="5759" spans="2:15" ht="26.25" customHeight="1" x14ac:dyDescent="0.25">
      <c r="B5759" s="130"/>
      <c r="C5759" s="135"/>
      <c r="D5759" s="177"/>
      <c r="E5759" s="178"/>
      <c r="F5759" s="178"/>
      <c r="G5759" s="340"/>
      <c r="H5759" s="340"/>
      <c r="I5759" s="179"/>
      <c r="J5759" s="344"/>
      <c r="K5759" s="345"/>
      <c r="L5759" s="346"/>
      <c r="M5759" s="347"/>
      <c r="N5759" s="347"/>
      <c r="O5759" s="132"/>
    </row>
    <row r="5760" spans="2:15" ht="26.25" customHeight="1" x14ac:dyDescent="0.25">
      <c r="B5760" s="130"/>
      <c r="C5760" s="135"/>
      <c r="D5760" s="177"/>
      <c r="E5760" s="178"/>
      <c r="F5760" s="178"/>
      <c r="G5760" s="340"/>
      <c r="H5760" s="340"/>
      <c r="I5760" s="179"/>
      <c r="J5760" s="344"/>
      <c r="K5760" s="345"/>
      <c r="L5760" s="346"/>
      <c r="M5760" s="347"/>
      <c r="N5760" s="347"/>
      <c r="O5760" s="132"/>
    </row>
    <row r="5761" spans="2:15" ht="26.25" customHeight="1" x14ac:dyDescent="0.25">
      <c r="B5761" s="130"/>
      <c r="C5761" s="135"/>
      <c r="D5761" s="177"/>
      <c r="E5761" s="178"/>
      <c r="F5761" s="178"/>
      <c r="G5761" s="340"/>
      <c r="H5761" s="340"/>
      <c r="I5761" s="179"/>
      <c r="J5761" s="344"/>
      <c r="K5761" s="345"/>
      <c r="L5761" s="346"/>
      <c r="M5761" s="347"/>
      <c r="N5761" s="347"/>
      <c r="O5761" s="132"/>
    </row>
    <row r="5762" spans="2:15" ht="26.25" customHeight="1" x14ac:dyDescent="0.25">
      <c r="B5762" s="130"/>
      <c r="C5762" s="135"/>
      <c r="D5762" s="177"/>
      <c r="E5762" s="178"/>
      <c r="F5762" s="178"/>
      <c r="G5762" s="340"/>
      <c r="H5762" s="340"/>
      <c r="I5762" s="179"/>
      <c r="J5762" s="344"/>
      <c r="K5762" s="345"/>
      <c r="L5762" s="346"/>
      <c r="M5762" s="347"/>
      <c r="N5762" s="347"/>
      <c r="O5762" s="132"/>
    </row>
    <row r="5763" spans="2:15" ht="26.25" customHeight="1" x14ac:dyDescent="0.25">
      <c r="B5763" s="130"/>
      <c r="C5763" s="135"/>
      <c r="D5763" s="177"/>
      <c r="E5763" s="178"/>
      <c r="F5763" s="178"/>
      <c r="G5763" s="340"/>
      <c r="H5763" s="340"/>
      <c r="I5763" s="179"/>
      <c r="J5763" s="344"/>
      <c r="K5763" s="345"/>
      <c r="L5763" s="346"/>
      <c r="M5763" s="347"/>
      <c r="N5763" s="347"/>
      <c r="O5763" s="132"/>
    </row>
    <row r="5764" spans="2:15" ht="26.25" customHeight="1" x14ac:dyDescent="0.25">
      <c r="B5764" s="130"/>
      <c r="C5764" s="135"/>
      <c r="D5764" s="177"/>
      <c r="E5764" s="178"/>
      <c r="F5764" s="178"/>
      <c r="G5764" s="340"/>
      <c r="H5764" s="340"/>
      <c r="I5764" s="179"/>
      <c r="J5764" s="344"/>
      <c r="K5764" s="345"/>
      <c r="L5764" s="346"/>
      <c r="M5764" s="347"/>
      <c r="N5764" s="347"/>
      <c r="O5764" s="132"/>
    </row>
    <row r="5765" spans="2:15" ht="26.25" customHeight="1" x14ac:dyDescent="0.25">
      <c r="B5765" s="130"/>
      <c r="C5765" s="135"/>
      <c r="D5765" s="177"/>
      <c r="E5765" s="178"/>
      <c r="F5765" s="178"/>
      <c r="G5765" s="340"/>
      <c r="H5765" s="340"/>
      <c r="I5765" s="179"/>
      <c r="J5765" s="344"/>
      <c r="K5765" s="345"/>
      <c r="L5765" s="346"/>
      <c r="M5765" s="347"/>
      <c r="N5765" s="347"/>
      <c r="O5765" s="132"/>
    </row>
    <row r="5766" spans="2:15" ht="26.25" customHeight="1" x14ac:dyDescent="0.25">
      <c r="B5766" s="130"/>
      <c r="C5766" s="135"/>
      <c r="D5766" s="177"/>
      <c r="E5766" s="178"/>
      <c r="F5766" s="178"/>
      <c r="G5766" s="340"/>
      <c r="H5766" s="340"/>
      <c r="I5766" s="179"/>
      <c r="J5766" s="344"/>
      <c r="K5766" s="345"/>
      <c r="L5766" s="346"/>
      <c r="M5766" s="347"/>
      <c r="N5766" s="347"/>
      <c r="O5766" s="132"/>
    </row>
    <row r="5767" spans="2:15" ht="26.25" customHeight="1" x14ac:dyDescent="0.25">
      <c r="B5767" s="130"/>
      <c r="C5767" s="135"/>
      <c r="D5767" s="177"/>
      <c r="E5767" s="178"/>
      <c r="F5767" s="178"/>
      <c r="G5767" s="340"/>
      <c r="H5767" s="340"/>
      <c r="I5767" s="179"/>
      <c r="J5767" s="344"/>
      <c r="K5767" s="345"/>
      <c r="L5767" s="346"/>
      <c r="M5767" s="347"/>
      <c r="N5767" s="347"/>
      <c r="O5767" s="132"/>
    </row>
    <row r="5768" spans="2:15" ht="26.25" customHeight="1" x14ac:dyDescent="0.25">
      <c r="B5768" s="130"/>
      <c r="C5768" s="135"/>
      <c r="D5768" s="177"/>
      <c r="E5768" s="178"/>
      <c r="F5768" s="178"/>
      <c r="G5768" s="340"/>
      <c r="H5768" s="340"/>
      <c r="I5768" s="179"/>
      <c r="J5768" s="344"/>
      <c r="K5768" s="345"/>
      <c r="L5768" s="346"/>
      <c r="M5768" s="347"/>
      <c r="N5768" s="347"/>
      <c r="O5768" s="132"/>
    </row>
    <row r="5769" spans="2:15" ht="26.25" customHeight="1" x14ac:dyDescent="0.25">
      <c r="B5769" s="130"/>
      <c r="C5769" s="135"/>
      <c r="D5769" s="177"/>
      <c r="E5769" s="178"/>
      <c r="F5769" s="178"/>
      <c r="G5769" s="340"/>
      <c r="H5769" s="340"/>
      <c r="I5769" s="179"/>
      <c r="J5769" s="344"/>
      <c r="K5769" s="345"/>
      <c r="L5769" s="346"/>
      <c r="M5769" s="347"/>
      <c r="N5769" s="347"/>
      <c r="O5769" s="132"/>
    </row>
    <row r="5770" spans="2:15" ht="26.25" customHeight="1" x14ac:dyDescent="0.25">
      <c r="B5770" s="130"/>
      <c r="C5770" s="135"/>
      <c r="D5770" s="177"/>
      <c r="E5770" s="178"/>
      <c r="F5770" s="178"/>
      <c r="G5770" s="340"/>
      <c r="H5770" s="340"/>
      <c r="I5770" s="179"/>
      <c r="J5770" s="344"/>
      <c r="K5770" s="345"/>
      <c r="L5770" s="346"/>
      <c r="M5770" s="347"/>
      <c r="N5770" s="347"/>
      <c r="O5770" s="132"/>
    </row>
    <row r="5771" spans="2:15" ht="26.25" customHeight="1" x14ac:dyDescent="0.25">
      <c r="B5771" s="130"/>
      <c r="C5771" s="135"/>
      <c r="D5771" s="177"/>
      <c r="E5771" s="178"/>
      <c r="F5771" s="178"/>
      <c r="G5771" s="340"/>
      <c r="H5771" s="340"/>
      <c r="I5771" s="179"/>
      <c r="J5771" s="344"/>
      <c r="K5771" s="345"/>
      <c r="L5771" s="346"/>
      <c r="M5771" s="347"/>
      <c r="N5771" s="347"/>
      <c r="O5771" s="132"/>
    </row>
    <row r="5772" spans="2:15" ht="26.25" customHeight="1" x14ac:dyDescent="0.25">
      <c r="B5772" s="130"/>
      <c r="C5772" s="135"/>
      <c r="D5772" s="177"/>
      <c r="E5772" s="178"/>
      <c r="F5772" s="178"/>
      <c r="G5772" s="340"/>
      <c r="H5772" s="340"/>
      <c r="I5772" s="179"/>
      <c r="J5772" s="344"/>
      <c r="K5772" s="345"/>
      <c r="L5772" s="346"/>
      <c r="M5772" s="347"/>
      <c r="N5772" s="347"/>
      <c r="O5772" s="132"/>
    </row>
    <row r="5773" spans="2:15" ht="26.25" customHeight="1" x14ac:dyDescent="0.25">
      <c r="B5773" s="130"/>
      <c r="C5773" s="135"/>
      <c r="D5773" s="177"/>
      <c r="E5773" s="178"/>
      <c r="F5773" s="178"/>
      <c r="G5773" s="340"/>
      <c r="H5773" s="340"/>
      <c r="I5773" s="179"/>
      <c r="J5773" s="344"/>
      <c r="K5773" s="345"/>
      <c r="L5773" s="346"/>
      <c r="M5773" s="347"/>
      <c r="N5773" s="347"/>
      <c r="O5773" s="132"/>
    </row>
    <row r="5774" spans="2:15" ht="26.25" customHeight="1" x14ac:dyDescent="0.25">
      <c r="B5774" s="130"/>
      <c r="C5774" s="135"/>
      <c r="D5774" s="177"/>
      <c r="E5774" s="178"/>
      <c r="F5774" s="178"/>
      <c r="G5774" s="340"/>
      <c r="H5774" s="340"/>
      <c r="I5774" s="179"/>
      <c r="J5774" s="344"/>
      <c r="K5774" s="345"/>
      <c r="L5774" s="346"/>
      <c r="M5774" s="347"/>
      <c r="N5774" s="347"/>
      <c r="O5774" s="132"/>
    </row>
    <row r="5775" spans="2:15" ht="26.25" customHeight="1" x14ac:dyDescent="0.25">
      <c r="B5775" s="130"/>
      <c r="C5775" s="135"/>
      <c r="D5775" s="177"/>
      <c r="E5775" s="178"/>
      <c r="F5775" s="178"/>
      <c r="G5775" s="340"/>
      <c r="H5775" s="340"/>
      <c r="I5775" s="179"/>
      <c r="J5775" s="344"/>
      <c r="K5775" s="345"/>
      <c r="L5775" s="346"/>
      <c r="M5775" s="347"/>
      <c r="N5775" s="347"/>
      <c r="O5775" s="132"/>
    </row>
    <row r="5776" spans="2:15" ht="26.25" customHeight="1" x14ac:dyDescent="0.25">
      <c r="B5776" s="130"/>
      <c r="C5776" s="135"/>
      <c r="D5776" s="177"/>
      <c r="E5776" s="178"/>
      <c r="F5776" s="178"/>
      <c r="G5776" s="340"/>
      <c r="H5776" s="340"/>
      <c r="I5776" s="179"/>
      <c r="J5776" s="344"/>
      <c r="K5776" s="345"/>
      <c r="L5776" s="346"/>
      <c r="M5776" s="347"/>
      <c r="N5776" s="347"/>
      <c r="O5776" s="132"/>
    </row>
    <row r="5777" spans="2:15" ht="26.25" customHeight="1" x14ac:dyDescent="0.25">
      <c r="B5777" s="130"/>
      <c r="C5777" s="135"/>
      <c r="D5777" s="177"/>
      <c r="E5777" s="178"/>
      <c r="F5777" s="178"/>
      <c r="G5777" s="340"/>
      <c r="H5777" s="340"/>
      <c r="I5777" s="179"/>
      <c r="J5777" s="344"/>
      <c r="K5777" s="345"/>
      <c r="L5777" s="346"/>
      <c r="M5777" s="347"/>
      <c r="N5777" s="347"/>
      <c r="O5777" s="132"/>
    </row>
    <row r="5778" spans="2:15" ht="26.25" customHeight="1" x14ac:dyDescent="0.25">
      <c r="B5778" s="130"/>
      <c r="C5778" s="135"/>
      <c r="D5778" s="177"/>
      <c r="E5778" s="178"/>
      <c r="F5778" s="178"/>
      <c r="G5778" s="340"/>
      <c r="H5778" s="340"/>
      <c r="I5778" s="179"/>
      <c r="J5778" s="344"/>
      <c r="K5778" s="345"/>
      <c r="L5778" s="346"/>
      <c r="M5778" s="347"/>
      <c r="N5778" s="347"/>
      <c r="O5778" s="132"/>
    </row>
    <row r="5779" spans="2:15" ht="26.25" customHeight="1" x14ac:dyDescent="0.25">
      <c r="B5779" s="130"/>
      <c r="C5779" s="135"/>
      <c r="D5779" s="177"/>
      <c r="E5779" s="178"/>
      <c r="F5779" s="178"/>
      <c r="G5779" s="340"/>
      <c r="H5779" s="340"/>
      <c r="I5779" s="179"/>
      <c r="J5779" s="344"/>
      <c r="K5779" s="345"/>
      <c r="L5779" s="346"/>
      <c r="M5779" s="347"/>
      <c r="N5779" s="347"/>
      <c r="O5779" s="132"/>
    </row>
    <row r="5780" spans="2:15" ht="26.25" customHeight="1" x14ac:dyDescent="0.25">
      <c r="B5780" s="130"/>
      <c r="C5780" s="135"/>
      <c r="D5780" s="177"/>
      <c r="E5780" s="178"/>
      <c r="F5780" s="178"/>
      <c r="G5780" s="340"/>
      <c r="H5780" s="340"/>
      <c r="I5780" s="179"/>
      <c r="J5780" s="344"/>
      <c r="K5780" s="345"/>
      <c r="L5780" s="346"/>
      <c r="M5780" s="347"/>
      <c r="N5780" s="347"/>
      <c r="O5780" s="132"/>
    </row>
    <row r="5781" spans="2:15" ht="26.25" customHeight="1" x14ac:dyDescent="0.25">
      <c r="B5781" s="130"/>
      <c r="C5781" s="135"/>
      <c r="D5781" s="177"/>
      <c r="E5781" s="178"/>
      <c r="F5781" s="178"/>
      <c r="G5781" s="340"/>
      <c r="H5781" s="340"/>
      <c r="I5781" s="179"/>
      <c r="J5781" s="344"/>
      <c r="K5781" s="345"/>
      <c r="L5781" s="346"/>
      <c r="M5781" s="347"/>
      <c r="N5781" s="347"/>
      <c r="O5781" s="132"/>
    </row>
    <row r="5782" spans="2:15" ht="26.25" customHeight="1" x14ac:dyDescent="0.25">
      <c r="B5782" s="130"/>
      <c r="C5782" s="135"/>
      <c r="D5782" s="177"/>
      <c r="E5782" s="178"/>
      <c r="F5782" s="178"/>
      <c r="G5782" s="340"/>
      <c r="H5782" s="340"/>
      <c r="I5782" s="179"/>
      <c r="J5782" s="344"/>
      <c r="K5782" s="345"/>
      <c r="L5782" s="346"/>
      <c r="M5782" s="347"/>
      <c r="N5782" s="347"/>
      <c r="O5782" s="132"/>
    </row>
    <row r="5783" spans="2:15" ht="26.25" customHeight="1" x14ac:dyDescent="0.25">
      <c r="B5783" s="130"/>
      <c r="C5783" s="135"/>
      <c r="D5783" s="177"/>
      <c r="E5783" s="178"/>
      <c r="F5783" s="178"/>
      <c r="G5783" s="340"/>
      <c r="H5783" s="340"/>
      <c r="I5783" s="179"/>
      <c r="J5783" s="344"/>
      <c r="K5783" s="345"/>
      <c r="L5783" s="346"/>
      <c r="M5783" s="347"/>
      <c r="N5783" s="347"/>
      <c r="O5783" s="132"/>
    </row>
    <row r="5784" spans="2:15" ht="26.25" customHeight="1" x14ac:dyDescent="0.25">
      <c r="B5784" s="130"/>
      <c r="C5784" s="135"/>
      <c r="D5784" s="177"/>
      <c r="E5784" s="178"/>
      <c r="F5784" s="178"/>
      <c r="G5784" s="340"/>
      <c r="H5784" s="340"/>
      <c r="I5784" s="179"/>
      <c r="J5784" s="344"/>
      <c r="K5784" s="345"/>
      <c r="L5784" s="346"/>
      <c r="M5784" s="347"/>
      <c r="N5784" s="347"/>
      <c r="O5784" s="132"/>
    </row>
    <row r="5785" spans="2:15" ht="26.25" customHeight="1" x14ac:dyDescent="0.25">
      <c r="B5785" s="130"/>
      <c r="C5785" s="135"/>
      <c r="D5785" s="177"/>
      <c r="E5785" s="178"/>
      <c r="F5785" s="178"/>
      <c r="G5785" s="340"/>
      <c r="H5785" s="340"/>
      <c r="I5785" s="179"/>
      <c r="J5785" s="344"/>
      <c r="K5785" s="345"/>
      <c r="L5785" s="346"/>
      <c r="M5785" s="347"/>
      <c r="N5785" s="347"/>
      <c r="O5785" s="132"/>
    </row>
    <row r="5786" spans="2:15" ht="26.25" customHeight="1" x14ac:dyDescent="0.25">
      <c r="B5786" s="130"/>
      <c r="C5786" s="135"/>
      <c r="D5786" s="177"/>
      <c r="E5786" s="178"/>
      <c r="F5786" s="178"/>
      <c r="G5786" s="340"/>
      <c r="H5786" s="340"/>
      <c r="I5786" s="179"/>
      <c r="J5786" s="344"/>
      <c r="K5786" s="345"/>
      <c r="L5786" s="346"/>
      <c r="M5786" s="347"/>
      <c r="N5786" s="347"/>
      <c r="O5786" s="132"/>
    </row>
    <row r="5787" spans="2:15" ht="26.25" customHeight="1" x14ac:dyDescent="0.25">
      <c r="B5787" s="130"/>
      <c r="C5787" s="135"/>
      <c r="D5787" s="177"/>
      <c r="E5787" s="178"/>
      <c r="F5787" s="178"/>
      <c r="G5787" s="340"/>
      <c r="H5787" s="340"/>
      <c r="I5787" s="179"/>
      <c r="J5787" s="344"/>
      <c r="K5787" s="345"/>
      <c r="L5787" s="346"/>
      <c r="M5787" s="347"/>
      <c r="N5787" s="347"/>
      <c r="O5787" s="132"/>
    </row>
    <row r="5788" spans="2:15" ht="26.25" customHeight="1" x14ac:dyDescent="0.25">
      <c r="B5788" s="130"/>
      <c r="C5788" s="135"/>
      <c r="D5788" s="177"/>
      <c r="E5788" s="178"/>
      <c r="F5788" s="178"/>
      <c r="G5788" s="340"/>
      <c r="H5788" s="340"/>
      <c r="I5788" s="179"/>
      <c r="J5788" s="344"/>
      <c r="K5788" s="345"/>
      <c r="L5788" s="346"/>
      <c r="M5788" s="347"/>
      <c r="N5788" s="347"/>
      <c r="O5788" s="132"/>
    </row>
    <row r="5789" spans="2:15" ht="26.25" customHeight="1" x14ac:dyDescent="0.25">
      <c r="B5789" s="130"/>
      <c r="C5789" s="135"/>
      <c r="D5789" s="177"/>
      <c r="E5789" s="178"/>
      <c r="F5789" s="178"/>
      <c r="G5789" s="340"/>
      <c r="H5789" s="340"/>
      <c r="I5789" s="179"/>
      <c r="J5789" s="344"/>
      <c r="K5789" s="345"/>
      <c r="L5789" s="346"/>
      <c r="M5789" s="347"/>
      <c r="N5789" s="347"/>
      <c r="O5789" s="132"/>
    </row>
    <row r="5790" spans="2:15" ht="26.25" customHeight="1" x14ac:dyDescent="0.25">
      <c r="B5790" s="130"/>
      <c r="C5790" s="135"/>
      <c r="D5790" s="177"/>
      <c r="E5790" s="178"/>
      <c r="F5790" s="178"/>
      <c r="G5790" s="340"/>
      <c r="H5790" s="340"/>
      <c r="I5790" s="179"/>
      <c r="J5790" s="344"/>
      <c r="K5790" s="345"/>
      <c r="L5790" s="346"/>
      <c r="M5790" s="347"/>
      <c r="N5790" s="347"/>
      <c r="O5790" s="132"/>
    </row>
    <row r="5791" spans="2:15" ht="26.25" customHeight="1" x14ac:dyDescent="0.25">
      <c r="B5791" s="130"/>
      <c r="C5791" s="135"/>
      <c r="D5791" s="177"/>
      <c r="E5791" s="178"/>
      <c r="F5791" s="178"/>
      <c r="G5791" s="340"/>
      <c r="H5791" s="340"/>
      <c r="I5791" s="179"/>
      <c r="J5791" s="344"/>
      <c r="K5791" s="345"/>
      <c r="L5791" s="346"/>
      <c r="M5791" s="347"/>
      <c r="N5791" s="347"/>
      <c r="O5791" s="132"/>
    </row>
    <row r="5792" spans="2:15" ht="26.25" customHeight="1" x14ac:dyDescent="0.25">
      <c r="B5792" s="130"/>
      <c r="C5792" s="135"/>
      <c r="D5792" s="177"/>
      <c r="E5792" s="178"/>
      <c r="F5792" s="178"/>
      <c r="G5792" s="340"/>
      <c r="H5792" s="340"/>
      <c r="I5792" s="179"/>
      <c r="J5792" s="344"/>
      <c r="K5792" s="345"/>
      <c r="L5792" s="346"/>
      <c r="M5792" s="347"/>
      <c r="N5792" s="347"/>
      <c r="O5792" s="132"/>
    </row>
    <row r="5793" spans="2:15" ht="26.25" customHeight="1" x14ac:dyDescent="0.25">
      <c r="B5793" s="130"/>
      <c r="C5793" s="135"/>
      <c r="D5793" s="177"/>
      <c r="E5793" s="178"/>
      <c r="F5793" s="178"/>
      <c r="G5793" s="340"/>
      <c r="H5793" s="340"/>
      <c r="I5793" s="179"/>
      <c r="J5793" s="344"/>
      <c r="K5793" s="345"/>
      <c r="L5793" s="346"/>
      <c r="M5793" s="347"/>
      <c r="N5793" s="347"/>
      <c r="O5793" s="132"/>
    </row>
    <row r="5794" spans="2:15" ht="26.25" customHeight="1" x14ac:dyDescent="0.25">
      <c r="B5794" s="130"/>
      <c r="C5794" s="135"/>
      <c r="D5794" s="177"/>
      <c r="E5794" s="178"/>
      <c r="F5794" s="178"/>
      <c r="G5794" s="340"/>
      <c r="H5794" s="340"/>
      <c r="I5794" s="179"/>
      <c r="J5794" s="344"/>
      <c r="K5794" s="345"/>
      <c r="L5794" s="346"/>
      <c r="M5794" s="347"/>
      <c r="N5794" s="347"/>
      <c r="O5794" s="132"/>
    </row>
    <row r="5795" spans="2:15" ht="26.25" customHeight="1" x14ac:dyDescent="0.25">
      <c r="B5795" s="130"/>
      <c r="C5795" s="135"/>
      <c r="D5795" s="177"/>
      <c r="E5795" s="178"/>
      <c r="F5795" s="178"/>
      <c r="G5795" s="340"/>
      <c r="H5795" s="340"/>
      <c r="I5795" s="179"/>
      <c r="J5795" s="344"/>
      <c r="K5795" s="345"/>
      <c r="L5795" s="346"/>
      <c r="M5795" s="347"/>
      <c r="N5795" s="347"/>
      <c r="O5795" s="132"/>
    </row>
    <row r="5796" spans="2:15" ht="26.25" customHeight="1" x14ac:dyDescent="0.25">
      <c r="B5796" s="130"/>
      <c r="C5796" s="135"/>
      <c r="D5796" s="177"/>
      <c r="E5796" s="178"/>
      <c r="F5796" s="178"/>
      <c r="G5796" s="340"/>
      <c r="H5796" s="340"/>
      <c r="I5796" s="179"/>
      <c r="J5796" s="344"/>
      <c r="K5796" s="345"/>
      <c r="L5796" s="346"/>
      <c r="M5796" s="347"/>
      <c r="N5796" s="347"/>
      <c r="O5796" s="132"/>
    </row>
    <row r="5797" spans="2:15" ht="26.25" customHeight="1" x14ac:dyDescent="0.25">
      <c r="B5797" s="130"/>
      <c r="C5797" s="135"/>
      <c r="D5797" s="177"/>
      <c r="E5797" s="178"/>
      <c r="F5797" s="178"/>
      <c r="G5797" s="340"/>
      <c r="H5797" s="340"/>
      <c r="I5797" s="179"/>
      <c r="J5797" s="344"/>
      <c r="K5797" s="345"/>
      <c r="L5797" s="346"/>
      <c r="M5797" s="347"/>
      <c r="N5797" s="347"/>
      <c r="O5797" s="132"/>
    </row>
    <row r="5798" spans="2:15" ht="26.25" customHeight="1" x14ac:dyDescent="0.25">
      <c r="B5798" s="130"/>
      <c r="C5798" s="135"/>
      <c r="D5798" s="177"/>
      <c r="E5798" s="178"/>
      <c r="F5798" s="178"/>
      <c r="G5798" s="340"/>
      <c r="H5798" s="340"/>
      <c r="I5798" s="179"/>
      <c r="J5798" s="344"/>
      <c r="K5798" s="345"/>
      <c r="L5798" s="346"/>
      <c r="M5798" s="347"/>
      <c r="N5798" s="347"/>
      <c r="O5798" s="132"/>
    </row>
    <row r="5799" spans="2:15" ht="26.25" customHeight="1" x14ac:dyDescent="0.25">
      <c r="B5799" s="130"/>
      <c r="C5799" s="135"/>
      <c r="D5799" s="177"/>
      <c r="E5799" s="178"/>
      <c r="F5799" s="178"/>
      <c r="G5799" s="340"/>
      <c r="H5799" s="340"/>
      <c r="I5799" s="179"/>
      <c r="J5799" s="344"/>
      <c r="K5799" s="345"/>
      <c r="L5799" s="346"/>
      <c r="M5799" s="347"/>
      <c r="N5799" s="347"/>
      <c r="O5799" s="132"/>
    </row>
    <row r="5800" spans="2:15" ht="26.25" customHeight="1" x14ac:dyDescent="0.25">
      <c r="B5800" s="130"/>
      <c r="C5800" s="135"/>
      <c r="D5800" s="177"/>
      <c r="E5800" s="178"/>
      <c r="F5800" s="178"/>
      <c r="G5800" s="340"/>
      <c r="H5800" s="340"/>
      <c r="I5800" s="179"/>
      <c r="J5800" s="344"/>
      <c r="K5800" s="345"/>
      <c r="L5800" s="346"/>
      <c r="M5800" s="347"/>
      <c r="N5800" s="347"/>
      <c r="O5800" s="132"/>
    </row>
    <row r="5801" spans="2:15" ht="26.25" customHeight="1" x14ac:dyDescent="0.25">
      <c r="B5801" s="130"/>
      <c r="C5801" s="135"/>
      <c r="D5801" s="177"/>
      <c r="E5801" s="178"/>
      <c r="F5801" s="178"/>
      <c r="G5801" s="340"/>
      <c r="H5801" s="340"/>
      <c r="I5801" s="179"/>
      <c r="J5801" s="344"/>
      <c r="K5801" s="345"/>
      <c r="L5801" s="346"/>
      <c r="M5801" s="347"/>
      <c r="N5801" s="347"/>
      <c r="O5801" s="132"/>
    </row>
    <row r="5802" spans="2:15" ht="26.25" customHeight="1" x14ac:dyDescent="0.25">
      <c r="B5802" s="130"/>
      <c r="C5802" s="135"/>
      <c r="D5802" s="177"/>
      <c r="E5802" s="178"/>
      <c r="F5802" s="178"/>
      <c r="G5802" s="340"/>
      <c r="H5802" s="340"/>
      <c r="I5802" s="179"/>
      <c r="J5802" s="344"/>
      <c r="K5802" s="345"/>
      <c r="L5802" s="346"/>
      <c r="M5802" s="347"/>
      <c r="N5802" s="347"/>
      <c r="O5802" s="132"/>
    </row>
    <row r="5803" spans="2:15" ht="26.25" customHeight="1" x14ac:dyDescent="0.25">
      <c r="B5803" s="130"/>
      <c r="C5803" s="135"/>
      <c r="D5803" s="177"/>
      <c r="E5803" s="178"/>
      <c r="F5803" s="178"/>
      <c r="G5803" s="340"/>
      <c r="H5803" s="340"/>
      <c r="I5803" s="179"/>
      <c r="J5803" s="344"/>
      <c r="K5803" s="345"/>
      <c r="L5803" s="346"/>
      <c r="M5803" s="347"/>
      <c r="N5803" s="347"/>
      <c r="O5803" s="132"/>
    </row>
    <row r="5804" spans="2:15" ht="26.25" customHeight="1" x14ac:dyDescent="0.25">
      <c r="B5804" s="130"/>
      <c r="C5804" s="135"/>
      <c r="D5804" s="177"/>
      <c r="E5804" s="178"/>
      <c r="F5804" s="178"/>
      <c r="G5804" s="340"/>
      <c r="H5804" s="340"/>
      <c r="I5804" s="179"/>
      <c r="J5804" s="344"/>
      <c r="K5804" s="345"/>
      <c r="L5804" s="346"/>
      <c r="M5804" s="347"/>
      <c r="N5804" s="347"/>
      <c r="O5804" s="132"/>
    </row>
    <row r="5805" spans="2:15" ht="26.25" customHeight="1" x14ac:dyDescent="0.25">
      <c r="B5805" s="130"/>
      <c r="C5805" s="135"/>
      <c r="D5805" s="177"/>
      <c r="E5805" s="178"/>
      <c r="F5805" s="178"/>
      <c r="G5805" s="340"/>
      <c r="H5805" s="340"/>
      <c r="I5805" s="179"/>
      <c r="J5805" s="344"/>
      <c r="K5805" s="345"/>
      <c r="L5805" s="346"/>
      <c r="M5805" s="347"/>
      <c r="N5805" s="347"/>
      <c r="O5805" s="132"/>
    </row>
    <row r="5806" spans="2:15" ht="26.25" customHeight="1" x14ac:dyDescent="0.25">
      <c r="B5806" s="130"/>
      <c r="C5806" s="135"/>
      <c r="D5806" s="177"/>
      <c r="E5806" s="178"/>
      <c r="F5806" s="178"/>
      <c r="G5806" s="340"/>
      <c r="H5806" s="340"/>
      <c r="I5806" s="179"/>
      <c r="J5806" s="344"/>
      <c r="K5806" s="345"/>
      <c r="L5806" s="346"/>
      <c r="M5806" s="347"/>
      <c r="N5806" s="347"/>
      <c r="O5806" s="132"/>
    </row>
    <row r="5807" spans="2:15" ht="26.25" customHeight="1" x14ac:dyDescent="0.25">
      <c r="B5807" s="130"/>
      <c r="C5807" s="135"/>
      <c r="D5807" s="177"/>
      <c r="E5807" s="178"/>
      <c r="F5807" s="178"/>
      <c r="G5807" s="340"/>
      <c r="H5807" s="340"/>
      <c r="I5807" s="179"/>
      <c r="J5807" s="344"/>
      <c r="K5807" s="345"/>
      <c r="L5807" s="346"/>
      <c r="M5807" s="347"/>
      <c r="N5807" s="347"/>
      <c r="O5807" s="132"/>
    </row>
    <row r="5808" spans="2:15" ht="26.25" customHeight="1" x14ac:dyDescent="0.25">
      <c r="B5808" s="130"/>
      <c r="C5808" s="135"/>
      <c r="D5808" s="177"/>
      <c r="E5808" s="178"/>
      <c r="F5808" s="178"/>
      <c r="G5808" s="340"/>
      <c r="H5808" s="340"/>
      <c r="I5808" s="179"/>
      <c r="J5808" s="344"/>
      <c r="K5808" s="345"/>
      <c r="L5808" s="346"/>
      <c r="M5808" s="347"/>
      <c r="N5808" s="347"/>
      <c r="O5808" s="132"/>
    </row>
    <row r="5809" spans="2:15" ht="26.25" customHeight="1" x14ac:dyDescent="0.25">
      <c r="B5809" s="130"/>
      <c r="C5809" s="135"/>
      <c r="D5809" s="177"/>
      <c r="E5809" s="178"/>
      <c r="F5809" s="178"/>
      <c r="G5809" s="340"/>
      <c r="H5809" s="340"/>
      <c r="I5809" s="179"/>
      <c r="J5809" s="344"/>
      <c r="K5809" s="345"/>
      <c r="L5809" s="346"/>
      <c r="M5809" s="347"/>
      <c r="N5809" s="347"/>
      <c r="O5809" s="132"/>
    </row>
    <row r="5810" spans="2:15" ht="26.25" customHeight="1" x14ac:dyDescent="0.25">
      <c r="B5810" s="130"/>
      <c r="C5810" s="135"/>
      <c r="D5810" s="177"/>
      <c r="E5810" s="178"/>
      <c r="F5810" s="178"/>
      <c r="G5810" s="340"/>
      <c r="H5810" s="340"/>
      <c r="I5810" s="179"/>
      <c r="J5810" s="344"/>
      <c r="K5810" s="345"/>
      <c r="L5810" s="346"/>
      <c r="M5810" s="347"/>
      <c r="N5810" s="347"/>
      <c r="O5810" s="132"/>
    </row>
    <row r="5811" spans="2:15" ht="26.25" customHeight="1" x14ac:dyDescent="0.25">
      <c r="B5811" s="130"/>
      <c r="C5811" s="135"/>
      <c r="D5811" s="177"/>
      <c r="E5811" s="178"/>
      <c r="F5811" s="178"/>
      <c r="G5811" s="340"/>
      <c r="H5811" s="340"/>
      <c r="I5811" s="179"/>
      <c r="J5811" s="344"/>
      <c r="K5811" s="345"/>
      <c r="L5811" s="346"/>
      <c r="M5811" s="347"/>
      <c r="N5811" s="347"/>
      <c r="O5811" s="132"/>
    </row>
    <row r="5812" spans="2:15" ht="26.25" customHeight="1" x14ac:dyDescent="0.25">
      <c r="B5812" s="130"/>
      <c r="C5812" s="135"/>
      <c r="D5812" s="177"/>
      <c r="E5812" s="178"/>
      <c r="F5812" s="178"/>
      <c r="G5812" s="340"/>
      <c r="H5812" s="340"/>
      <c r="I5812" s="179"/>
      <c r="J5812" s="344"/>
      <c r="K5812" s="345"/>
      <c r="L5812" s="346"/>
      <c r="M5812" s="347"/>
      <c r="N5812" s="347"/>
      <c r="O5812" s="132"/>
    </row>
    <row r="5813" spans="2:15" ht="26.25" customHeight="1" x14ac:dyDescent="0.25">
      <c r="B5813" s="130"/>
      <c r="C5813" s="135"/>
      <c r="D5813" s="177"/>
      <c r="E5813" s="178"/>
      <c r="F5813" s="178"/>
      <c r="G5813" s="340"/>
      <c r="H5813" s="340"/>
      <c r="I5813" s="179"/>
      <c r="J5813" s="344"/>
      <c r="K5813" s="345"/>
      <c r="L5813" s="346"/>
      <c r="M5813" s="347"/>
      <c r="N5813" s="347"/>
      <c r="O5813" s="132"/>
    </row>
    <row r="5814" spans="2:15" ht="26.25" customHeight="1" x14ac:dyDescent="0.25">
      <c r="B5814" s="130"/>
      <c r="C5814" s="135"/>
      <c r="D5814" s="177"/>
      <c r="E5814" s="178"/>
      <c r="F5814" s="178"/>
      <c r="G5814" s="340"/>
      <c r="H5814" s="340"/>
      <c r="I5814" s="179"/>
      <c r="J5814" s="344"/>
      <c r="K5814" s="345"/>
      <c r="L5814" s="346"/>
      <c r="M5814" s="347"/>
      <c r="N5814" s="347"/>
      <c r="O5814" s="132"/>
    </row>
    <row r="5815" spans="2:15" ht="26.25" customHeight="1" x14ac:dyDescent="0.25">
      <c r="B5815" s="130"/>
      <c r="C5815" s="135"/>
      <c r="D5815" s="177"/>
      <c r="E5815" s="178"/>
      <c r="F5815" s="178"/>
      <c r="G5815" s="340"/>
      <c r="H5815" s="340"/>
      <c r="I5815" s="179"/>
      <c r="J5815" s="344"/>
      <c r="K5815" s="345"/>
      <c r="L5815" s="346"/>
      <c r="M5815" s="347"/>
      <c r="N5815" s="347"/>
      <c r="O5815" s="132"/>
    </row>
    <row r="5816" spans="2:15" ht="26.25" customHeight="1" x14ac:dyDescent="0.25">
      <c r="B5816" s="130"/>
      <c r="C5816" s="135"/>
      <c r="D5816" s="177"/>
      <c r="E5816" s="178"/>
      <c r="F5816" s="178"/>
      <c r="G5816" s="340"/>
      <c r="H5816" s="340"/>
      <c r="I5816" s="179"/>
      <c r="J5816" s="344"/>
      <c r="K5816" s="345"/>
      <c r="L5816" s="346"/>
      <c r="M5816" s="347"/>
      <c r="N5816" s="347"/>
      <c r="O5816" s="132"/>
    </row>
    <row r="5817" spans="2:15" ht="26.25" customHeight="1" x14ac:dyDescent="0.25">
      <c r="B5817" s="130"/>
      <c r="C5817" s="135"/>
      <c r="D5817" s="177"/>
      <c r="E5817" s="178"/>
      <c r="F5817" s="178"/>
      <c r="G5817" s="340"/>
      <c r="H5817" s="340"/>
      <c r="I5817" s="179"/>
      <c r="J5817" s="344"/>
      <c r="K5817" s="345"/>
      <c r="L5817" s="346"/>
      <c r="M5817" s="347"/>
      <c r="N5817" s="347"/>
      <c r="O5817" s="132"/>
    </row>
    <row r="5818" spans="2:15" ht="26.25" customHeight="1" x14ac:dyDescent="0.25">
      <c r="B5818" s="130"/>
      <c r="C5818" s="135"/>
      <c r="D5818" s="177"/>
      <c r="E5818" s="178"/>
      <c r="F5818" s="178"/>
      <c r="G5818" s="340"/>
      <c r="H5818" s="340"/>
      <c r="I5818" s="179"/>
      <c r="J5818" s="344"/>
      <c r="K5818" s="345"/>
      <c r="L5818" s="346"/>
      <c r="M5818" s="347"/>
      <c r="N5818" s="347"/>
      <c r="O5818" s="132"/>
    </row>
    <row r="5819" spans="2:15" ht="26.25" customHeight="1" x14ac:dyDescent="0.25">
      <c r="B5819" s="130"/>
      <c r="C5819" s="135"/>
      <c r="D5819" s="177"/>
      <c r="E5819" s="178"/>
      <c r="F5819" s="178"/>
      <c r="G5819" s="340"/>
      <c r="H5819" s="340"/>
      <c r="I5819" s="179"/>
      <c r="J5819" s="344"/>
      <c r="K5819" s="345"/>
      <c r="L5819" s="346"/>
      <c r="M5819" s="347"/>
      <c r="N5819" s="347"/>
      <c r="O5819" s="132"/>
    </row>
    <row r="5820" spans="2:15" ht="26.25" customHeight="1" x14ac:dyDescent="0.25">
      <c r="B5820" s="130"/>
      <c r="C5820" s="135"/>
      <c r="D5820" s="177"/>
      <c r="E5820" s="178"/>
      <c r="F5820" s="178"/>
      <c r="G5820" s="340"/>
      <c r="H5820" s="340"/>
      <c r="I5820" s="179"/>
      <c r="J5820" s="344"/>
      <c r="K5820" s="345"/>
      <c r="L5820" s="346"/>
      <c r="M5820" s="347"/>
      <c r="N5820" s="347"/>
      <c r="O5820" s="132"/>
    </row>
    <row r="5821" spans="2:15" ht="26.25" customHeight="1" x14ac:dyDescent="0.25">
      <c r="B5821" s="130"/>
      <c r="C5821" s="135"/>
      <c r="D5821" s="177"/>
      <c r="E5821" s="178"/>
      <c r="F5821" s="178"/>
      <c r="G5821" s="340"/>
      <c r="H5821" s="340"/>
      <c r="I5821" s="179"/>
      <c r="J5821" s="344"/>
      <c r="K5821" s="345"/>
      <c r="L5821" s="346"/>
      <c r="M5821" s="347"/>
      <c r="N5821" s="347"/>
      <c r="O5821" s="132"/>
    </row>
    <row r="5822" spans="2:15" ht="26.25" customHeight="1" x14ac:dyDescent="0.25">
      <c r="B5822" s="130"/>
      <c r="C5822" s="135"/>
      <c r="D5822" s="177"/>
      <c r="E5822" s="178"/>
      <c r="F5822" s="178"/>
      <c r="G5822" s="340"/>
      <c r="H5822" s="340"/>
      <c r="I5822" s="179"/>
      <c r="J5822" s="344"/>
      <c r="K5822" s="345"/>
      <c r="L5822" s="346"/>
      <c r="M5822" s="347"/>
      <c r="N5822" s="347"/>
      <c r="O5822" s="132"/>
    </row>
    <row r="5823" spans="2:15" ht="26.25" customHeight="1" x14ac:dyDescent="0.25">
      <c r="B5823" s="130"/>
      <c r="C5823" s="135"/>
      <c r="D5823" s="177"/>
      <c r="E5823" s="178"/>
      <c r="F5823" s="178"/>
      <c r="G5823" s="340"/>
      <c r="H5823" s="340"/>
      <c r="I5823" s="179"/>
      <c r="J5823" s="344"/>
      <c r="K5823" s="345"/>
      <c r="L5823" s="346"/>
      <c r="M5823" s="347"/>
      <c r="N5823" s="347"/>
      <c r="O5823" s="132"/>
    </row>
    <row r="5824" spans="2:15" ht="26.25" customHeight="1" x14ac:dyDescent="0.25">
      <c r="B5824" s="130"/>
      <c r="C5824" s="135"/>
      <c r="D5824" s="177"/>
      <c r="E5824" s="178"/>
      <c r="F5824" s="178"/>
      <c r="G5824" s="340"/>
      <c r="H5824" s="340"/>
      <c r="I5824" s="179"/>
      <c r="J5824" s="344"/>
      <c r="K5824" s="345"/>
      <c r="L5824" s="346"/>
      <c r="M5824" s="347"/>
      <c r="N5824" s="347"/>
      <c r="O5824" s="132"/>
    </row>
    <row r="5825" spans="2:15" ht="26.25" customHeight="1" x14ac:dyDescent="0.25">
      <c r="B5825" s="130"/>
      <c r="C5825" s="135"/>
      <c r="D5825" s="177"/>
      <c r="E5825" s="178" t="str">
        <f t="shared" si="0"/>
        <v/>
      </c>
      <c r="F5825" s="178" t="str">
        <f t="shared" si="1"/>
        <v/>
      </c>
      <c r="G5825" s="340"/>
      <c r="H5825" s="340"/>
      <c r="I5825" s="179"/>
      <c r="J5825" s="344"/>
      <c r="K5825" s="345"/>
      <c r="L5825" s="346"/>
      <c r="M5825" s="346"/>
      <c r="N5825" s="348"/>
      <c r="O5825" s="132"/>
    </row>
    <row r="5826" spans="2:15" ht="26.25" customHeight="1" x14ac:dyDescent="0.25">
      <c r="B5826" s="130"/>
      <c r="C5826" s="135"/>
      <c r="D5826" s="177"/>
      <c r="E5826" s="178"/>
      <c r="F5826" s="178"/>
      <c r="G5826" s="340"/>
      <c r="H5826" s="340"/>
      <c r="I5826" s="179"/>
      <c r="J5826" s="344"/>
      <c r="K5826" s="345"/>
      <c r="L5826" s="346"/>
      <c r="M5826" s="346"/>
      <c r="N5826" s="348"/>
      <c r="O5826" s="132"/>
    </row>
    <row r="5827" spans="2:15" ht="26.25" customHeight="1" x14ac:dyDescent="0.25">
      <c r="B5827" s="130"/>
      <c r="C5827" s="135"/>
      <c r="D5827" s="177"/>
      <c r="E5827" s="178"/>
      <c r="F5827" s="178"/>
      <c r="G5827" s="340"/>
      <c r="H5827" s="340"/>
      <c r="I5827" s="179"/>
      <c r="J5827" s="344"/>
      <c r="K5827" s="345"/>
      <c r="L5827" s="346"/>
      <c r="M5827" s="346"/>
      <c r="N5827" s="348"/>
      <c r="O5827" s="132"/>
    </row>
    <row r="5828" spans="2:15" ht="26.25" customHeight="1" x14ac:dyDescent="0.25">
      <c r="B5828" s="130"/>
      <c r="C5828" s="135"/>
      <c r="D5828" s="177"/>
      <c r="E5828" s="178"/>
      <c r="F5828" s="178"/>
      <c r="G5828" s="340"/>
      <c r="H5828" s="340"/>
      <c r="I5828" s="179"/>
      <c r="J5828" s="344"/>
      <c r="K5828" s="345"/>
      <c r="L5828" s="346"/>
      <c r="M5828" s="346"/>
      <c r="N5828" s="348"/>
      <c r="O5828" s="132"/>
    </row>
    <row r="5829" spans="2:15" ht="26.25" customHeight="1" x14ac:dyDescent="0.25">
      <c r="B5829" s="130"/>
      <c r="C5829" s="135"/>
      <c r="D5829" s="177"/>
      <c r="E5829" s="178"/>
      <c r="F5829" s="178"/>
      <c r="G5829" s="340"/>
      <c r="H5829" s="340"/>
      <c r="I5829" s="179"/>
      <c r="J5829" s="344"/>
      <c r="K5829" s="345"/>
      <c r="L5829" s="346"/>
      <c r="M5829" s="346"/>
      <c r="N5829" s="348"/>
      <c r="O5829" s="132"/>
    </row>
    <row r="5830" spans="2:15" ht="26.25" customHeight="1" x14ac:dyDescent="0.25">
      <c r="B5830" s="130"/>
      <c r="C5830" s="135"/>
      <c r="D5830" s="177"/>
      <c r="E5830" s="178"/>
      <c r="F5830" s="178"/>
      <c r="G5830" s="340"/>
      <c r="H5830" s="340"/>
      <c r="I5830" s="179"/>
      <c r="J5830" s="344"/>
      <c r="K5830" s="345"/>
      <c r="L5830" s="346"/>
      <c r="M5830" s="346"/>
      <c r="N5830" s="348"/>
      <c r="O5830" s="132"/>
    </row>
    <row r="5831" spans="2:15" ht="26.25" customHeight="1" x14ac:dyDescent="0.25">
      <c r="B5831" s="130"/>
      <c r="C5831" s="135"/>
      <c r="D5831" s="177"/>
      <c r="E5831" s="178"/>
      <c r="F5831" s="178"/>
      <c r="G5831" s="340"/>
      <c r="H5831" s="340"/>
      <c r="I5831" s="179"/>
      <c r="J5831" s="344"/>
      <c r="K5831" s="345"/>
      <c r="L5831" s="346"/>
      <c r="M5831" s="346"/>
      <c r="N5831" s="348"/>
      <c r="O5831" s="132"/>
    </row>
    <row r="5832" spans="2:15" ht="26.25" customHeight="1" x14ac:dyDescent="0.25">
      <c r="B5832" s="130"/>
      <c r="C5832" s="135"/>
      <c r="D5832" s="177"/>
      <c r="E5832" s="178"/>
      <c r="F5832" s="178"/>
      <c r="G5832" s="340"/>
      <c r="H5832" s="340"/>
      <c r="I5832" s="179"/>
      <c r="J5832" s="344"/>
      <c r="K5832" s="345"/>
      <c r="L5832" s="346"/>
      <c r="M5832" s="346"/>
      <c r="N5832" s="348"/>
      <c r="O5832" s="132"/>
    </row>
    <row r="5833" spans="2:15" ht="26.25" customHeight="1" x14ac:dyDescent="0.25">
      <c r="B5833" s="130"/>
      <c r="C5833" s="135"/>
      <c r="D5833" s="177"/>
      <c r="E5833" s="178"/>
      <c r="F5833" s="178"/>
      <c r="G5833" s="340"/>
      <c r="H5833" s="340"/>
      <c r="I5833" s="179"/>
      <c r="J5833" s="344"/>
      <c r="K5833" s="345"/>
      <c r="L5833" s="346"/>
      <c r="M5833" s="346"/>
      <c r="N5833" s="348"/>
      <c r="O5833" s="132"/>
    </row>
    <row r="5834" spans="2:15" ht="26.25" customHeight="1" x14ac:dyDescent="0.25">
      <c r="B5834" s="130"/>
      <c r="C5834" s="135"/>
      <c r="D5834" s="177"/>
      <c r="E5834" s="178"/>
      <c r="F5834" s="178"/>
      <c r="G5834" s="340"/>
      <c r="H5834" s="340"/>
      <c r="I5834" s="179"/>
      <c r="J5834" s="344"/>
      <c r="K5834" s="345"/>
      <c r="L5834" s="346"/>
      <c r="M5834" s="346"/>
      <c r="N5834" s="348"/>
      <c r="O5834" s="132"/>
    </row>
    <row r="5835" spans="2:15" ht="26.25" customHeight="1" x14ac:dyDescent="0.25">
      <c r="B5835" s="130"/>
      <c r="C5835" s="135"/>
      <c r="D5835" s="177"/>
      <c r="E5835" s="178"/>
      <c r="F5835" s="178"/>
      <c r="G5835" s="340"/>
      <c r="H5835" s="340"/>
      <c r="I5835" s="179"/>
      <c r="J5835" s="344"/>
      <c r="K5835" s="345"/>
      <c r="L5835" s="346"/>
      <c r="M5835" s="346"/>
      <c r="N5835" s="348"/>
      <c r="O5835" s="132"/>
    </row>
    <row r="5836" spans="2:15" ht="26.25" customHeight="1" x14ac:dyDescent="0.25">
      <c r="B5836" s="130"/>
      <c r="C5836" s="135"/>
      <c r="D5836" s="177"/>
      <c r="E5836" s="178"/>
      <c r="F5836" s="178"/>
      <c r="G5836" s="340"/>
      <c r="H5836" s="340"/>
      <c r="I5836" s="179"/>
      <c r="J5836" s="344"/>
      <c r="K5836" s="345"/>
      <c r="L5836" s="346"/>
      <c r="M5836" s="346"/>
      <c r="N5836" s="348"/>
      <c r="O5836" s="132"/>
    </row>
    <row r="5837" spans="2:15" ht="26.25" customHeight="1" x14ac:dyDescent="0.25">
      <c r="B5837" s="130"/>
      <c r="C5837" s="135"/>
      <c r="D5837" s="177"/>
      <c r="E5837" s="178"/>
      <c r="F5837" s="178"/>
      <c r="G5837" s="340"/>
      <c r="H5837" s="340"/>
      <c r="I5837" s="179"/>
      <c r="J5837" s="344"/>
      <c r="K5837" s="345"/>
      <c r="L5837" s="346"/>
      <c r="M5837" s="346"/>
      <c r="N5837" s="348"/>
      <c r="O5837" s="132"/>
    </row>
    <row r="5838" spans="2:15" ht="26.25" customHeight="1" x14ac:dyDescent="0.25">
      <c r="B5838" s="130"/>
      <c r="C5838" s="135"/>
      <c r="D5838" s="177"/>
      <c r="E5838" s="178"/>
      <c r="F5838" s="178"/>
      <c r="G5838" s="340"/>
      <c r="H5838" s="340"/>
      <c r="I5838" s="179"/>
      <c r="J5838" s="344"/>
      <c r="K5838" s="345"/>
      <c r="L5838" s="346"/>
      <c r="M5838" s="346"/>
      <c r="N5838" s="348"/>
      <c r="O5838" s="132"/>
    </row>
    <row r="5839" spans="2:15" ht="26.25" customHeight="1" x14ac:dyDescent="0.25">
      <c r="B5839" s="130"/>
      <c r="C5839" s="135"/>
      <c r="D5839" s="177"/>
      <c r="E5839" s="178"/>
      <c r="F5839" s="178"/>
      <c r="G5839" s="340"/>
      <c r="H5839" s="340"/>
      <c r="I5839" s="179"/>
      <c r="J5839" s="344"/>
      <c r="K5839" s="345"/>
      <c r="L5839" s="346"/>
      <c r="M5839" s="346"/>
      <c r="N5839" s="348"/>
      <c r="O5839" s="132"/>
    </row>
    <row r="5840" spans="2:15" ht="26.25" customHeight="1" x14ac:dyDescent="0.25">
      <c r="B5840" s="130"/>
      <c r="C5840" s="135"/>
      <c r="D5840" s="177"/>
      <c r="E5840" s="178"/>
      <c r="F5840" s="178"/>
      <c r="G5840" s="340"/>
      <c r="H5840" s="340"/>
      <c r="I5840" s="179"/>
      <c r="J5840" s="344"/>
      <c r="K5840" s="345"/>
      <c r="L5840" s="346"/>
      <c r="M5840" s="346"/>
      <c r="N5840" s="348"/>
      <c r="O5840" s="132"/>
    </row>
    <row r="5841" spans="2:15" ht="26.25" customHeight="1" x14ac:dyDescent="0.25">
      <c r="B5841" s="130"/>
      <c r="C5841" s="135"/>
      <c r="D5841" s="177"/>
      <c r="E5841" s="178"/>
      <c r="F5841" s="178"/>
      <c r="G5841" s="340"/>
      <c r="H5841" s="340"/>
      <c r="I5841" s="179"/>
      <c r="J5841" s="344"/>
      <c r="K5841" s="345"/>
      <c r="L5841" s="346"/>
      <c r="M5841" s="346"/>
      <c r="N5841" s="348"/>
      <c r="O5841" s="132"/>
    </row>
    <row r="5842" spans="2:15" ht="26.25" customHeight="1" x14ac:dyDescent="0.25">
      <c r="B5842" s="130"/>
      <c r="C5842" s="135"/>
      <c r="D5842" s="177"/>
      <c r="E5842" s="178"/>
      <c r="F5842" s="178"/>
      <c r="G5842" s="340"/>
      <c r="H5842" s="340"/>
      <c r="I5842" s="179"/>
      <c r="J5842" s="344"/>
      <c r="K5842" s="345"/>
      <c r="L5842" s="346"/>
      <c r="M5842" s="346"/>
      <c r="N5842" s="348"/>
      <c r="O5842" s="132"/>
    </row>
    <row r="5843" spans="2:15" ht="26.25" customHeight="1" x14ac:dyDescent="0.25">
      <c r="B5843" s="130"/>
      <c r="C5843" s="135"/>
      <c r="D5843" s="177"/>
      <c r="E5843" s="178"/>
      <c r="F5843" s="178"/>
      <c r="G5843" s="340"/>
      <c r="H5843" s="340"/>
      <c r="I5843" s="179"/>
      <c r="J5843" s="344"/>
      <c r="K5843" s="345"/>
      <c r="L5843" s="346"/>
      <c r="M5843" s="346"/>
      <c r="N5843" s="348"/>
      <c r="O5843" s="132"/>
    </row>
    <row r="5844" spans="2:15" ht="26.25" customHeight="1" x14ac:dyDescent="0.25">
      <c r="B5844" s="130"/>
      <c r="C5844" s="135"/>
      <c r="D5844" s="177"/>
      <c r="E5844" s="178"/>
      <c r="F5844" s="178"/>
      <c r="G5844" s="340"/>
      <c r="H5844" s="340"/>
      <c r="I5844" s="179"/>
      <c r="J5844" s="344"/>
      <c r="K5844" s="345"/>
      <c r="L5844" s="346"/>
      <c r="M5844" s="346"/>
      <c r="N5844" s="348"/>
      <c r="O5844" s="132"/>
    </row>
    <row r="5845" spans="2:15" ht="26.25" customHeight="1" x14ac:dyDescent="0.25">
      <c r="B5845" s="130"/>
      <c r="C5845" s="135"/>
      <c r="D5845" s="177"/>
      <c r="E5845" s="178"/>
      <c r="F5845" s="178"/>
      <c r="G5845" s="340"/>
      <c r="H5845" s="340"/>
      <c r="I5845" s="179"/>
      <c r="J5845" s="344"/>
      <c r="K5845" s="345"/>
      <c r="L5845" s="346"/>
      <c r="M5845" s="346"/>
      <c r="N5845" s="348"/>
      <c r="O5845" s="132"/>
    </row>
    <row r="5846" spans="2:15" ht="26.25" customHeight="1" x14ac:dyDescent="0.25">
      <c r="B5846" s="130"/>
      <c r="C5846" s="135"/>
      <c r="D5846" s="177"/>
      <c r="E5846" s="178"/>
      <c r="F5846" s="178"/>
      <c r="G5846" s="340"/>
      <c r="H5846" s="340"/>
      <c r="I5846" s="179"/>
      <c r="J5846" s="344"/>
      <c r="K5846" s="345"/>
      <c r="L5846" s="346"/>
      <c r="M5846" s="346"/>
      <c r="N5846" s="348"/>
      <c r="O5846" s="132"/>
    </row>
    <row r="5847" spans="2:15" ht="26.25" customHeight="1" x14ac:dyDescent="0.25">
      <c r="B5847" s="130"/>
      <c r="C5847" s="135"/>
      <c r="D5847" s="177"/>
      <c r="E5847" s="178"/>
      <c r="F5847" s="178"/>
      <c r="G5847" s="340"/>
      <c r="H5847" s="340"/>
      <c r="I5847" s="179"/>
      <c r="J5847" s="344"/>
      <c r="K5847" s="345"/>
      <c r="L5847" s="346"/>
      <c r="M5847" s="346"/>
      <c r="N5847" s="348"/>
      <c r="O5847" s="132"/>
    </row>
    <row r="5848" spans="2:15" ht="26.25" customHeight="1" x14ac:dyDescent="0.25">
      <c r="B5848" s="130"/>
      <c r="C5848" s="135"/>
      <c r="D5848" s="177"/>
      <c r="E5848" s="178"/>
      <c r="F5848" s="178"/>
      <c r="G5848" s="340"/>
      <c r="H5848" s="340"/>
      <c r="I5848" s="179"/>
      <c r="J5848" s="344"/>
      <c r="K5848" s="345"/>
      <c r="L5848" s="346"/>
      <c r="M5848" s="346"/>
      <c r="N5848" s="348"/>
      <c r="O5848" s="132"/>
    </row>
    <row r="5849" spans="2:15" ht="26.25" customHeight="1" x14ac:dyDescent="0.25">
      <c r="B5849" s="130"/>
      <c r="C5849" s="135"/>
      <c r="D5849" s="177"/>
      <c r="E5849" s="178"/>
      <c r="F5849" s="178"/>
      <c r="G5849" s="340"/>
      <c r="H5849" s="340"/>
      <c r="I5849" s="179"/>
      <c r="J5849" s="344"/>
      <c r="K5849" s="345"/>
      <c r="L5849" s="346"/>
      <c r="M5849" s="346"/>
      <c r="N5849" s="348"/>
      <c r="O5849" s="132"/>
    </row>
    <row r="5850" spans="2:15" ht="26.25" customHeight="1" x14ac:dyDescent="0.25">
      <c r="B5850" s="130"/>
      <c r="C5850" s="135"/>
      <c r="D5850" s="177"/>
      <c r="E5850" s="178"/>
      <c r="F5850" s="178"/>
      <c r="G5850" s="340"/>
      <c r="H5850" s="340"/>
      <c r="I5850" s="179"/>
      <c r="J5850" s="344"/>
      <c r="K5850" s="345"/>
      <c r="L5850" s="346"/>
      <c r="M5850" s="346"/>
      <c r="N5850" s="348"/>
      <c r="O5850" s="132"/>
    </row>
    <row r="5851" spans="2:15" ht="26.25" customHeight="1" x14ac:dyDescent="0.25">
      <c r="B5851" s="130"/>
      <c r="C5851" s="135"/>
      <c r="D5851" s="177"/>
      <c r="E5851" s="178"/>
      <c r="F5851" s="178"/>
      <c r="G5851" s="340"/>
      <c r="H5851" s="340"/>
      <c r="I5851" s="179"/>
      <c r="J5851" s="344"/>
      <c r="K5851" s="345"/>
      <c r="L5851" s="346"/>
      <c r="M5851" s="346"/>
      <c r="N5851" s="348"/>
      <c r="O5851" s="132"/>
    </row>
    <row r="5852" spans="2:15" ht="26.25" customHeight="1" x14ac:dyDescent="0.25">
      <c r="B5852" s="130"/>
      <c r="C5852" s="135"/>
      <c r="D5852" s="177"/>
      <c r="E5852" s="178"/>
      <c r="F5852" s="178"/>
      <c r="G5852" s="340"/>
      <c r="H5852" s="340"/>
      <c r="I5852" s="179"/>
      <c r="J5852" s="344"/>
      <c r="K5852" s="345"/>
      <c r="L5852" s="346"/>
      <c r="M5852" s="346"/>
      <c r="N5852" s="348"/>
      <c r="O5852" s="132"/>
    </row>
    <row r="5853" spans="2:15" ht="26.25" customHeight="1" x14ac:dyDescent="0.25">
      <c r="B5853" s="130"/>
      <c r="C5853" s="135"/>
      <c r="D5853" s="177"/>
      <c r="E5853" s="178"/>
      <c r="F5853" s="178"/>
      <c r="G5853" s="340"/>
      <c r="H5853" s="340"/>
      <c r="I5853" s="179"/>
      <c r="J5853" s="344"/>
      <c r="K5853" s="345"/>
      <c r="L5853" s="346"/>
      <c r="M5853" s="346"/>
      <c r="N5853" s="348"/>
      <c r="O5853" s="132"/>
    </row>
    <row r="5854" spans="2:15" ht="26.25" customHeight="1" x14ac:dyDescent="0.25">
      <c r="B5854" s="130"/>
      <c r="C5854" s="135"/>
      <c r="D5854" s="177"/>
      <c r="E5854" s="178"/>
      <c r="F5854" s="178"/>
      <c r="G5854" s="340"/>
      <c r="H5854" s="340"/>
      <c r="I5854" s="179"/>
      <c r="J5854" s="344"/>
      <c r="K5854" s="345"/>
      <c r="L5854" s="346"/>
      <c r="M5854" s="346"/>
      <c r="N5854" s="348"/>
      <c r="O5854" s="132"/>
    </row>
    <row r="5855" spans="2:15" ht="26.25" customHeight="1" x14ac:dyDescent="0.25">
      <c r="B5855" s="130"/>
      <c r="C5855" s="135"/>
      <c r="D5855" s="177"/>
      <c r="E5855" s="178"/>
      <c r="F5855" s="178"/>
      <c r="G5855" s="340"/>
      <c r="H5855" s="340"/>
      <c r="I5855" s="179"/>
      <c r="J5855" s="344"/>
      <c r="K5855" s="345"/>
      <c r="L5855" s="346"/>
      <c r="M5855" s="346"/>
      <c r="N5855" s="348"/>
      <c r="O5855" s="132"/>
    </row>
    <row r="5856" spans="2:15" ht="26.25" customHeight="1" x14ac:dyDescent="0.25">
      <c r="B5856" s="130"/>
      <c r="C5856" s="135"/>
      <c r="D5856" s="177"/>
      <c r="E5856" s="178"/>
      <c r="F5856" s="178"/>
      <c r="G5856" s="340"/>
      <c r="H5856" s="340"/>
      <c r="I5856" s="179"/>
      <c r="J5856" s="344"/>
      <c r="K5856" s="345"/>
      <c r="L5856" s="346"/>
      <c r="M5856" s="346"/>
      <c r="N5856" s="348"/>
      <c r="O5856" s="132"/>
    </row>
    <row r="5857" spans="2:15" ht="26.25" customHeight="1" x14ac:dyDescent="0.25">
      <c r="B5857" s="130"/>
      <c r="C5857" s="135"/>
      <c r="D5857" s="177"/>
      <c r="E5857" s="178"/>
      <c r="F5857" s="178"/>
      <c r="G5857" s="340"/>
      <c r="H5857" s="340"/>
      <c r="I5857" s="179"/>
      <c r="J5857" s="344"/>
      <c r="K5857" s="345"/>
      <c r="L5857" s="346"/>
      <c r="M5857" s="346"/>
      <c r="N5857" s="348"/>
      <c r="O5857" s="132"/>
    </row>
    <row r="5858" spans="2:15" ht="26.25" customHeight="1" x14ac:dyDescent="0.25">
      <c r="B5858" s="130"/>
      <c r="C5858" s="135"/>
      <c r="D5858" s="177"/>
      <c r="E5858" s="178"/>
      <c r="F5858" s="178"/>
      <c r="G5858" s="340"/>
      <c r="H5858" s="340"/>
      <c r="I5858" s="179"/>
      <c r="J5858" s="344"/>
      <c r="K5858" s="345"/>
      <c r="L5858" s="346"/>
      <c r="M5858" s="346"/>
      <c r="N5858" s="348"/>
      <c r="O5858" s="132"/>
    </row>
    <row r="5859" spans="2:15" ht="26.25" customHeight="1" x14ac:dyDescent="0.25">
      <c r="B5859" s="130"/>
      <c r="C5859" s="135"/>
      <c r="D5859" s="177"/>
      <c r="E5859" s="178"/>
      <c r="F5859" s="178"/>
      <c r="G5859" s="340"/>
      <c r="H5859" s="340"/>
      <c r="I5859" s="179"/>
      <c r="J5859" s="344"/>
      <c r="K5859" s="345"/>
      <c r="L5859" s="346"/>
      <c r="M5859" s="346"/>
      <c r="N5859" s="348"/>
      <c r="O5859" s="132"/>
    </row>
    <row r="5860" spans="2:15" ht="26.25" customHeight="1" x14ac:dyDescent="0.25">
      <c r="B5860" s="130"/>
      <c r="C5860" s="135"/>
      <c r="D5860" s="177"/>
      <c r="E5860" s="178"/>
      <c r="F5860" s="178"/>
      <c r="G5860" s="340"/>
      <c r="H5860" s="340"/>
      <c r="I5860" s="179"/>
      <c r="J5860" s="344"/>
      <c r="K5860" s="345"/>
      <c r="L5860" s="346"/>
      <c r="M5860" s="346"/>
      <c r="N5860" s="348"/>
      <c r="O5860" s="132"/>
    </row>
    <row r="5861" spans="2:15" ht="26.25" customHeight="1" x14ac:dyDescent="0.25">
      <c r="B5861" s="130"/>
      <c r="C5861" s="135"/>
      <c r="D5861" s="177"/>
      <c r="E5861" s="178"/>
      <c r="F5861" s="178"/>
      <c r="G5861" s="340"/>
      <c r="H5861" s="340"/>
      <c r="I5861" s="179"/>
      <c r="J5861" s="344"/>
      <c r="K5861" s="345"/>
      <c r="L5861" s="346"/>
      <c r="M5861" s="346"/>
      <c r="N5861" s="348"/>
      <c r="O5861" s="132"/>
    </row>
    <row r="5862" spans="2:15" ht="26.25" customHeight="1" x14ac:dyDescent="0.25">
      <c r="B5862" s="130"/>
      <c r="C5862" s="135"/>
      <c r="D5862" s="177"/>
      <c r="E5862" s="178"/>
      <c r="F5862" s="178"/>
      <c r="G5862" s="340"/>
      <c r="H5862" s="340"/>
      <c r="I5862" s="179"/>
      <c r="J5862" s="344"/>
      <c r="K5862" s="345"/>
      <c r="L5862" s="346"/>
      <c r="M5862" s="346"/>
      <c r="N5862" s="348"/>
      <c r="O5862" s="132"/>
    </row>
    <row r="5863" spans="2:15" ht="26.25" customHeight="1" x14ac:dyDescent="0.25">
      <c r="B5863" s="130"/>
      <c r="C5863" s="135"/>
      <c r="D5863" s="177"/>
      <c r="E5863" s="178"/>
      <c r="F5863" s="178"/>
      <c r="G5863" s="340"/>
      <c r="H5863" s="340"/>
      <c r="I5863" s="179"/>
      <c r="J5863" s="344"/>
      <c r="K5863" s="345"/>
      <c r="L5863" s="346"/>
      <c r="M5863" s="346"/>
      <c r="N5863" s="348"/>
      <c r="O5863" s="132"/>
    </row>
    <row r="5864" spans="2:15" ht="26.25" customHeight="1" x14ac:dyDescent="0.25">
      <c r="B5864" s="130"/>
      <c r="C5864" s="135"/>
      <c r="D5864" s="177"/>
      <c r="E5864" s="178"/>
      <c r="F5864" s="178"/>
      <c r="G5864" s="340"/>
      <c r="H5864" s="340"/>
      <c r="I5864" s="179"/>
      <c r="J5864" s="344"/>
      <c r="K5864" s="345"/>
      <c r="L5864" s="346"/>
      <c r="M5864" s="346"/>
      <c r="N5864" s="348"/>
      <c r="O5864" s="132"/>
    </row>
    <row r="5865" spans="2:15" ht="26.25" customHeight="1" x14ac:dyDescent="0.25">
      <c r="B5865" s="130"/>
      <c r="C5865" s="135"/>
      <c r="D5865" s="177"/>
      <c r="E5865" s="178"/>
      <c r="F5865" s="178"/>
      <c r="G5865" s="340"/>
      <c r="H5865" s="340"/>
      <c r="I5865" s="179"/>
      <c r="J5865" s="344"/>
      <c r="K5865" s="345"/>
      <c r="L5865" s="346"/>
      <c r="M5865" s="346"/>
      <c r="N5865" s="348"/>
      <c r="O5865" s="132"/>
    </row>
    <row r="5866" spans="2:15" ht="26.25" customHeight="1" x14ac:dyDescent="0.25">
      <c r="B5866" s="130"/>
      <c r="C5866" s="135"/>
      <c r="D5866" s="177"/>
      <c r="E5866" s="178"/>
      <c r="F5866" s="178"/>
      <c r="G5866" s="340"/>
      <c r="H5866" s="340"/>
      <c r="I5866" s="179"/>
      <c r="J5866" s="344"/>
      <c r="K5866" s="345"/>
      <c r="L5866" s="346"/>
      <c r="M5866" s="346"/>
      <c r="N5866" s="348"/>
      <c r="O5866" s="132"/>
    </row>
    <row r="5867" spans="2:15" ht="26.25" customHeight="1" x14ac:dyDescent="0.25">
      <c r="B5867" s="130"/>
      <c r="C5867" s="135"/>
      <c r="D5867" s="177"/>
      <c r="E5867" s="178"/>
      <c r="F5867" s="178"/>
      <c r="G5867" s="340"/>
      <c r="H5867" s="340"/>
      <c r="I5867" s="179"/>
      <c r="J5867" s="344"/>
      <c r="K5867" s="345"/>
      <c r="L5867" s="346"/>
      <c r="M5867" s="346"/>
      <c r="N5867" s="348"/>
      <c r="O5867" s="132"/>
    </row>
    <row r="5868" spans="2:15" ht="26.25" customHeight="1" x14ac:dyDescent="0.25">
      <c r="B5868" s="130"/>
      <c r="C5868" s="135"/>
      <c r="D5868" s="177"/>
      <c r="E5868" s="178"/>
      <c r="F5868" s="178"/>
      <c r="G5868" s="340"/>
      <c r="H5868" s="340"/>
      <c r="I5868" s="179"/>
      <c r="J5868" s="344"/>
      <c r="K5868" s="345"/>
      <c r="L5868" s="346"/>
      <c r="M5868" s="346"/>
      <c r="N5868" s="348"/>
      <c r="O5868" s="132"/>
    </row>
    <row r="5869" spans="2:15" ht="26.25" customHeight="1" x14ac:dyDescent="0.25">
      <c r="B5869" s="130"/>
      <c r="C5869" s="135"/>
      <c r="D5869" s="177"/>
      <c r="E5869" s="178"/>
      <c r="F5869" s="178"/>
      <c r="G5869" s="340"/>
      <c r="H5869" s="340"/>
      <c r="I5869" s="179"/>
      <c r="J5869" s="344"/>
      <c r="K5869" s="345"/>
      <c r="L5869" s="346"/>
      <c r="M5869" s="346"/>
      <c r="N5869" s="348"/>
      <c r="O5869" s="132"/>
    </row>
    <row r="5870" spans="2:15" ht="26.25" customHeight="1" x14ac:dyDescent="0.25">
      <c r="B5870" s="130"/>
      <c r="C5870" s="135"/>
      <c r="D5870" s="177"/>
      <c r="E5870" s="178"/>
      <c r="F5870" s="178"/>
      <c r="G5870" s="340"/>
      <c r="H5870" s="340"/>
      <c r="I5870" s="179"/>
      <c r="J5870" s="344"/>
      <c r="K5870" s="345"/>
      <c r="L5870" s="346"/>
      <c r="M5870" s="346"/>
      <c r="N5870" s="348"/>
      <c r="O5870" s="132"/>
    </row>
    <row r="5871" spans="2:15" ht="26.25" customHeight="1" x14ac:dyDescent="0.25">
      <c r="B5871" s="130"/>
      <c r="C5871" s="135"/>
      <c r="D5871" s="177"/>
      <c r="E5871" s="178"/>
      <c r="F5871" s="178"/>
      <c r="G5871" s="340"/>
      <c r="H5871" s="340"/>
      <c r="I5871" s="179"/>
      <c r="J5871" s="344"/>
      <c r="K5871" s="345"/>
      <c r="L5871" s="346"/>
      <c r="M5871" s="346"/>
      <c r="N5871" s="348"/>
      <c r="O5871" s="132"/>
    </row>
    <row r="5872" spans="2:15" ht="26.25" customHeight="1" x14ac:dyDescent="0.25">
      <c r="B5872" s="130"/>
      <c r="C5872" s="135"/>
      <c r="D5872" s="177"/>
      <c r="E5872" s="178"/>
      <c r="F5872" s="178"/>
      <c r="G5872" s="340"/>
      <c r="H5872" s="340"/>
      <c r="I5872" s="179"/>
      <c r="J5872" s="344"/>
      <c r="K5872" s="345"/>
      <c r="L5872" s="346"/>
      <c r="M5872" s="346"/>
      <c r="N5872" s="348"/>
      <c r="O5872" s="132"/>
    </row>
    <row r="5873" spans="2:15" ht="26.25" customHeight="1" x14ac:dyDescent="0.25">
      <c r="B5873" s="130"/>
      <c r="C5873" s="135"/>
      <c r="D5873" s="177"/>
      <c r="E5873" s="178"/>
      <c r="F5873" s="178"/>
      <c r="G5873" s="340"/>
      <c r="H5873" s="340"/>
      <c r="I5873" s="179"/>
      <c r="J5873" s="344"/>
      <c r="K5873" s="345"/>
      <c r="L5873" s="346"/>
      <c r="M5873" s="346"/>
      <c r="N5873" s="348"/>
      <c r="O5873" s="132"/>
    </row>
    <row r="5874" spans="2:15" ht="26.25" customHeight="1" x14ac:dyDescent="0.25">
      <c r="B5874" s="130"/>
      <c r="C5874" s="135"/>
      <c r="D5874" s="177"/>
      <c r="E5874" s="178"/>
      <c r="F5874" s="178"/>
      <c r="G5874" s="340"/>
      <c r="H5874" s="340"/>
      <c r="I5874" s="179"/>
      <c r="J5874" s="344"/>
      <c r="K5874" s="345"/>
      <c r="L5874" s="346"/>
      <c r="M5874" s="346"/>
      <c r="N5874" s="348"/>
      <c r="O5874" s="132"/>
    </row>
    <row r="5875" spans="2:15" ht="26.25" customHeight="1" x14ac:dyDescent="0.25">
      <c r="B5875" s="130"/>
      <c r="C5875" s="135"/>
      <c r="D5875" s="177"/>
      <c r="E5875" s="178"/>
      <c r="F5875" s="178"/>
      <c r="G5875" s="340"/>
      <c r="H5875" s="340"/>
      <c r="I5875" s="179"/>
      <c r="J5875" s="344"/>
      <c r="K5875" s="345"/>
      <c r="L5875" s="346"/>
      <c r="M5875" s="346"/>
      <c r="N5875" s="348"/>
      <c r="O5875" s="132"/>
    </row>
    <row r="5876" spans="2:15" ht="26.25" customHeight="1" x14ac:dyDescent="0.25">
      <c r="B5876" s="130"/>
      <c r="C5876" s="135"/>
      <c r="D5876" s="177"/>
      <c r="E5876" s="178"/>
      <c r="F5876" s="178"/>
      <c r="G5876" s="340"/>
      <c r="H5876" s="340"/>
      <c r="I5876" s="179"/>
      <c r="J5876" s="344"/>
      <c r="K5876" s="345"/>
      <c r="L5876" s="346"/>
      <c r="M5876" s="346"/>
      <c r="N5876" s="348"/>
      <c r="O5876" s="132"/>
    </row>
    <row r="5877" spans="2:15" ht="26.25" customHeight="1" x14ac:dyDescent="0.25">
      <c r="B5877" s="130"/>
      <c r="C5877" s="135"/>
      <c r="D5877" s="177"/>
      <c r="E5877" s="178"/>
      <c r="F5877" s="178"/>
      <c r="G5877" s="340"/>
      <c r="H5877" s="340"/>
      <c r="I5877" s="179"/>
      <c r="J5877" s="344"/>
      <c r="K5877" s="345"/>
      <c r="L5877" s="346"/>
      <c r="M5877" s="346"/>
      <c r="N5877" s="348"/>
      <c r="O5877" s="132"/>
    </row>
    <row r="5878" spans="2:15" ht="26.25" customHeight="1" x14ac:dyDescent="0.25">
      <c r="B5878" s="130"/>
      <c r="C5878" s="135"/>
      <c r="D5878" s="177"/>
      <c r="E5878" s="178"/>
      <c r="F5878" s="178"/>
      <c r="G5878" s="340"/>
      <c r="H5878" s="340"/>
      <c r="I5878" s="179"/>
      <c r="J5878" s="344"/>
      <c r="K5878" s="345"/>
      <c r="L5878" s="346"/>
      <c r="M5878" s="346"/>
      <c r="N5878" s="348"/>
      <c r="O5878" s="132"/>
    </row>
    <row r="5879" spans="2:15" ht="26.25" customHeight="1" x14ac:dyDescent="0.25">
      <c r="B5879" s="130"/>
      <c r="C5879" s="135"/>
      <c r="D5879" s="177"/>
      <c r="E5879" s="178"/>
      <c r="F5879" s="178"/>
      <c r="G5879" s="340"/>
      <c r="H5879" s="340"/>
      <c r="I5879" s="179"/>
      <c r="J5879" s="344"/>
      <c r="K5879" s="345"/>
      <c r="L5879" s="346"/>
      <c r="M5879" s="346"/>
      <c r="N5879" s="348"/>
      <c r="O5879" s="132"/>
    </row>
    <row r="5880" spans="2:15" ht="26.25" customHeight="1" x14ac:dyDescent="0.25">
      <c r="B5880" s="130"/>
      <c r="C5880" s="135"/>
      <c r="D5880" s="177"/>
      <c r="E5880" s="178"/>
      <c r="F5880" s="178"/>
      <c r="G5880" s="340"/>
      <c r="H5880" s="340"/>
      <c r="I5880" s="179"/>
      <c r="J5880" s="344"/>
      <c r="K5880" s="345"/>
      <c r="L5880" s="346"/>
      <c r="M5880" s="346"/>
      <c r="N5880" s="348"/>
      <c r="O5880" s="132"/>
    </row>
    <row r="5881" spans="2:15" ht="26.25" customHeight="1" x14ac:dyDescent="0.25">
      <c r="B5881" s="130"/>
      <c r="C5881" s="135"/>
      <c r="D5881" s="177"/>
      <c r="E5881" s="178"/>
      <c r="F5881" s="178"/>
      <c r="G5881" s="340"/>
      <c r="H5881" s="340"/>
      <c r="I5881" s="179"/>
      <c r="J5881" s="344"/>
      <c r="K5881" s="345"/>
      <c r="L5881" s="346"/>
      <c r="M5881" s="346"/>
      <c r="N5881" s="348"/>
      <c r="O5881" s="132"/>
    </row>
    <row r="5882" spans="2:15" ht="26.25" customHeight="1" x14ac:dyDescent="0.25">
      <c r="B5882" s="130"/>
      <c r="C5882" s="135"/>
      <c r="D5882" s="177"/>
      <c r="E5882" s="178"/>
      <c r="F5882" s="178"/>
      <c r="G5882" s="340"/>
      <c r="H5882" s="340"/>
      <c r="I5882" s="179"/>
      <c r="J5882" s="344"/>
      <c r="K5882" s="345"/>
      <c r="L5882" s="346"/>
      <c r="M5882" s="346"/>
      <c r="N5882" s="348"/>
      <c r="O5882" s="132"/>
    </row>
    <row r="5883" spans="2:15" ht="26.25" customHeight="1" x14ac:dyDescent="0.25">
      <c r="B5883" s="130"/>
      <c r="C5883" s="135"/>
      <c r="D5883" s="177"/>
      <c r="E5883" s="178"/>
      <c r="F5883" s="178"/>
      <c r="G5883" s="340"/>
      <c r="H5883" s="340"/>
      <c r="I5883" s="179"/>
      <c r="J5883" s="344"/>
      <c r="K5883" s="345"/>
      <c r="L5883" s="346"/>
      <c r="M5883" s="346"/>
      <c r="N5883" s="348"/>
      <c r="O5883" s="132"/>
    </row>
    <row r="5884" spans="2:15" ht="26.25" customHeight="1" x14ac:dyDescent="0.25">
      <c r="B5884" s="130"/>
      <c r="C5884" s="135"/>
      <c r="D5884" s="177"/>
      <c r="E5884" s="178"/>
      <c r="F5884" s="178"/>
      <c r="G5884" s="340"/>
      <c r="H5884" s="340"/>
      <c r="I5884" s="179"/>
      <c r="J5884" s="344"/>
      <c r="K5884" s="345"/>
      <c r="L5884" s="346"/>
      <c r="M5884" s="346"/>
      <c r="N5884" s="348"/>
      <c r="O5884" s="132"/>
    </row>
    <row r="5885" spans="2:15" ht="26.25" customHeight="1" x14ac:dyDescent="0.25">
      <c r="B5885" s="130"/>
      <c r="C5885" s="135"/>
      <c r="D5885" s="177"/>
      <c r="E5885" s="178"/>
      <c r="F5885" s="178"/>
      <c r="G5885" s="340"/>
      <c r="H5885" s="340"/>
      <c r="I5885" s="179"/>
      <c r="J5885" s="344"/>
      <c r="K5885" s="345"/>
      <c r="L5885" s="346"/>
      <c r="M5885" s="346"/>
      <c r="N5885" s="348"/>
      <c r="O5885" s="132"/>
    </row>
    <row r="5886" spans="2:15" ht="26.25" customHeight="1" x14ac:dyDescent="0.25">
      <c r="B5886" s="130"/>
      <c r="C5886" s="135"/>
      <c r="D5886" s="177"/>
      <c r="E5886" s="178" t="str">
        <f t="shared" si="0"/>
        <v/>
      </c>
      <c r="F5886" s="178" t="str">
        <f t="shared" si="1"/>
        <v/>
      </c>
      <c r="G5886" s="340"/>
      <c r="H5886" s="340"/>
      <c r="I5886" s="179"/>
      <c r="J5886" s="341"/>
      <c r="K5886" s="342"/>
      <c r="L5886" s="179"/>
      <c r="M5886" s="179"/>
      <c r="N5886" s="180"/>
      <c r="O5886" s="132"/>
    </row>
    <row r="5887" spans="2:15" ht="26.25" customHeight="1" x14ac:dyDescent="0.25">
      <c r="B5887" s="130"/>
      <c r="C5887" s="135"/>
      <c r="D5887" s="177"/>
      <c r="E5887" s="178" t="str">
        <f t="shared" si="0"/>
        <v/>
      </c>
      <c r="F5887" s="178" t="str">
        <f t="shared" si="1"/>
        <v/>
      </c>
      <c r="G5887" s="340"/>
      <c r="H5887" s="340"/>
      <c r="I5887" s="179"/>
      <c r="J5887" s="341"/>
      <c r="K5887" s="342"/>
      <c r="L5887" s="179"/>
      <c r="M5887" s="179"/>
      <c r="N5887" s="180"/>
      <c r="O5887" s="132"/>
    </row>
    <row r="5888" spans="2:15" ht="26.25" customHeight="1" x14ac:dyDescent="0.25">
      <c r="B5888" s="130"/>
      <c r="C5888" s="135"/>
      <c r="D5888" s="177"/>
      <c r="E5888" s="178" t="str">
        <f t="shared" si="0"/>
        <v/>
      </c>
      <c r="F5888" s="178" t="str">
        <f t="shared" si="1"/>
        <v/>
      </c>
      <c r="G5888" s="340"/>
      <c r="H5888" s="340"/>
      <c r="I5888" s="179"/>
      <c r="J5888" s="341"/>
      <c r="K5888" s="342"/>
      <c r="L5888" s="179"/>
      <c r="M5888" s="179"/>
      <c r="N5888" s="180"/>
      <c r="O5888" s="132"/>
    </row>
    <row r="5889" spans="2:15" ht="26.25" customHeight="1" x14ac:dyDescent="0.25">
      <c r="B5889" s="130"/>
      <c r="C5889" s="135"/>
      <c r="D5889" s="177"/>
      <c r="E5889" s="178" t="str">
        <f t="shared" si="0"/>
        <v/>
      </c>
      <c r="F5889" s="178" t="str">
        <f t="shared" si="1"/>
        <v/>
      </c>
      <c r="G5889" s="340"/>
      <c r="H5889" s="340"/>
      <c r="I5889" s="179"/>
      <c r="J5889" s="341"/>
      <c r="K5889" s="342"/>
      <c r="L5889" s="179"/>
      <c r="M5889" s="179"/>
      <c r="N5889" s="180"/>
      <c r="O5889" s="132"/>
    </row>
    <row r="5890" spans="2:15" ht="26.25" customHeight="1" x14ac:dyDescent="0.25">
      <c r="B5890" s="130"/>
      <c r="C5890" s="135"/>
      <c r="D5890" s="177"/>
      <c r="E5890" s="178" t="str">
        <f t="shared" si="0"/>
        <v/>
      </c>
      <c r="F5890" s="178" t="str">
        <f t="shared" si="1"/>
        <v/>
      </c>
      <c r="G5890" s="340"/>
      <c r="H5890" s="340"/>
      <c r="I5890" s="179"/>
      <c r="J5890" s="341"/>
      <c r="K5890" s="342"/>
      <c r="L5890" s="179"/>
      <c r="M5890" s="179"/>
      <c r="N5890" s="180"/>
      <c r="O5890" s="132"/>
    </row>
    <row r="5891" spans="2:15" ht="26.25" customHeight="1" x14ac:dyDescent="0.25">
      <c r="B5891" s="130"/>
      <c r="C5891" s="135"/>
      <c r="D5891" s="177"/>
      <c r="E5891" s="178" t="str">
        <f t="shared" si="0"/>
        <v/>
      </c>
      <c r="F5891" s="178" t="str">
        <f t="shared" si="1"/>
        <v/>
      </c>
      <c r="G5891" s="340"/>
      <c r="H5891" s="340"/>
      <c r="I5891" s="179"/>
      <c r="J5891" s="341"/>
      <c r="K5891" s="342"/>
      <c r="L5891" s="179"/>
      <c r="M5891" s="179"/>
      <c r="N5891" s="180"/>
      <c r="O5891" s="132"/>
    </row>
    <row r="5892" spans="2:15" ht="26.25" customHeight="1" x14ac:dyDescent="0.25">
      <c r="B5892" s="130"/>
      <c r="C5892" s="135"/>
      <c r="D5892" s="177"/>
      <c r="E5892" s="178" t="str">
        <f t="shared" si="0"/>
        <v/>
      </c>
      <c r="F5892" s="178" t="str">
        <f t="shared" si="1"/>
        <v/>
      </c>
      <c r="G5892" s="340"/>
      <c r="H5892" s="340"/>
      <c r="I5892" s="179"/>
      <c r="J5892" s="341"/>
      <c r="K5892" s="342"/>
      <c r="L5892" s="179"/>
      <c r="M5892" s="179"/>
      <c r="N5892" s="180"/>
      <c r="O5892" s="132"/>
    </row>
    <row r="5893" spans="2:15" ht="26.25" customHeight="1" x14ac:dyDescent="0.25">
      <c r="B5893" s="130"/>
      <c r="C5893" s="135"/>
      <c r="D5893" s="177"/>
      <c r="E5893" s="178" t="str">
        <f t="shared" si="0"/>
        <v/>
      </c>
      <c r="F5893" s="178" t="str">
        <f t="shared" si="1"/>
        <v/>
      </c>
      <c r="G5893" s="340"/>
      <c r="H5893" s="340"/>
      <c r="I5893" s="179"/>
      <c r="J5893" s="341"/>
      <c r="K5893" s="342"/>
      <c r="L5893" s="179"/>
      <c r="M5893" s="179"/>
      <c r="N5893" s="180"/>
      <c r="O5893" s="132"/>
    </row>
    <row r="5894" spans="2:15" ht="26.25" customHeight="1" x14ac:dyDescent="0.25">
      <c r="B5894" s="130"/>
      <c r="C5894" s="135"/>
      <c r="D5894" s="177"/>
      <c r="E5894" s="178" t="str">
        <f t="shared" si="0"/>
        <v/>
      </c>
      <c r="F5894" s="178" t="str">
        <f t="shared" si="1"/>
        <v/>
      </c>
      <c r="G5894" s="340"/>
      <c r="H5894" s="340"/>
      <c r="I5894" s="179"/>
      <c r="J5894" s="341"/>
      <c r="K5894" s="342"/>
      <c r="L5894" s="179"/>
      <c r="M5894" s="179"/>
      <c r="N5894" s="180"/>
      <c r="O5894" s="132"/>
    </row>
    <row r="5895" spans="2:15" ht="26.25" customHeight="1" x14ac:dyDescent="0.25">
      <c r="B5895" s="130"/>
      <c r="C5895" s="135"/>
      <c r="D5895" s="177"/>
      <c r="E5895" s="178" t="str">
        <f t="shared" si="0"/>
        <v/>
      </c>
      <c r="F5895" s="178" t="str">
        <f t="shared" si="1"/>
        <v/>
      </c>
      <c r="G5895" s="340"/>
      <c r="H5895" s="340"/>
      <c r="I5895" s="179"/>
      <c r="J5895" s="341"/>
      <c r="K5895" s="342"/>
      <c r="L5895" s="179"/>
      <c r="M5895" s="179"/>
      <c r="N5895" s="180"/>
      <c r="O5895" s="132"/>
    </row>
    <row r="5896" spans="2:15" ht="26.25" customHeight="1" x14ac:dyDescent="0.25">
      <c r="B5896" s="130"/>
      <c r="C5896" s="135"/>
      <c r="D5896" s="177"/>
      <c r="E5896" s="178" t="str">
        <f t="shared" si="0"/>
        <v/>
      </c>
      <c r="F5896" s="178" t="str">
        <f t="shared" si="1"/>
        <v/>
      </c>
      <c r="G5896" s="340"/>
      <c r="H5896" s="340"/>
      <c r="I5896" s="179"/>
      <c r="J5896" s="341"/>
      <c r="K5896" s="342"/>
      <c r="L5896" s="179"/>
      <c r="M5896" s="179"/>
      <c r="N5896" s="180"/>
      <c r="O5896" s="132"/>
    </row>
    <row r="5897" spans="2:15" ht="26.25" customHeight="1" x14ac:dyDescent="0.25">
      <c r="B5897" s="130"/>
      <c r="C5897" s="135"/>
      <c r="D5897" s="177"/>
      <c r="E5897" s="178" t="str">
        <f t="shared" si="0"/>
        <v/>
      </c>
      <c r="F5897" s="178" t="str">
        <f t="shared" si="1"/>
        <v/>
      </c>
      <c r="G5897" s="340"/>
      <c r="H5897" s="340"/>
      <c r="I5897" s="179"/>
      <c r="J5897" s="341"/>
      <c r="K5897" s="342"/>
      <c r="L5897" s="179"/>
      <c r="M5897" s="179"/>
      <c r="N5897" s="180"/>
      <c r="O5897" s="132"/>
    </row>
    <row r="5898" spans="2:15" ht="26.25" customHeight="1" x14ac:dyDescent="0.25">
      <c r="B5898" s="130"/>
      <c r="C5898" s="135"/>
      <c r="D5898" s="177"/>
      <c r="E5898" s="178" t="str">
        <f t="shared" si="0"/>
        <v/>
      </c>
      <c r="F5898" s="178" t="str">
        <f t="shared" si="1"/>
        <v/>
      </c>
      <c r="G5898" s="340"/>
      <c r="H5898" s="340"/>
      <c r="I5898" s="179"/>
      <c r="J5898" s="341"/>
      <c r="K5898" s="342"/>
      <c r="L5898" s="179"/>
      <c r="M5898" s="179"/>
      <c r="N5898" s="180"/>
      <c r="O5898" s="132"/>
    </row>
    <row r="5899" spans="2:15" ht="26.25" customHeight="1" x14ac:dyDescent="0.25">
      <c r="B5899" s="130"/>
      <c r="C5899" s="135"/>
      <c r="D5899" s="177"/>
      <c r="E5899" s="178" t="str">
        <f t="shared" si="0"/>
        <v/>
      </c>
      <c r="F5899" s="178" t="str">
        <f t="shared" si="1"/>
        <v/>
      </c>
      <c r="G5899" s="340"/>
      <c r="H5899" s="340"/>
      <c r="I5899" s="179"/>
      <c r="J5899" s="341"/>
      <c r="K5899" s="342"/>
      <c r="L5899" s="179"/>
      <c r="M5899" s="179"/>
      <c r="N5899" s="180"/>
      <c r="O5899" s="132"/>
    </row>
    <row r="5900" spans="2:15" ht="26.25" customHeight="1" x14ac:dyDescent="0.25">
      <c r="B5900" s="130"/>
      <c r="C5900" s="135"/>
      <c r="D5900" s="177"/>
      <c r="E5900" s="178" t="str">
        <f t="shared" si="0"/>
        <v/>
      </c>
      <c r="F5900" s="178" t="str">
        <f t="shared" si="1"/>
        <v/>
      </c>
      <c r="G5900" s="340"/>
      <c r="H5900" s="340"/>
      <c r="I5900" s="179"/>
      <c r="J5900" s="341"/>
      <c r="K5900" s="342"/>
      <c r="L5900" s="179"/>
      <c r="M5900" s="179"/>
      <c r="N5900" s="180"/>
      <c r="O5900" s="132"/>
    </row>
    <row r="5901" spans="2:15" ht="26.25" customHeight="1" x14ac:dyDescent="0.25">
      <c r="B5901" s="130"/>
      <c r="C5901" s="135"/>
      <c r="D5901" s="177"/>
      <c r="E5901" s="178" t="str">
        <f t="shared" si="0"/>
        <v/>
      </c>
      <c r="F5901" s="178" t="str">
        <f t="shared" si="1"/>
        <v/>
      </c>
      <c r="G5901" s="340"/>
      <c r="H5901" s="340"/>
      <c r="I5901" s="179"/>
      <c r="J5901" s="341"/>
      <c r="K5901" s="342"/>
      <c r="L5901" s="179"/>
      <c r="M5901" s="179"/>
      <c r="N5901" s="180"/>
      <c r="O5901" s="132"/>
    </row>
    <row r="5902" spans="2:15" ht="26.25" customHeight="1" x14ac:dyDescent="0.25">
      <c r="B5902" s="130"/>
      <c r="C5902" s="135"/>
      <c r="D5902" s="177"/>
      <c r="E5902" s="178" t="str">
        <f t="shared" si="0"/>
        <v/>
      </c>
      <c r="F5902" s="178" t="str">
        <f t="shared" si="1"/>
        <v/>
      </c>
      <c r="G5902" s="340"/>
      <c r="H5902" s="340"/>
      <c r="I5902" s="179"/>
      <c r="J5902" s="341"/>
      <c r="K5902" s="342"/>
      <c r="L5902" s="179"/>
      <c r="M5902" s="179"/>
      <c r="N5902" s="180"/>
      <c r="O5902" s="132"/>
    </row>
    <row r="5903" spans="2:15" ht="26.25" customHeight="1" x14ac:dyDescent="0.25">
      <c r="B5903" s="130"/>
      <c r="C5903" s="135"/>
      <c r="D5903" s="177"/>
      <c r="E5903" s="178" t="str">
        <f t="shared" si="0"/>
        <v/>
      </c>
      <c r="F5903" s="178" t="str">
        <f t="shared" si="1"/>
        <v/>
      </c>
      <c r="G5903" s="340"/>
      <c r="H5903" s="340"/>
      <c r="I5903" s="179"/>
      <c r="J5903" s="341"/>
      <c r="K5903" s="342"/>
      <c r="L5903" s="179"/>
      <c r="M5903" s="179"/>
      <c r="N5903" s="180"/>
      <c r="O5903" s="132"/>
    </row>
    <row r="5904" spans="2:15" ht="26.25" customHeight="1" x14ac:dyDescent="0.25">
      <c r="B5904" s="130"/>
      <c r="C5904" s="135"/>
      <c r="D5904" s="177"/>
      <c r="E5904" s="178" t="str">
        <f t="shared" si="0"/>
        <v/>
      </c>
      <c r="F5904" s="178" t="str">
        <f t="shared" si="1"/>
        <v/>
      </c>
      <c r="G5904" s="340"/>
      <c r="H5904" s="340"/>
      <c r="I5904" s="179"/>
      <c r="J5904" s="341"/>
      <c r="K5904" s="342"/>
      <c r="L5904" s="179"/>
      <c r="M5904" s="179"/>
      <c r="N5904" s="180"/>
      <c r="O5904" s="132"/>
    </row>
    <row r="5905" spans="2:15" ht="26.25" customHeight="1" x14ac:dyDescent="0.25">
      <c r="B5905" s="130"/>
      <c r="C5905" s="135"/>
      <c r="D5905" s="177"/>
      <c r="E5905" s="178" t="str">
        <f t="shared" si="0"/>
        <v/>
      </c>
      <c r="F5905" s="178" t="str">
        <f t="shared" si="1"/>
        <v/>
      </c>
      <c r="G5905" s="340"/>
      <c r="H5905" s="340"/>
      <c r="I5905" s="179"/>
      <c r="J5905" s="341"/>
      <c r="K5905" s="342"/>
      <c r="L5905" s="179"/>
      <c r="M5905" s="179"/>
      <c r="N5905" s="180"/>
      <c r="O5905" s="132"/>
    </row>
    <row r="5906" spans="2:15" ht="25.5" customHeight="1" x14ac:dyDescent="0.25">
      <c r="B5906" s="130"/>
      <c r="C5906" s="135"/>
      <c r="D5906" s="177"/>
      <c r="E5906" s="178" t="str">
        <f t="shared" si="0"/>
        <v/>
      </c>
      <c r="F5906" s="178" t="str">
        <f t="shared" si="1"/>
        <v/>
      </c>
      <c r="G5906" s="340"/>
      <c r="H5906" s="340"/>
      <c r="I5906" s="179"/>
      <c r="J5906" s="341"/>
      <c r="K5906" s="342"/>
      <c r="L5906" s="179"/>
      <c r="M5906" s="179"/>
      <c r="N5906" s="180"/>
      <c r="O5906" s="132"/>
    </row>
    <row r="5907" spans="2:15" ht="25.5" customHeight="1" x14ac:dyDescent="0.25">
      <c r="B5907" s="130"/>
      <c r="C5907" s="135"/>
      <c r="D5907" s="177"/>
      <c r="E5907" s="178" t="str">
        <f t="shared" si="0"/>
        <v/>
      </c>
      <c r="F5907" s="178" t="str">
        <f t="shared" si="1"/>
        <v/>
      </c>
      <c r="G5907" s="340"/>
      <c r="H5907" s="340"/>
      <c r="I5907" s="179"/>
      <c r="J5907" s="341"/>
      <c r="K5907" s="342"/>
      <c r="L5907" s="179"/>
      <c r="M5907" s="179"/>
      <c r="N5907" s="180"/>
      <c r="O5907" s="132"/>
    </row>
    <row r="5908" spans="2:15" ht="26.25" customHeight="1" thickBot="1" x14ac:dyDescent="0.3">
      <c r="B5908" s="139"/>
      <c r="C5908" s="140"/>
      <c r="D5908" s="140"/>
      <c r="E5908" s="140"/>
      <c r="F5908" s="140"/>
      <c r="G5908" s="349"/>
      <c r="H5908" s="349"/>
      <c r="I5908" s="140"/>
      <c r="J5908" s="350"/>
      <c r="K5908" s="351"/>
      <c r="L5908" s="140"/>
      <c r="M5908" s="202"/>
      <c r="N5908" s="140"/>
      <c r="O5908" s="141"/>
    </row>
    <row r="5909" spans="2:15" ht="26.25" customHeight="1" x14ac:dyDescent="0.25">
      <c r="G5909" s="982"/>
      <c r="H5909" s="352"/>
      <c r="I5909" s="203"/>
      <c r="J5909" s="353"/>
      <c r="K5909" s="354"/>
      <c r="L5909" s="203"/>
      <c r="M5909" s="879"/>
      <c r="N5909" s="203"/>
    </row>
    <row r="5910" spans="2:15" ht="26.25" customHeight="1" x14ac:dyDescent="0.25">
      <c r="G5910" s="982"/>
      <c r="H5910" s="352"/>
      <c r="I5910" s="203"/>
      <c r="J5910" s="353"/>
      <c r="K5910" s="354"/>
      <c r="L5910" s="203"/>
      <c r="M5910" s="880"/>
      <c r="N5910" s="203"/>
    </row>
  </sheetData>
  <sheetProtection algorithmName="SHA-512" hashValue="DO4IRm1UpUO98yLlvN2NvwkiXgj9/i0/cXYx5TUooCf7/FEBon4WWPLwUD6wfnQngpslye9xzs2z3aG8+q8fZQ==" saltValue="TOy+l80U7DUvSmY4lyDqog==" spinCount="100000" sheet="1" objects="1" scenarios="1"/>
  <mergeCells count="3">
    <mergeCell ref="C2:N2"/>
    <mergeCell ref="G5909:G5910"/>
    <mergeCell ref="M5909:M5910"/>
  </mergeCells>
  <conditionalFormatting sqref="L7">
    <cfRule type="expression" dxfId="2" priority="1" stopIfTrue="1">
      <formula>L7="No"</formula>
    </cfRule>
  </conditionalFormatting>
  <conditionalFormatting sqref="M7:N5824">
    <cfRule type="expression" dxfId="1" priority="2" stopIfTrue="1">
      <formula>M7="No"</formula>
    </cfRule>
  </conditionalFormatting>
  <conditionalFormatting sqref="N5825:N5907">
    <cfRule type="expression" dxfId="0" priority="3" stopIfTrue="1">
      <formula>OR(G5825="Re Use On Site", G5825="Re Use Off Site", G5825="Recycled On Site", G5825="Landfill")</formula>
    </cfRule>
  </conditionalFormatting>
  <dataValidations count="3">
    <dataValidation type="list" allowBlank="1" showInputMessage="1" showErrorMessage="1" sqref="C7:C5907" xr:uid="{4F2AA191-D75B-44B3-A54B-8F79F395604F}">
      <formula1>Waste_Type</formula1>
    </dataValidation>
    <dataValidation type="list" allowBlank="1" showInputMessage="1" showErrorMessage="1" error="Please choose from the drop down menu" sqref="M7:N5824 L7" xr:uid="{A0E90B46-AA0D-47E8-B6EA-D7F5628A1421}">
      <formula1>Copy_Permit</formula1>
    </dataValidation>
    <dataValidation type="list" allowBlank="1" showInputMessage="1" showErrorMessage="1" error="Please choose from the drop down menu" sqref="D7:D5907" xr:uid="{C8623F88-AB09-4086-B5CE-AA6E0AF65CF6}">
      <formula1>Waste_Activity</formula1>
    </dataValidation>
  </dataValidations>
  <printOptions horizontalCentered="1"/>
  <pageMargins left="0.15748031496062992" right="0.15748031496062992" top="0.59055118110236227" bottom="0.39370078740157483" header="0.51181102362204722" footer="0.51181102362204722"/>
  <pageSetup paperSize="9" scale="65" orientation="landscape" r:id="rId1"/>
  <headerFooter alignWithMargins="0">
    <oddFooter>&amp;LFM-HSS-W01-01&amp;CJanuary 2020&amp;RRev 17.0</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6A8C-09EE-4B2A-9928-779BDA7900A4}">
  <sheetPr codeName="Sheet16"/>
  <dimension ref="B1:V171"/>
  <sheetViews>
    <sheetView topLeftCell="B25" workbookViewId="0">
      <selection activeCell="H61" sqref="H61"/>
    </sheetView>
  </sheetViews>
  <sheetFormatPr defaultColWidth="9.109375" defaultRowHeight="13.2" x14ac:dyDescent="0.25"/>
  <cols>
    <col min="1" max="1" width="2.6640625" style="48" customWidth="1"/>
    <col min="2" max="2" width="93.44140625" style="48" customWidth="1"/>
    <col min="3" max="3" width="9" style="48" bestFit="1" customWidth="1"/>
    <col min="4" max="4" width="11" style="48" customWidth="1"/>
    <col min="5" max="5" width="19.44140625" style="48" customWidth="1"/>
    <col min="6" max="6" width="34.109375" style="48" customWidth="1"/>
    <col min="7" max="7" width="5.109375" style="48" bestFit="1" customWidth="1"/>
    <col min="8" max="8" width="55.109375" style="48" customWidth="1"/>
    <col min="9" max="9" width="5.44140625" style="48" customWidth="1"/>
    <col min="10" max="10" width="28.109375" style="48" customWidth="1"/>
    <col min="11" max="11" width="18.109375" style="48" bestFit="1" customWidth="1"/>
    <col min="12" max="12" width="7.109375" style="48" customWidth="1"/>
    <col min="13" max="13" width="4.44140625" style="48" customWidth="1"/>
    <col min="14" max="14" width="75.44140625" style="48" customWidth="1"/>
    <col min="15" max="15" width="5.109375" style="48" customWidth="1"/>
    <col min="16" max="16" width="21.77734375" style="48" customWidth="1"/>
    <col min="17" max="17" width="64.109375" style="48" customWidth="1"/>
    <col min="18" max="18" width="4.77734375" style="48" customWidth="1"/>
    <col min="19" max="19" width="53.33203125" style="48" customWidth="1"/>
    <col min="20" max="16384" width="9.109375" style="48"/>
  </cols>
  <sheetData>
    <row r="1" spans="2:22" ht="13.8" thickBot="1" x14ac:dyDescent="0.3"/>
    <row r="2" spans="2:22" ht="12.75" customHeight="1" x14ac:dyDescent="0.25">
      <c r="B2" s="983" t="s">
        <v>347</v>
      </c>
      <c r="C2" s="984"/>
      <c r="D2" s="984"/>
      <c r="E2" s="984"/>
      <c r="F2" s="985"/>
      <c r="H2" s="989" t="s">
        <v>348</v>
      </c>
      <c r="J2" s="983" t="s">
        <v>349</v>
      </c>
      <c r="K2" s="985"/>
      <c r="N2" s="989" t="s">
        <v>350</v>
      </c>
      <c r="P2" s="983" t="s">
        <v>351</v>
      </c>
      <c r="Q2" s="985"/>
      <c r="S2" s="983" t="s">
        <v>352</v>
      </c>
      <c r="T2" s="985"/>
      <c r="U2" s="653"/>
      <c r="V2" s="653"/>
    </row>
    <row r="3" spans="2:22" ht="33" customHeight="1" thickBot="1" x14ac:dyDescent="0.3">
      <c r="B3" s="986"/>
      <c r="C3" s="987"/>
      <c r="D3" s="987"/>
      <c r="E3" s="987"/>
      <c r="F3" s="988"/>
      <c r="H3" s="990"/>
      <c r="J3" s="986"/>
      <c r="K3" s="988"/>
      <c r="N3" s="990"/>
      <c r="P3" s="986"/>
      <c r="Q3" s="988"/>
      <c r="S3" s="986"/>
      <c r="T3" s="988"/>
      <c r="U3" s="653"/>
      <c r="V3" s="653"/>
    </row>
    <row r="4" spans="2:22" x14ac:dyDescent="0.25">
      <c r="B4" s="56"/>
      <c r="C4" s="56"/>
      <c r="D4" s="56"/>
      <c r="E4" s="56"/>
      <c r="F4" s="56"/>
    </row>
    <row r="5" spans="2:22" ht="15.6" x14ac:dyDescent="0.3">
      <c r="B5" s="125" t="s">
        <v>353</v>
      </c>
      <c r="C5" s="126" t="s">
        <v>105</v>
      </c>
      <c r="D5" s="126" t="s">
        <v>354</v>
      </c>
      <c r="E5" s="126" t="s">
        <v>355</v>
      </c>
      <c r="F5" s="126" t="s">
        <v>356</v>
      </c>
      <c r="G5" s="110"/>
      <c r="H5" s="110" t="s">
        <v>357</v>
      </c>
      <c r="J5" s="116" t="s">
        <v>358</v>
      </c>
      <c r="K5" s="117" t="s">
        <v>359</v>
      </c>
      <c r="N5" s="115" t="s">
        <v>360</v>
      </c>
      <c r="P5" s="48" t="s">
        <v>361</v>
      </c>
      <c r="Q5" s="48" t="s">
        <v>362</v>
      </c>
      <c r="S5" s="110" t="s">
        <v>363</v>
      </c>
    </row>
    <row r="6" spans="2:22" ht="15.6" x14ac:dyDescent="0.3">
      <c r="B6" s="125"/>
      <c r="C6" s="126"/>
      <c r="D6" s="126"/>
      <c r="E6" s="126"/>
      <c r="F6" s="126"/>
      <c r="G6" s="110"/>
      <c r="H6" s="110"/>
      <c r="J6" s="116"/>
      <c r="K6" s="117"/>
      <c r="N6" s="115"/>
      <c r="S6" s="110"/>
    </row>
    <row r="7" spans="2:22" x14ac:dyDescent="0.25">
      <c r="B7" s="48" t="s">
        <v>133</v>
      </c>
      <c r="C7" s="120">
        <v>160504</v>
      </c>
      <c r="D7" s="118" t="s">
        <v>126</v>
      </c>
      <c r="E7" s="118">
        <v>0.3</v>
      </c>
      <c r="F7" s="118"/>
      <c r="G7" s="110"/>
      <c r="H7" s="48" t="s">
        <v>364</v>
      </c>
      <c r="J7" s="48" t="s">
        <v>365</v>
      </c>
      <c r="K7" s="48">
        <v>0.20499999999999999</v>
      </c>
      <c r="N7" s="110" t="s">
        <v>366</v>
      </c>
      <c r="P7" s="48" t="s">
        <v>367</v>
      </c>
      <c r="Q7" s="48" t="s">
        <v>368</v>
      </c>
      <c r="S7" s="110" t="s">
        <v>369</v>
      </c>
    </row>
    <row r="8" spans="2:22" ht="15.6" x14ac:dyDescent="0.25">
      <c r="B8" s="48" t="s">
        <v>139</v>
      </c>
      <c r="C8" s="120">
        <v>170301</v>
      </c>
      <c r="D8" s="118" t="s">
        <v>126</v>
      </c>
      <c r="E8" s="118">
        <v>0.9</v>
      </c>
      <c r="F8" s="118"/>
      <c r="G8" s="110"/>
      <c r="H8" s="48" t="s">
        <v>370</v>
      </c>
      <c r="J8" s="48" t="s">
        <v>371</v>
      </c>
      <c r="K8" s="48">
        <v>2.5000000000000001E-2</v>
      </c>
      <c r="M8" s="48">
        <v>1</v>
      </c>
      <c r="N8" s="48" t="s">
        <v>372</v>
      </c>
      <c r="P8" s="48" t="s">
        <v>373</v>
      </c>
      <c r="Q8" s="48" t="s">
        <v>374</v>
      </c>
      <c r="S8" s="48" t="s">
        <v>375</v>
      </c>
    </row>
    <row r="9" spans="2:22" x14ac:dyDescent="0.25">
      <c r="B9" s="48" t="s">
        <v>129</v>
      </c>
      <c r="C9" s="121">
        <v>170302</v>
      </c>
      <c r="D9" s="118" t="s">
        <v>123</v>
      </c>
      <c r="E9" s="118">
        <v>0.82</v>
      </c>
      <c r="F9" s="118"/>
      <c r="G9" s="110"/>
      <c r="J9" s="48" t="s">
        <v>376</v>
      </c>
      <c r="K9" s="48">
        <v>7.6455485797999998</v>
      </c>
      <c r="M9" s="48">
        <v>2</v>
      </c>
      <c r="N9" s="48" t="s">
        <v>377</v>
      </c>
      <c r="P9" s="48" t="s">
        <v>378</v>
      </c>
      <c r="Q9" s="48" t="s">
        <v>379</v>
      </c>
      <c r="S9" s="48" t="s">
        <v>42</v>
      </c>
      <c r="T9" s="109">
        <f>'Project KPI''s'!D8</f>
        <v>85</v>
      </c>
    </row>
    <row r="10" spans="2:22" x14ac:dyDescent="0.25">
      <c r="B10" s="48" t="s">
        <v>140</v>
      </c>
      <c r="C10" s="120">
        <v>170102</v>
      </c>
      <c r="D10" s="118" t="s">
        <v>141</v>
      </c>
      <c r="E10" s="118">
        <v>1.2</v>
      </c>
      <c r="F10" s="118"/>
      <c r="G10" s="110"/>
      <c r="H10" s="110" t="s">
        <v>380</v>
      </c>
      <c r="J10" s="48" t="s">
        <v>381</v>
      </c>
      <c r="K10" s="48">
        <v>9.1746582957600005</v>
      </c>
      <c r="M10" s="48">
        <v>3</v>
      </c>
      <c r="N10" s="48" t="s">
        <v>382</v>
      </c>
      <c r="P10" s="48" t="s">
        <v>383</v>
      </c>
      <c r="Q10" s="48" t="s">
        <v>384</v>
      </c>
      <c r="S10" s="48" t="s">
        <v>385</v>
      </c>
      <c r="T10" s="109" t="e">
        <f>'Project KPI''s'!E8</f>
        <v>#DIV/0!</v>
      </c>
    </row>
    <row r="11" spans="2:22" x14ac:dyDescent="0.25">
      <c r="B11" s="48" t="s">
        <v>145</v>
      </c>
      <c r="C11" s="120">
        <v>170101</v>
      </c>
      <c r="D11" s="118" t="s">
        <v>141</v>
      </c>
      <c r="E11" s="118">
        <v>1.27</v>
      </c>
      <c r="F11" s="118"/>
      <c r="G11" s="110"/>
      <c r="H11" s="48" t="s">
        <v>235</v>
      </c>
      <c r="J11" s="48" t="s">
        <v>386</v>
      </c>
      <c r="K11" s="48">
        <v>1.52910971596</v>
      </c>
      <c r="M11" s="48">
        <v>4</v>
      </c>
      <c r="N11" s="48" t="s">
        <v>387</v>
      </c>
      <c r="P11" s="48" t="s">
        <v>388</v>
      </c>
      <c r="Q11" s="48" t="s">
        <v>389</v>
      </c>
      <c r="T11" s="108"/>
    </row>
    <row r="12" spans="2:22" x14ac:dyDescent="0.25">
      <c r="B12" s="48" t="s">
        <v>124</v>
      </c>
      <c r="C12" s="120">
        <v>170107</v>
      </c>
      <c r="D12" s="118" t="s">
        <v>123</v>
      </c>
      <c r="E12" s="118">
        <v>1.24</v>
      </c>
      <c r="F12" s="118"/>
      <c r="G12" s="110"/>
      <c r="H12" s="48" t="s">
        <v>237</v>
      </c>
      <c r="J12" s="48" t="s">
        <v>390</v>
      </c>
      <c r="K12" s="48">
        <v>3.05821943192</v>
      </c>
      <c r="M12" s="48">
        <v>5</v>
      </c>
      <c r="N12" s="48" t="s">
        <v>391</v>
      </c>
      <c r="P12" s="48" t="s">
        <v>392</v>
      </c>
      <c r="Q12" s="48" t="s">
        <v>393</v>
      </c>
      <c r="S12" s="48" t="s">
        <v>394</v>
      </c>
    </row>
    <row r="13" spans="2:22" x14ac:dyDescent="0.25">
      <c r="B13" s="48" t="s">
        <v>148</v>
      </c>
      <c r="C13" s="120">
        <v>170904</v>
      </c>
      <c r="D13" s="118" t="s">
        <v>123</v>
      </c>
      <c r="E13" s="118">
        <v>0.32</v>
      </c>
      <c r="F13" s="118"/>
      <c r="G13" s="110"/>
      <c r="H13" s="48" t="s">
        <v>236</v>
      </c>
      <c r="J13" s="48" t="s">
        <v>395</v>
      </c>
      <c r="K13" s="48">
        <v>4.5873291478800002</v>
      </c>
      <c r="M13" s="48">
        <v>6</v>
      </c>
      <c r="N13" s="48" t="s">
        <v>396</v>
      </c>
      <c r="P13" s="48" t="s">
        <v>397</v>
      </c>
      <c r="Q13" s="48" t="s">
        <v>398</v>
      </c>
      <c r="S13" s="48" t="s">
        <v>42</v>
      </c>
      <c r="T13" s="108">
        <f>'Project KPI''s'!D9</f>
        <v>90</v>
      </c>
    </row>
    <row r="14" spans="2:22" x14ac:dyDescent="0.25">
      <c r="B14" s="48" t="s">
        <v>131</v>
      </c>
      <c r="C14" s="120">
        <v>170605</v>
      </c>
      <c r="D14" s="118" t="s">
        <v>126</v>
      </c>
      <c r="E14" s="118">
        <v>0.31</v>
      </c>
      <c r="F14" s="118"/>
      <c r="G14" s="110"/>
      <c r="J14" s="48" t="s">
        <v>399</v>
      </c>
      <c r="K14" s="48">
        <v>6.11643886384</v>
      </c>
      <c r="M14" s="48">
        <v>7</v>
      </c>
      <c r="N14" s="48" t="s">
        <v>400</v>
      </c>
      <c r="P14" s="48" t="s">
        <v>401</v>
      </c>
      <c r="Q14" s="48" t="s">
        <v>402</v>
      </c>
      <c r="S14" s="48" t="s">
        <v>385</v>
      </c>
      <c r="T14" s="108" t="e">
        <f>'Project KPI''s'!E9</f>
        <v>#DIV/0!</v>
      </c>
    </row>
    <row r="15" spans="2:22" x14ac:dyDescent="0.25">
      <c r="B15" s="48" t="s">
        <v>120</v>
      </c>
      <c r="C15" s="120">
        <v>150106</v>
      </c>
      <c r="D15" s="118" t="s">
        <v>123</v>
      </c>
      <c r="E15" s="118">
        <v>0.21</v>
      </c>
      <c r="F15" s="118"/>
      <c r="G15" s="110"/>
      <c r="H15" s="110" t="s">
        <v>403</v>
      </c>
      <c r="J15" s="48" t="s">
        <v>404</v>
      </c>
      <c r="K15" s="48">
        <v>1</v>
      </c>
      <c r="M15" s="48">
        <v>8</v>
      </c>
      <c r="N15" s="48" t="s">
        <v>405</v>
      </c>
      <c r="P15" s="48" t="s">
        <v>406</v>
      </c>
      <c r="Q15" s="48" t="s">
        <v>407</v>
      </c>
      <c r="T15" s="108"/>
    </row>
    <row r="16" spans="2:22" x14ac:dyDescent="0.25">
      <c r="B16" s="48" t="s">
        <v>163</v>
      </c>
      <c r="C16" s="120">
        <v>170202</v>
      </c>
      <c r="D16" s="118" t="s">
        <v>141</v>
      </c>
      <c r="E16" s="118">
        <v>0.61</v>
      </c>
      <c r="F16" s="118"/>
      <c r="G16" s="110"/>
      <c r="H16" s="48" t="s">
        <v>408</v>
      </c>
      <c r="J16" s="48" t="s">
        <v>409</v>
      </c>
      <c r="K16" s="48">
        <v>3.05821943192</v>
      </c>
      <c r="M16" s="48">
        <v>9</v>
      </c>
      <c r="P16" s="48" t="s">
        <v>410</v>
      </c>
      <c r="Q16" s="48" t="s">
        <v>411</v>
      </c>
      <c r="S16" s="524" t="s">
        <v>412</v>
      </c>
      <c r="T16" s="523"/>
    </row>
    <row r="17" spans="2:20" x14ac:dyDescent="0.25">
      <c r="B17" s="48" t="s">
        <v>413</v>
      </c>
      <c r="C17" s="120">
        <v>170802</v>
      </c>
      <c r="D17" s="118" t="s">
        <v>123</v>
      </c>
      <c r="E17" s="118">
        <v>0.33</v>
      </c>
      <c r="F17" s="118"/>
      <c r="G17" s="110"/>
      <c r="H17" s="48" t="s">
        <v>414</v>
      </c>
      <c r="J17" s="48" t="s">
        <v>415</v>
      </c>
      <c r="K17" s="48">
        <v>3.8227742898999999</v>
      </c>
      <c r="M17" s="48">
        <v>10</v>
      </c>
      <c r="P17" s="48" t="s">
        <v>416</v>
      </c>
      <c r="Q17" s="48" t="s">
        <v>417</v>
      </c>
      <c r="S17" s="48" t="s">
        <v>418</v>
      </c>
      <c r="T17" s="48">
        <f>Reporting!J22+Reporting!N22+Reporting!T22+Reporting!J23+Reporting!N23+Reporting!T23</f>
        <v>0</v>
      </c>
    </row>
    <row r="18" spans="2:20" x14ac:dyDescent="0.25">
      <c r="B18" s="48" t="s">
        <v>171</v>
      </c>
      <c r="C18" s="120">
        <v>170604</v>
      </c>
      <c r="D18" s="118" t="s">
        <v>123</v>
      </c>
      <c r="E18" s="118">
        <v>0.25</v>
      </c>
      <c r="F18" s="118"/>
      <c r="G18" s="110"/>
      <c r="H18" s="48" t="s">
        <v>419</v>
      </c>
      <c r="J18" s="48" t="s">
        <v>420</v>
      </c>
      <c r="K18" s="48">
        <v>4.5873291478800002</v>
      </c>
      <c r="P18" s="48" t="s">
        <v>421</v>
      </c>
      <c r="Q18" s="48" t="s">
        <v>422</v>
      </c>
      <c r="S18" s="48" t="s">
        <v>423</v>
      </c>
      <c r="T18" s="48">
        <f>Reporting!J24+Reporting!N24+Reporting!T24</f>
        <v>0</v>
      </c>
    </row>
    <row r="19" spans="2:20" x14ac:dyDescent="0.25">
      <c r="B19" s="48" t="s">
        <v>179</v>
      </c>
      <c r="C19" s="120">
        <v>170407</v>
      </c>
      <c r="D19" s="118" t="s">
        <v>123</v>
      </c>
      <c r="E19" s="118">
        <v>0.42</v>
      </c>
      <c r="F19" s="118"/>
      <c r="G19" s="110"/>
      <c r="H19" s="48" t="s">
        <v>121</v>
      </c>
      <c r="J19" s="48" t="s">
        <v>424</v>
      </c>
      <c r="K19" s="48">
        <v>1.52910971596</v>
      </c>
      <c r="N19" s="114" t="s">
        <v>370</v>
      </c>
      <c r="P19" s="48" t="s">
        <v>425</v>
      </c>
      <c r="Q19" s="48" t="s">
        <v>426</v>
      </c>
      <c r="S19" s="48" t="s">
        <v>427</v>
      </c>
      <c r="T19" s="48">
        <f>Reporting!J25+Reporting!N25+Reporting!T25</f>
        <v>0</v>
      </c>
    </row>
    <row r="20" spans="2:20" x14ac:dyDescent="0.25">
      <c r="B20" s="48" t="s">
        <v>428</v>
      </c>
      <c r="C20" s="122">
        <v>150110</v>
      </c>
      <c r="D20" s="118" t="s">
        <v>126</v>
      </c>
      <c r="E20" s="118">
        <v>0.23</v>
      </c>
      <c r="F20" s="118"/>
      <c r="G20" s="110"/>
      <c r="H20" s="48" t="s">
        <v>132</v>
      </c>
      <c r="J20" s="48" t="s">
        <v>429</v>
      </c>
      <c r="K20" s="48">
        <v>15.2910971596</v>
      </c>
      <c r="M20" s="48">
        <v>1</v>
      </c>
      <c r="N20" s="48" t="s">
        <v>430</v>
      </c>
      <c r="P20" s="48" t="s">
        <v>431</v>
      </c>
      <c r="Q20" s="48" t="s">
        <v>432</v>
      </c>
      <c r="S20" s="48" t="s">
        <v>72</v>
      </c>
      <c r="T20" s="48">
        <f>Reporting!J26+Reporting!N26+Reporting!T26</f>
        <v>0</v>
      </c>
    </row>
    <row r="21" spans="2:20" x14ac:dyDescent="0.25">
      <c r="B21" s="48" t="s">
        <v>193</v>
      </c>
      <c r="C21" s="122">
        <v>150106</v>
      </c>
      <c r="D21" s="118" t="s">
        <v>123</v>
      </c>
      <c r="E21" s="118">
        <v>0.21</v>
      </c>
      <c r="F21" s="118"/>
      <c r="G21" s="110"/>
      <c r="J21" s="48" t="s">
        <v>433</v>
      </c>
      <c r="K21" s="48">
        <v>19.113871449499999</v>
      </c>
      <c r="M21" s="48">
        <v>2</v>
      </c>
      <c r="N21" s="48" t="s">
        <v>434</v>
      </c>
      <c r="P21" s="48" t="s">
        <v>435</v>
      </c>
      <c r="Q21" s="48" t="s">
        <v>436</v>
      </c>
      <c r="S21" s="48" t="s">
        <v>73</v>
      </c>
      <c r="T21" s="48">
        <f>Reporting!J27+Reporting!N27+Reporting!T27</f>
        <v>0</v>
      </c>
    </row>
    <row r="22" spans="2:20" x14ac:dyDescent="0.25">
      <c r="B22" s="48" t="s">
        <v>200</v>
      </c>
      <c r="C22" s="120">
        <v>200101</v>
      </c>
      <c r="D22" s="118" t="s">
        <v>123</v>
      </c>
      <c r="E22" s="118">
        <v>0.21</v>
      </c>
      <c r="F22" s="118"/>
      <c r="G22" s="110"/>
      <c r="H22" s="110" t="s">
        <v>437</v>
      </c>
      <c r="J22" s="48" t="s">
        <v>438</v>
      </c>
      <c r="K22" s="48">
        <v>22.936645739399999</v>
      </c>
      <c r="M22" s="48">
        <v>3</v>
      </c>
      <c r="N22" s="48" t="s">
        <v>282</v>
      </c>
      <c r="P22" s="48" t="s">
        <v>439</v>
      </c>
      <c r="Q22" s="48" t="s">
        <v>440</v>
      </c>
      <c r="S22" s="48" t="s">
        <v>441</v>
      </c>
      <c r="T22" s="48">
        <f>Reporting!J28+Reporting!N28+Reporting!T28+Reporting!J30+Reporting!N30+Reporting!T30+Reporting!J31+Reporting!N31+Reporting!T31+'Project Cumulative '!S115+'Project Cumulative '!U115+'Project Cumulative '!W115</f>
        <v>0</v>
      </c>
    </row>
    <row r="23" spans="2:20" x14ac:dyDescent="0.25">
      <c r="B23" s="48" t="s">
        <v>202</v>
      </c>
      <c r="C23" s="120">
        <v>170203</v>
      </c>
      <c r="D23" s="118" t="s">
        <v>123</v>
      </c>
      <c r="E23" s="118">
        <v>0.23</v>
      </c>
      <c r="F23" s="118"/>
      <c r="G23" s="110"/>
      <c r="H23" s="113" t="s">
        <v>442</v>
      </c>
      <c r="J23" s="48" t="s">
        <v>443</v>
      </c>
      <c r="K23" s="48">
        <v>26.759420029299999</v>
      </c>
      <c r="M23" s="48">
        <v>4</v>
      </c>
      <c r="N23" s="48" t="s">
        <v>283</v>
      </c>
      <c r="P23" s="48" t="s">
        <v>444</v>
      </c>
      <c r="Q23" s="48" t="s">
        <v>445</v>
      </c>
      <c r="S23" s="48" t="s">
        <v>446</v>
      </c>
      <c r="T23" s="48">
        <f>Reporting!J29+Reporting!N29+Reporting!T29</f>
        <v>0</v>
      </c>
    </row>
    <row r="24" spans="2:20" x14ac:dyDescent="0.25">
      <c r="B24" s="48" t="s">
        <v>447</v>
      </c>
      <c r="C24" s="120">
        <v>200301</v>
      </c>
      <c r="D24" s="118" t="s">
        <v>123</v>
      </c>
      <c r="E24" s="118">
        <v>0.21</v>
      </c>
      <c r="F24" s="118"/>
      <c r="G24" s="110"/>
      <c r="H24" s="113" t="s">
        <v>69</v>
      </c>
      <c r="J24" s="48" t="s">
        <v>448</v>
      </c>
      <c r="K24" s="48">
        <v>30.582194319199999</v>
      </c>
      <c r="M24" s="48">
        <v>5</v>
      </c>
      <c r="N24" s="48" t="s">
        <v>286</v>
      </c>
      <c r="P24" s="48" t="s">
        <v>449</v>
      </c>
      <c r="Q24" s="48" t="s">
        <v>450</v>
      </c>
    </row>
    <row r="25" spans="2:20" x14ac:dyDescent="0.25">
      <c r="B25" s="48" t="s">
        <v>127</v>
      </c>
      <c r="C25" s="120">
        <v>170504</v>
      </c>
      <c r="D25" s="118" t="s">
        <v>141</v>
      </c>
      <c r="E25" s="118">
        <v>1.25</v>
      </c>
      <c r="F25" s="118"/>
      <c r="G25" s="110"/>
      <c r="J25" s="48" t="s">
        <v>451</v>
      </c>
      <c r="K25" s="48">
        <v>34.404968609100003</v>
      </c>
      <c r="P25" s="48" t="s">
        <v>452</v>
      </c>
      <c r="Q25" s="48" t="s">
        <v>453</v>
      </c>
    </row>
    <row r="26" spans="2:20" ht="13.8" thickBot="1" x14ac:dyDescent="0.3">
      <c r="B26" s="48" t="s">
        <v>454</v>
      </c>
      <c r="C26" s="120">
        <v>170504</v>
      </c>
      <c r="D26" s="118" t="s">
        <v>141</v>
      </c>
      <c r="E26" s="118">
        <v>1.25</v>
      </c>
      <c r="F26" s="118"/>
      <c r="G26" s="110"/>
      <c r="H26" s="110" t="s">
        <v>455</v>
      </c>
      <c r="J26" s="48" t="s">
        <v>456</v>
      </c>
      <c r="K26" s="48">
        <v>7.6455485797999998</v>
      </c>
      <c r="N26" s="114" t="s">
        <v>364</v>
      </c>
      <c r="P26" s="48" t="s">
        <v>457</v>
      </c>
      <c r="Q26" s="48" t="s">
        <v>458</v>
      </c>
    </row>
    <row r="27" spans="2:20" ht="12.75" customHeight="1" x14ac:dyDescent="0.25">
      <c r="B27" s="48" t="s">
        <v>208</v>
      </c>
      <c r="C27" s="120">
        <v>170503</v>
      </c>
      <c r="D27" s="118" t="s">
        <v>126</v>
      </c>
      <c r="E27" s="118">
        <v>1.25</v>
      </c>
      <c r="F27" s="118"/>
      <c r="G27" s="110"/>
      <c r="H27" s="48" t="s">
        <v>459</v>
      </c>
      <c r="J27" s="48" t="s">
        <v>460</v>
      </c>
      <c r="K27" s="48">
        <v>9.1746582957600005</v>
      </c>
      <c r="M27" s="48">
        <v>1</v>
      </c>
      <c r="N27" s="48" t="s">
        <v>430</v>
      </c>
      <c r="P27" s="48" t="s">
        <v>461</v>
      </c>
      <c r="Q27" s="48" t="s">
        <v>462</v>
      </c>
      <c r="S27" s="991" t="s">
        <v>463</v>
      </c>
      <c r="T27" s="992"/>
    </row>
    <row r="28" spans="2:20" x14ac:dyDescent="0.25">
      <c r="B28" s="48" t="s">
        <v>222</v>
      </c>
      <c r="C28" s="120">
        <v>170504</v>
      </c>
      <c r="D28" s="118" t="s">
        <v>123</v>
      </c>
      <c r="E28" s="118">
        <v>1.25</v>
      </c>
      <c r="F28" s="118"/>
      <c r="G28" s="110"/>
      <c r="H28" s="48" t="s">
        <v>70</v>
      </c>
      <c r="J28" s="48" t="s">
        <v>464</v>
      </c>
      <c r="K28" s="48">
        <v>10.703768011719999</v>
      </c>
      <c r="M28" s="48">
        <v>2</v>
      </c>
      <c r="N28" s="48" t="s">
        <v>434</v>
      </c>
      <c r="P28" s="48" t="s">
        <v>465</v>
      </c>
      <c r="Q28" s="48" t="s">
        <v>466</v>
      </c>
      <c r="S28" s="993"/>
      <c r="T28" s="994"/>
    </row>
    <row r="29" spans="2:20" x14ac:dyDescent="0.25">
      <c r="B29" s="48" t="s">
        <v>210</v>
      </c>
      <c r="C29" s="120">
        <v>150202</v>
      </c>
      <c r="D29" s="118" t="s">
        <v>126</v>
      </c>
      <c r="E29" s="118">
        <v>0.42</v>
      </c>
      <c r="F29" s="118"/>
      <c r="G29" s="110"/>
      <c r="H29" s="48" t="s">
        <v>467</v>
      </c>
      <c r="J29" s="48" t="s">
        <v>468</v>
      </c>
      <c r="K29" s="48">
        <v>12.23287772768</v>
      </c>
      <c r="P29" s="48" t="s">
        <v>469</v>
      </c>
      <c r="Q29" s="48" t="s">
        <v>470</v>
      </c>
      <c r="S29" s="993"/>
      <c r="T29" s="994"/>
    </row>
    <row r="30" spans="2:20" x14ac:dyDescent="0.25">
      <c r="B30" s="48" t="s">
        <v>73</v>
      </c>
      <c r="C30" s="120">
        <v>170201</v>
      </c>
      <c r="D30" s="118" t="s">
        <v>123</v>
      </c>
      <c r="E30" s="118">
        <v>0.34</v>
      </c>
      <c r="F30" s="118"/>
      <c r="G30" s="110"/>
      <c r="H30" s="48" t="s">
        <v>471</v>
      </c>
      <c r="J30" s="48" t="s">
        <v>472</v>
      </c>
      <c r="K30" s="48">
        <v>13.761987443640001</v>
      </c>
      <c r="N30" s="114" t="s">
        <v>473</v>
      </c>
      <c r="S30" s="993"/>
      <c r="T30" s="994"/>
    </row>
    <row r="31" spans="2:20" x14ac:dyDescent="0.25">
      <c r="C31" s="120"/>
      <c r="D31" s="118"/>
      <c r="E31" s="118"/>
      <c r="F31" s="118"/>
      <c r="G31" s="110"/>
      <c r="H31" s="48" t="s">
        <v>72</v>
      </c>
      <c r="J31" s="48" t="s">
        <v>474</v>
      </c>
      <c r="K31" s="48">
        <v>15.2910971596</v>
      </c>
      <c r="M31" s="48">
        <v>1</v>
      </c>
      <c r="N31" s="48" t="s">
        <v>430</v>
      </c>
      <c r="P31" s="48" t="s">
        <v>475</v>
      </c>
      <c r="Q31" s="48" t="s">
        <v>476</v>
      </c>
      <c r="S31" s="993"/>
      <c r="T31" s="994"/>
    </row>
    <row r="32" spans="2:20" x14ac:dyDescent="0.25">
      <c r="B32" s="48" t="s">
        <v>224</v>
      </c>
      <c r="C32" s="120">
        <v>60102</v>
      </c>
      <c r="D32" s="118" t="s">
        <v>126</v>
      </c>
      <c r="E32" s="118">
        <v>0.9</v>
      </c>
      <c r="F32" s="118"/>
      <c r="G32" s="110"/>
      <c r="H32" s="48" t="s">
        <v>73</v>
      </c>
      <c r="J32" s="48" t="s">
        <v>477</v>
      </c>
      <c r="K32" s="48">
        <v>4.5873291478800002</v>
      </c>
      <c r="M32" s="48">
        <v>2</v>
      </c>
      <c r="N32" s="48" t="s">
        <v>434</v>
      </c>
      <c r="P32" s="48" t="s">
        <v>478</v>
      </c>
      <c r="Q32" s="48" t="s">
        <v>479</v>
      </c>
      <c r="S32" s="993"/>
      <c r="T32" s="994"/>
    </row>
    <row r="33" spans="2:20" x14ac:dyDescent="0.25">
      <c r="B33" s="48" t="s">
        <v>225</v>
      </c>
      <c r="C33" s="120">
        <v>60106</v>
      </c>
      <c r="D33" s="118" t="s">
        <v>126</v>
      </c>
      <c r="E33" s="118">
        <v>0.9</v>
      </c>
      <c r="F33" s="118"/>
      <c r="G33" s="110"/>
      <c r="H33" s="48" t="s">
        <v>74</v>
      </c>
      <c r="J33" s="48" t="s">
        <v>480</v>
      </c>
      <c r="K33" s="48">
        <v>6.11643886384</v>
      </c>
      <c r="M33" s="48">
        <v>3</v>
      </c>
      <c r="N33" s="48" t="s">
        <v>282</v>
      </c>
      <c r="P33" s="48" t="s">
        <v>481</v>
      </c>
      <c r="Q33" s="48" t="s">
        <v>482</v>
      </c>
      <c r="S33" s="993"/>
      <c r="T33" s="994"/>
    </row>
    <row r="34" spans="2:20" x14ac:dyDescent="0.25">
      <c r="B34" s="48" t="s">
        <v>226</v>
      </c>
      <c r="C34" s="120">
        <v>60101</v>
      </c>
      <c r="D34" s="118" t="s">
        <v>126</v>
      </c>
      <c r="E34" s="118">
        <v>0.9</v>
      </c>
      <c r="F34" s="118"/>
      <c r="H34" s="48" t="s">
        <v>483</v>
      </c>
      <c r="J34" s="48" t="s">
        <v>484</v>
      </c>
      <c r="K34" s="48">
        <v>7.6455485797999998</v>
      </c>
      <c r="M34" s="48">
        <v>4</v>
      </c>
      <c r="N34" s="48" t="s">
        <v>283</v>
      </c>
      <c r="P34" s="48" t="s">
        <v>485</v>
      </c>
      <c r="Q34" s="48" t="s">
        <v>486</v>
      </c>
      <c r="S34" s="993"/>
      <c r="T34" s="994"/>
    </row>
    <row r="35" spans="2:20" x14ac:dyDescent="0.25">
      <c r="B35" s="48" t="s">
        <v>487</v>
      </c>
      <c r="C35" s="120">
        <v>80410</v>
      </c>
      <c r="D35" s="118" t="s">
        <v>123</v>
      </c>
      <c r="E35" s="118">
        <v>0.93</v>
      </c>
      <c r="F35" s="118"/>
      <c r="H35" s="48" t="s">
        <v>488</v>
      </c>
      <c r="J35" s="48" t="s">
        <v>489</v>
      </c>
      <c r="K35" s="48">
        <v>9.1746582957600005</v>
      </c>
      <c r="M35" s="48">
        <v>5</v>
      </c>
      <c r="N35" s="48" t="s">
        <v>286</v>
      </c>
      <c r="P35" s="48" t="s">
        <v>490</v>
      </c>
      <c r="Q35" s="48" t="s">
        <v>491</v>
      </c>
      <c r="S35" s="993"/>
      <c r="T35" s="994"/>
    </row>
    <row r="36" spans="2:20" x14ac:dyDescent="0.25">
      <c r="B36" s="48" t="s">
        <v>125</v>
      </c>
      <c r="C36" s="120">
        <v>80409</v>
      </c>
      <c r="D36" s="118" t="s">
        <v>126</v>
      </c>
      <c r="E36" s="118">
        <v>0.93</v>
      </c>
      <c r="F36" s="118"/>
      <c r="H36" s="48" t="s">
        <v>163</v>
      </c>
      <c r="J36" s="48" t="s">
        <v>492</v>
      </c>
      <c r="K36" s="48">
        <v>10.703768011719999</v>
      </c>
      <c r="N36" s="113"/>
      <c r="P36" s="48" t="s">
        <v>493</v>
      </c>
      <c r="Q36" s="48" t="s">
        <v>494</v>
      </c>
      <c r="S36" s="993"/>
      <c r="T36" s="994"/>
    </row>
    <row r="37" spans="2:20" x14ac:dyDescent="0.25">
      <c r="B37" s="48" t="s">
        <v>128</v>
      </c>
      <c r="C37" s="120">
        <v>80411</v>
      </c>
      <c r="D37" s="118" t="s">
        <v>126</v>
      </c>
      <c r="E37" s="118">
        <v>0.9</v>
      </c>
      <c r="F37" s="118"/>
      <c r="H37" s="48" t="s">
        <v>495</v>
      </c>
      <c r="J37" s="48" t="s">
        <v>496</v>
      </c>
      <c r="K37" s="48">
        <v>12.23287772768</v>
      </c>
      <c r="P37" s="48" t="s">
        <v>497</v>
      </c>
      <c r="Q37" s="48" t="s">
        <v>498</v>
      </c>
      <c r="S37" s="993"/>
      <c r="T37" s="994"/>
    </row>
    <row r="38" spans="2:20" x14ac:dyDescent="0.25">
      <c r="B38" s="48" t="s">
        <v>227</v>
      </c>
      <c r="C38" s="120">
        <v>60201</v>
      </c>
      <c r="D38" s="118" t="s">
        <v>126</v>
      </c>
      <c r="E38" s="118">
        <v>0.9</v>
      </c>
      <c r="F38" s="118"/>
      <c r="H38" s="48" t="s">
        <v>499</v>
      </c>
      <c r="J38" s="48" t="s">
        <v>500</v>
      </c>
      <c r="K38" s="48">
        <v>15.2910971596</v>
      </c>
      <c r="N38" s="48" t="s">
        <v>501</v>
      </c>
      <c r="P38" s="48" t="s">
        <v>502</v>
      </c>
      <c r="Q38" s="48" t="s">
        <v>503</v>
      </c>
      <c r="S38" s="993"/>
      <c r="T38" s="994"/>
    </row>
    <row r="39" spans="2:20" x14ac:dyDescent="0.25">
      <c r="B39" s="48" t="s">
        <v>228</v>
      </c>
      <c r="C39" s="120">
        <v>60205</v>
      </c>
      <c r="D39" s="118" t="s">
        <v>126</v>
      </c>
      <c r="E39" s="118">
        <v>0.9</v>
      </c>
      <c r="F39" s="118"/>
      <c r="H39" s="48" t="s">
        <v>76</v>
      </c>
      <c r="J39" s="48" t="s">
        <v>504</v>
      </c>
      <c r="K39" s="48">
        <v>6.11643886384</v>
      </c>
      <c r="P39" s="48" t="s">
        <v>505</v>
      </c>
      <c r="Q39" s="48" t="s">
        <v>506</v>
      </c>
      <c r="S39" s="993"/>
      <c r="T39" s="994"/>
    </row>
    <row r="40" spans="2:20" x14ac:dyDescent="0.25">
      <c r="B40" s="48" t="s">
        <v>134</v>
      </c>
      <c r="C40" s="120">
        <v>160604</v>
      </c>
      <c r="D40" s="118" t="s">
        <v>123</v>
      </c>
      <c r="E40" s="118">
        <v>1.35</v>
      </c>
      <c r="F40" s="118"/>
      <c r="J40" s="48" t="s">
        <v>507</v>
      </c>
      <c r="K40" s="48">
        <v>1.1000000000000001</v>
      </c>
      <c r="P40" s="48" t="s">
        <v>508</v>
      </c>
      <c r="Q40" s="48" t="s">
        <v>509</v>
      </c>
      <c r="S40" s="993"/>
      <c r="T40" s="994"/>
    </row>
    <row r="41" spans="2:20" x14ac:dyDescent="0.25">
      <c r="B41" s="48" t="s">
        <v>135</v>
      </c>
      <c r="C41" s="120">
        <v>160603</v>
      </c>
      <c r="D41" s="118" t="s">
        <v>126</v>
      </c>
      <c r="E41" s="118">
        <v>1.35</v>
      </c>
      <c r="F41" s="118"/>
      <c r="H41" s="110" t="s">
        <v>510</v>
      </c>
      <c r="J41" s="48" t="s">
        <v>511</v>
      </c>
      <c r="K41" s="48">
        <v>0.66</v>
      </c>
      <c r="P41" s="48" t="s">
        <v>512</v>
      </c>
      <c r="Q41" s="48" t="s">
        <v>513</v>
      </c>
      <c r="S41" s="993"/>
      <c r="T41" s="994"/>
    </row>
    <row r="42" spans="2:20" x14ac:dyDescent="0.25">
      <c r="B42" s="48" t="s">
        <v>136</v>
      </c>
      <c r="C42" s="120">
        <v>160602</v>
      </c>
      <c r="D42" s="118" t="s">
        <v>126</v>
      </c>
      <c r="E42" s="118">
        <v>1.35</v>
      </c>
      <c r="F42" s="118"/>
      <c r="H42" s="48" t="s">
        <v>514</v>
      </c>
      <c r="J42" s="48" t="s">
        <v>515</v>
      </c>
      <c r="K42" s="48">
        <v>0.12</v>
      </c>
      <c r="P42" s="48" t="s">
        <v>516</v>
      </c>
      <c r="Q42" s="48" t="s">
        <v>517</v>
      </c>
      <c r="S42" s="993"/>
      <c r="T42" s="994"/>
    </row>
    <row r="43" spans="2:20" x14ac:dyDescent="0.25">
      <c r="B43" s="48" t="s">
        <v>137</v>
      </c>
      <c r="C43" s="120">
        <v>160601</v>
      </c>
      <c r="D43" s="118" t="s">
        <v>126</v>
      </c>
      <c r="E43" s="118">
        <v>1.35</v>
      </c>
      <c r="F43" s="118"/>
      <c r="H43" s="48" t="s">
        <v>518</v>
      </c>
      <c r="J43" s="48" t="s">
        <v>519</v>
      </c>
      <c r="K43" s="48">
        <v>0.24</v>
      </c>
      <c r="P43" s="48" t="s">
        <v>520</v>
      </c>
      <c r="Q43" s="48" t="s">
        <v>521</v>
      </c>
      <c r="S43" s="993"/>
      <c r="T43" s="994"/>
    </row>
    <row r="44" spans="2:20" x14ac:dyDescent="0.25">
      <c r="B44" s="48" t="s">
        <v>138</v>
      </c>
      <c r="C44" s="120">
        <v>130802</v>
      </c>
      <c r="D44" s="118" t="s">
        <v>126</v>
      </c>
      <c r="E44" s="118">
        <v>0.84</v>
      </c>
      <c r="F44" s="118"/>
      <c r="H44" s="48" t="s">
        <v>522</v>
      </c>
      <c r="J44" s="48" t="s">
        <v>523</v>
      </c>
      <c r="K44" s="48">
        <v>0.36</v>
      </c>
      <c r="P44" s="48" t="s">
        <v>524</v>
      </c>
      <c r="Q44" s="48" t="s">
        <v>525</v>
      </c>
      <c r="S44" s="993"/>
      <c r="T44" s="994"/>
    </row>
    <row r="45" spans="2:20" x14ac:dyDescent="0.25">
      <c r="B45" s="48" t="s">
        <v>142</v>
      </c>
      <c r="C45" s="120">
        <v>170411</v>
      </c>
      <c r="D45" s="118" t="s">
        <v>123</v>
      </c>
      <c r="E45" s="118">
        <v>0.25</v>
      </c>
      <c r="F45" s="118"/>
      <c r="H45" s="48" t="s">
        <v>526</v>
      </c>
      <c r="P45" s="48" t="s">
        <v>527</v>
      </c>
      <c r="Q45" s="48" t="s">
        <v>528</v>
      </c>
      <c r="S45" s="993"/>
      <c r="T45" s="994"/>
    </row>
    <row r="46" spans="2:20" ht="13.8" thickBot="1" x14ac:dyDescent="0.3">
      <c r="B46" s="48" t="s">
        <v>143</v>
      </c>
      <c r="C46" s="120">
        <v>170410</v>
      </c>
      <c r="D46" s="118" t="s">
        <v>126</v>
      </c>
      <c r="E46" s="118">
        <v>0.25</v>
      </c>
      <c r="F46" s="118"/>
      <c r="H46" s="48" t="s">
        <v>529</v>
      </c>
      <c r="P46" s="48" t="s">
        <v>530</v>
      </c>
      <c r="Q46" s="48" t="s">
        <v>531</v>
      </c>
      <c r="S46" s="995"/>
      <c r="T46" s="996"/>
    </row>
    <row r="47" spans="2:20" x14ac:dyDescent="0.25">
      <c r="B47" s="48" t="s">
        <v>144</v>
      </c>
      <c r="C47" s="120">
        <v>170303</v>
      </c>
      <c r="D47" s="118" t="s">
        <v>126</v>
      </c>
      <c r="E47" s="118">
        <v>1.95</v>
      </c>
      <c r="F47" s="118"/>
      <c r="H47" s="48" t="s">
        <v>532</v>
      </c>
    </row>
    <row r="48" spans="2:20" x14ac:dyDescent="0.25">
      <c r="B48" s="112" t="s">
        <v>533</v>
      </c>
      <c r="C48" s="120">
        <v>170106</v>
      </c>
      <c r="D48" s="118" t="s">
        <v>126</v>
      </c>
      <c r="E48" s="118">
        <v>1.17</v>
      </c>
      <c r="F48" s="118" t="s">
        <v>534</v>
      </c>
    </row>
    <row r="49" spans="2:8" x14ac:dyDescent="0.25">
      <c r="B49" s="112" t="s">
        <v>535</v>
      </c>
      <c r="C49" s="120">
        <v>170903</v>
      </c>
      <c r="D49" s="118" t="s">
        <v>126</v>
      </c>
      <c r="E49" s="118">
        <v>0.27</v>
      </c>
      <c r="F49" s="118" t="s">
        <v>534</v>
      </c>
      <c r="H49" s="114" t="s">
        <v>536</v>
      </c>
    </row>
    <row r="50" spans="2:8" x14ac:dyDescent="0.25">
      <c r="B50" s="48" t="s">
        <v>149</v>
      </c>
      <c r="C50" s="120">
        <v>170901</v>
      </c>
      <c r="D50" s="118" t="s">
        <v>126</v>
      </c>
      <c r="E50" s="118">
        <v>0.87</v>
      </c>
      <c r="F50" s="118"/>
      <c r="H50" s="48" t="s">
        <v>537</v>
      </c>
    </row>
    <row r="51" spans="2:8" x14ac:dyDescent="0.25">
      <c r="B51" s="48" t="s">
        <v>150</v>
      </c>
      <c r="C51" s="120">
        <v>170902</v>
      </c>
      <c r="D51" s="118" t="s">
        <v>126</v>
      </c>
      <c r="E51" s="118">
        <v>0.87</v>
      </c>
      <c r="F51" s="118"/>
      <c r="H51" s="48" t="s">
        <v>538</v>
      </c>
    </row>
    <row r="52" spans="2:8" x14ac:dyDescent="0.25">
      <c r="B52" s="112" t="s">
        <v>539</v>
      </c>
      <c r="C52" s="120">
        <v>170801</v>
      </c>
      <c r="D52" s="118" t="s">
        <v>126</v>
      </c>
      <c r="E52" s="118">
        <v>0.33</v>
      </c>
      <c r="F52" s="118" t="s">
        <v>534</v>
      </c>
      <c r="H52" s="48" t="s">
        <v>540</v>
      </c>
    </row>
    <row r="53" spans="2:8" x14ac:dyDescent="0.25">
      <c r="B53" s="48" t="s">
        <v>541</v>
      </c>
      <c r="C53" s="120">
        <v>170506</v>
      </c>
      <c r="D53" s="118" t="s">
        <v>123</v>
      </c>
      <c r="E53" s="118">
        <v>0.51</v>
      </c>
      <c r="F53" s="118"/>
      <c r="H53" s="48" t="s">
        <v>132</v>
      </c>
    </row>
    <row r="54" spans="2:8" x14ac:dyDescent="0.25">
      <c r="B54" s="48" t="s">
        <v>152</v>
      </c>
      <c r="C54" s="120">
        <v>170505</v>
      </c>
      <c r="D54" s="118" t="s">
        <v>126</v>
      </c>
      <c r="E54" s="118">
        <v>0.51</v>
      </c>
      <c r="F54" s="118"/>
      <c r="H54" s="48" t="s">
        <v>542</v>
      </c>
    </row>
    <row r="55" spans="2:8" x14ac:dyDescent="0.25">
      <c r="B55" s="48" t="s">
        <v>543</v>
      </c>
      <c r="C55" s="120">
        <v>10506</v>
      </c>
      <c r="D55" s="118" t="s">
        <v>544</v>
      </c>
      <c r="E55" s="118">
        <v>0.51</v>
      </c>
      <c r="F55" s="118"/>
      <c r="H55" s="48" t="s">
        <v>545</v>
      </c>
    </row>
    <row r="56" spans="2:8" x14ac:dyDescent="0.25">
      <c r="B56" s="48" t="s">
        <v>546</v>
      </c>
      <c r="C56" s="120">
        <v>160214</v>
      </c>
      <c r="D56" s="118" t="s">
        <v>123</v>
      </c>
      <c r="E56" s="118">
        <v>0.26</v>
      </c>
      <c r="F56" s="118"/>
      <c r="H56" s="48" t="s">
        <v>547</v>
      </c>
    </row>
    <row r="57" spans="2:8" x14ac:dyDescent="0.25">
      <c r="B57" s="48" t="s">
        <v>154</v>
      </c>
      <c r="C57" s="120">
        <v>160211</v>
      </c>
      <c r="D57" s="118" t="s">
        <v>126</v>
      </c>
      <c r="E57" s="118">
        <v>0.3</v>
      </c>
      <c r="F57" s="118"/>
    </row>
    <row r="58" spans="2:8" x14ac:dyDescent="0.25">
      <c r="B58" s="48" t="s">
        <v>155</v>
      </c>
      <c r="C58" s="120">
        <v>160213</v>
      </c>
      <c r="D58" s="118" t="s">
        <v>126</v>
      </c>
      <c r="E58" s="118">
        <v>0.26</v>
      </c>
      <c r="F58" s="118"/>
      <c r="H58" s="114" t="s">
        <v>548</v>
      </c>
    </row>
    <row r="59" spans="2:8" x14ac:dyDescent="0.25">
      <c r="B59" s="48" t="s">
        <v>156</v>
      </c>
      <c r="C59" s="120">
        <v>160210</v>
      </c>
      <c r="D59" s="118" t="s">
        <v>126</v>
      </c>
      <c r="E59" s="118">
        <v>0.3</v>
      </c>
      <c r="F59" s="118"/>
      <c r="H59" s="48" t="s">
        <v>549</v>
      </c>
    </row>
    <row r="60" spans="2:8" x14ac:dyDescent="0.25">
      <c r="B60" s="48" t="s">
        <v>158</v>
      </c>
      <c r="C60" s="120">
        <v>200121</v>
      </c>
      <c r="D60" s="118" t="s">
        <v>126</v>
      </c>
      <c r="E60" s="118">
        <v>0.19</v>
      </c>
      <c r="F60" s="118"/>
      <c r="H60" s="48" t="s">
        <v>24</v>
      </c>
    </row>
    <row r="61" spans="2:8" x14ac:dyDescent="0.25">
      <c r="B61" s="48" t="s">
        <v>550</v>
      </c>
      <c r="C61" s="120">
        <v>10504</v>
      </c>
      <c r="D61" s="118" t="s">
        <v>123</v>
      </c>
      <c r="E61" s="118">
        <v>0.92</v>
      </c>
      <c r="F61" s="118"/>
    </row>
    <row r="62" spans="2:8" x14ac:dyDescent="0.25">
      <c r="B62" s="48" t="s">
        <v>159</v>
      </c>
      <c r="C62" s="120">
        <v>200123</v>
      </c>
      <c r="D62" s="118" t="s">
        <v>126</v>
      </c>
      <c r="E62" s="118">
        <v>0.3</v>
      </c>
      <c r="F62" s="118"/>
    </row>
    <row r="63" spans="2:8" x14ac:dyDescent="0.25">
      <c r="B63" s="48" t="s">
        <v>160</v>
      </c>
      <c r="C63" s="120">
        <v>130703</v>
      </c>
      <c r="D63" s="118" t="s">
        <v>126</v>
      </c>
      <c r="E63" s="118">
        <v>0.72</v>
      </c>
      <c r="F63" s="118"/>
    </row>
    <row r="64" spans="2:8" x14ac:dyDescent="0.25">
      <c r="B64" s="48" t="s">
        <v>161</v>
      </c>
      <c r="C64" s="120">
        <v>130702</v>
      </c>
      <c r="D64" s="118" t="s">
        <v>126</v>
      </c>
      <c r="E64" s="118">
        <v>0.72</v>
      </c>
      <c r="F64" s="118"/>
    </row>
    <row r="65" spans="2:6" x14ac:dyDescent="0.25">
      <c r="B65" s="48" t="s">
        <v>162</v>
      </c>
      <c r="C65" s="120">
        <v>130701</v>
      </c>
      <c r="D65" s="118" t="s">
        <v>126</v>
      </c>
      <c r="E65" s="118">
        <v>0.9</v>
      </c>
      <c r="F65" s="118"/>
    </row>
    <row r="66" spans="2:6" x14ac:dyDescent="0.25">
      <c r="B66" s="48" t="s">
        <v>221</v>
      </c>
      <c r="C66" s="120">
        <v>200203</v>
      </c>
      <c r="D66" s="118" t="s">
        <v>123</v>
      </c>
      <c r="E66" s="118">
        <v>0.22</v>
      </c>
      <c r="F66" s="118"/>
    </row>
    <row r="67" spans="2:6" x14ac:dyDescent="0.25">
      <c r="B67" s="48" t="s">
        <v>551</v>
      </c>
      <c r="C67" s="120">
        <v>170204</v>
      </c>
      <c r="D67" s="118" t="s">
        <v>126</v>
      </c>
      <c r="E67" s="118">
        <v>0.28999999999999998</v>
      </c>
      <c r="F67" s="118"/>
    </row>
    <row r="68" spans="2:6" x14ac:dyDescent="0.25">
      <c r="B68" s="48" t="s">
        <v>552</v>
      </c>
      <c r="C68" s="120">
        <v>120117</v>
      </c>
      <c r="D68" s="118" t="s">
        <v>123</v>
      </c>
      <c r="E68" s="118">
        <v>0.97</v>
      </c>
      <c r="F68" s="118"/>
    </row>
    <row r="69" spans="2:6" x14ac:dyDescent="0.25">
      <c r="B69" s="48" t="s">
        <v>553</v>
      </c>
      <c r="C69" s="120">
        <v>120116</v>
      </c>
      <c r="D69" s="118" t="s">
        <v>126</v>
      </c>
      <c r="E69" s="118">
        <v>0.68</v>
      </c>
      <c r="F69" s="118"/>
    </row>
    <row r="70" spans="2:6" x14ac:dyDescent="0.25">
      <c r="B70" s="48" t="s">
        <v>167</v>
      </c>
      <c r="C70" s="120">
        <v>130508</v>
      </c>
      <c r="D70" s="118" t="s">
        <v>126</v>
      </c>
      <c r="E70" s="118">
        <v>0.9</v>
      </c>
      <c r="F70" s="118"/>
    </row>
    <row r="71" spans="2:6" x14ac:dyDescent="0.25">
      <c r="B71" s="111" t="s">
        <v>554</v>
      </c>
      <c r="C71" s="123">
        <v>101014</v>
      </c>
      <c r="D71" s="124" t="s">
        <v>126</v>
      </c>
      <c r="E71" s="124">
        <v>1.25</v>
      </c>
      <c r="F71" s="118" t="s">
        <v>555</v>
      </c>
    </row>
    <row r="72" spans="2:6" x14ac:dyDescent="0.25">
      <c r="B72" s="111" t="s">
        <v>556</v>
      </c>
      <c r="C72" s="123">
        <v>101013</v>
      </c>
      <c r="D72" s="124" t="s">
        <v>123</v>
      </c>
      <c r="E72" s="124">
        <v>1.25</v>
      </c>
      <c r="F72" s="118" t="s">
        <v>555</v>
      </c>
    </row>
    <row r="73" spans="2:6" x14ac:dyDescent="0.25">
      <c r="B73" s="48" t="s">
        <v>172</v>
      </c>
      <c r="C73" s="120">
        <v>170603</v>
      </c>
      <c r="D73" s="118" t="s">
        <v>126</v>
      </c>
      <c r="E73" s="118">
        <v>0.2</v>
      </c>
      <c r="F73" s="118"/>
    </row>
    <row r="74" spans="2:6" x14ac:dyDescent="0.25">
      <c r="B74" s="112" t="s">
        <v>173</v>
      </c>
      <c r="C74" s="120">
        <v>170601</v>
      </c>
      <c r="D74" s="118" t="s">
        <v>126</v>
      </c>
      <c r="E74" s="118">
        <v>0.28000000000000003</v>
      </c>
      <c r="F74" s="118" t="s">
        <v>534</v>
      </c>
    </row>
    <row r="75" spans="2:6" x14ac:dyDescent="0.25">
      <c r="B75" s="48" t="s">
        <v>557</v>
      </c>
      <c r="C75" s="122">
        <v>130503</v>
      </c>
      <c r="D75" s="118" t="s">
        <v>123</v>
      </c>
      <c r="E75" s="118">
        <v>0.9</v>
      </c>
      <c r="F75" s="118"/>
    </row>
    <row r="76" spans="2:6" x14ac:dyDescent="0.25">
      <c r="B76" s="48" t="s">
        <v>175</v>
      </c>
      <c r="C76" s="120">
        <v>170402</v>
      </c>
      <c r="D76" s="118" t="s">
        <v>123</v>
      </c>
      <c r="E76" s="118">
        <v>0.9</v>
      </c>
      <c r="F76" s="118"/>
    </row>
    <row r="77" spans="2:6" x14ac:dyDescent="0.25">
      <c r="B77" s="48" t="s">
        <v>176</v>
      </c>
      <c r="C77" s="120">
        <v>170401</v>
      </c>
      <c r="D77" s="118" t="s">
        <v>123</v>
      </c>
      <c r="E77" s="118">
        <v>0.9</v>
      </c>
      <c r="F77" s="118"/>
    </row>
    <row r="78" spans="2:6" x14ac:dyDescent="0.25">
      <c r="B78" s="48" t="s">
        <v>177</v>
      </c>
      <c r="C78" s="120">
        <v>170405</v>
      </c>
      <c r="D78" s="118" t="s">
        <v>123</v>
      </c>
      <c r="E78" s="118">
        <v>0.41</v>
      </c>
      <c r="F78" s="118"/>
    </row>
    <row r="79" spans="2:6" x14ac:dyDescent="0.25">
      <c r="B79" s="48" t="s">
        <v>178</v>
      </c>
      <c r="C79" s="122">
        <v>170403</v>
      </c>
      <c r="D79" s="118" t="s">
        <v>123</v>
      </c>
      <c r="E79" s="118">
        <v>0.91</v>
      </c>
      <c r="F79" s="118"/>
    </row>
    <row r="80" spans="2:6" x14ac:dyDescent="0.25">
      <c r="B80" s="48" t="s">
        <v>558</v>
      </c>
      <c r="C80" s="120">
        <v>170409</v>
      </c>
      <c r="D80" s="118" t="s">
        <v>126</v>
      </c>
      <c r="E80" s="118">
        <v>0.46</v>
      </c>
      <c r="F80" s="118"/>
    </row>
    <row r="81" spans="2:6" x14ac:dyDescent="0.25">
      <c r="B81" s="48" t="s">
        <v>181</v>
      </c>
      <c r="C81" s="120">
        <v>170406</v>
      </c>
      <c r="D81" s="118" t="s">
        <v>123</v>
      </c>
      <c r="E81" s="118">
        <v>0.9</v>
      </c>
      <c r="F81" s="118"/>
    </row>
    <row r="82" spans="2:6" x14ac:dyDescent="0.25">
      <c r="B82" s="48" t="s">
        <v>182</v>
      </c>
      <c r="C82" s="120">
        <v>170404</v>
      </c>
      <c r="D82" s="118" t="s">
        <v>123</v>
      </c>
      <c r="E82" s="118">
        <v>0.9</v>
      </c>
      <c r="F82" s="118"/>
    </row>
    <row r="83" spans="2:6" x14ac:dyDescent="0.25">
      <c r="B83" s="48" t="s">
        <v>559</v>
      </c>
      <c r="C83" s="120">
        <v>10505</v>
      </c>
      <c r="D83" s="118" t="s">
        <v>560</v>
      </c>
      <c r="E83" s="118">
        <v>0.9</v>
      </c>
      <c r="F83" s="118"/>
    </row>
    <row r="84" spans="2:6" x14ac:dyDescent="0.25">
      <c r="B84" s="48" t="s">
        <v>561</v>
      </c>
      <c r="C84" s="120">
        <v>130205</v>
      </c>
      <c r="D84" s="118" t="s">
        <v>126</v>
      </c>
      <c r="E84" s="118">
        <v>0.9</v>
      </c>
      <c r="F84" s="118"/>
    </row>
    <row r="85" spans="2:6" x14ac:dyDescent="0.25">
      <c r="B85" s="48" t="s">
        <v>562</v>
      </c>
      <c r="C85" s="120">
        <v>130205</v>
      </c>
      <c r="D85" s="118" t="s">
        <v>126</v>
      </c>
      <c r="E85" s="118">
        <v>0.9</v>
      </c>
      <c r="F85" s="118"/>
    </row>
    <row r="86" spans="2:6" x14ac:dyDescent="0.25">
      <c r="B86" s="48" t="s">
        <v>184</v>
      </c>
      <c r="C86" s="120">
        <v>130112</v>
      </c>
      <c r="D86" s="118" t="s">
        <v>126</v>
      </c>
      <c r="E86" s="118">
        <v>0.9</v>
      </c>
      <c r="F86" s="118"/>
    </row>
    <row r="87" spans="2:6" x14ac:dyDescent="0.25">
      <c r="B87" s="48" t="s">
        <v>185</v>
      </c>
      <c r="C87" s="120">
        <v>130111</v>
      </c>
      <c r="D87" s="118" t="s">
        <v>126</v>
      </c>
      <c r="E87" s="118">
        <v>0.9</v>
      </c>
      <c r="F87" s="118"/>
    </row>
    <row r="88" spans="2:6" x14ac:dyDescent="0.25">
      <c r="B88" s="48" t="s">
        <v>563</v>
      </c>
      <c r="C88" s="120">
        <v>130205</v>
      </c>
      <c r="D88" s="118" t="s">
        <v>126</v>
      </c>
      <c r="E88" s="118">
        <v>0.9</v>
      </c>
      <c r="F88" s="118"/>
    </row>
    <row r="89" spans="2:6" x14ac:dyDescent="0.25">
      <c r="B89" s="48" t="s">
        <v>186</v>
      </c>
      <c r="C89" s="120">
        <v>130207</v>
      </c>
      <c r="D89" s="118" t="s">
        <v>126</v>
      </c>
      <c r="E89" s="118">
        <v>0.9</v>
      </c>
      <c r="F89" s="118"/>
    </row>
    <row r="90" spans="2:6" x14ac:dyDescent="0.25">
      <c r="B90" s="48" t="s">
        <v>187</v>
      </c>
      <c r="C90" s="120">
        <v>130206</v>
      </c>
      <c r="D90" s="118" t="s">
        <v>126</v>
      </c>
      <c r="E90" s="118">
        <v>0.9</v>
      </c>
      <c r="F90" s="118"/>
    </row>
    <row r="91" spans="2:6" x14ac:dyDescent="0.25">
      <c r="B91" s="48" t="s">
        <v>188</v>
      </c>
      <c r="C91" s="120">
        <v>160107</v>
      </c>
      <c r="D91" s="118" t="s">
        <v>126</v>
      </c>
      <c r="E91" s="118">
        <v>0.19</v>
      </c>
      <c r="F91" s="118"/>
    </row>
    <row r="92" spans="2:6" x14ac:dyDescent="0.25">
      <c r="B92" s="48" t="s">
        <v>189</v>
      </c>
      <c r="C92" s="120">
        <v>130506</v>
      </c>
      <c r="D92" s="118" t="s">
        <v>126</v>
      </c>
      <c r="E92" s="118">
        <v>0.9</v>
      </c>
      <c r="F92" s="118"/>
    </row>
    <row r="93" spans="2:6" x14ac:dyDescent="0.25">
      <c r="B93" s="48" t="s">
        <v>190</v>
      </c>
      <c r="C93" s="120">
        <v>130507</v>
      </c>
      <c r="D93" s="118" t="s">
        <v>126</v>
      </c>
      <c r="E93" s="118">
        <v>0.9</v>
      </c>
      <c r="F93" s="118"/>
    </row>
    <row r="94" spans="2:6" x14ac:dyDescent="0.25">
      <c r="B94" s="48" t="s">
        <v>564</v>
      </c>
      <c r="C94" s="120">
        <v>150101</v>
      </c>
      <c r="D94" s="118" t="s">
        <v>123</v>
      </c>
      <c r="E94" s="118">
        <v>0.2</v>
      </c>
      <c r="F94" s="118"/>
    </row>
    <row r="95" spans="2:6" x14ac:dyDescent="0.25">
      <c r="B95" s="48" t="s">
        <v>191</v>
      </c>
      <c r="C95" s="122">
        <v>150107</v>
      </c>
      <c r="D95" s="118" t="s">
        <v>141</v>
      </c>
      <c r="E95" s="118">
        <v>0.33</v>
      </c>
      <c r="F95" s="118"/>
    </row>
    <row r="96" spans="2:6" x14ac:dyDescent="0.25">
      <c r="B96" s="48" t="s">
        <v>192</v>
      </c>
      <c r="C96" s="122">
        <v>150104</v>
      </c>
      <c r="D96" s="118" t="s">
        <v>123</v>
      </c>
      <c r="E96" s="118">
        <v>0.22</v>
      </c>
      <c r="F96" s="118"/>
    </row>
    <row r="97" spans="2:6" x14ac:dyDescent="0.25">
      <c r="B97" s="48" t="s">
        <v>565</v>
      </c>
      <c r="C97" s="120">
        <v>150101</v>
      </c>
      <c r="D97" s="118" t="s">
        <v>123</v>
      </c>
      <c r="E97" s="118">
        <v>0.2</v>
      </c>
      <c r="F97" s="118"/>
    </row>
    <row r="98" spans="2:6" x14ac:dyDescent="0.25">
      <c r="B98" s="48" t="s">
        <v>194</v>
      </c>
      <c r="C98" s="122">
        <v>150102</v>
      </c>
      <c r="D98" s="118" t="s">
        <v>123</v>
      </c>
      <c r="E98" s="118">
        <v>0.22</v>
      </c>
      <c r="F98" s="118"/>
    </row>
    <row r="99" spans="2:6" x14ac:dyDescent="0.25">
      <c r="B99" s="48" t="s">
        <v>195</v>
      </c>
      <c r="C99" s="122">
        <v>150103</v>
      </c>
      <c r="D99" s="118" t="s">
        <v>123</v>
      </c>
      <c r="E99" s="118">
        <v>0.23</v>
      </c>
      <c r="F99" s="118"/>
    </row>
    <row r="100" spans="2:6" x14ac:dyDescent="0.25">
      <c r="B100" s="48" t="s">
        <v>196</v>
      </c>
      <c r="C100" s="120">
        <v>80112</v>
      </c>
      <c r="D100" s="118" t="s">
        <v>123</v>
      </c>
      <c r="E100" s="118">
        <v>0.84</v>
      </c>
      <c r="F100" s="118"/>
    </row>
    <row r="101" spans="2:6" x14ac:dyDescent="0.25">
      <c r="B101" s="48" t="s">
        <v>197</v>
      </c>
      <c r="C101" s="120">
        <v>80111</v>
      </c>
      <c r="D101" s="118" t="s">
        <v>126</v>
      </c>
      <c r="E101" s="118">
        <v>0.9</v>
      </c>
      <c r="F101" s="118"/>
    </row>
    <row r="102" spans="2:6" x14ac:dyDescent="0.25">
      <c r="B102" s="48" t="s">
        <v>198</v>
      </c>
      <c r="C102" s="120">
        <v>80118</v>
      </c>
      <c r="D102" s="118" t="s">
        <v>123</v>
      </c>
      <c r="E102" s="118">
        <v>0.56999999999999995</v>
      </c>
      <c r="F102" s="118"/>
    </row>
    <row r="103" spans="2:6" x14ac:dyDescent="0.25">
      <c r="B103" s="48" t="s">
        <v>199</v>
      </c>
      <c r="C103" s="120">
        <v>80117</v>
      </c>
      <c r="D103" s="118" t="s">
        <v>126</v>
      </c>
      <c r="E103" s="118">
        <v>0.56999999999999995</v>
      </c>
      <c r="F103" s="118"/>
    </row>
    <row r="104" spans="2:6" x14ac:dyDescent="0.25">
      <c r="B104" s="48" t="s">
        <v>566</v>
      </c>
      <c r="C104" s="120">
        <v>170204</v>
      </c>
      <c r="D104" s="118" t="s">
        <v>126</v>
      </c>
      <c r="E104" s="118">
        <v>0.28999999999999998</v>
      </c>
      <c r="F104" s="118"/>
    </row>
    <row r="105" spans="2:6" x14ac:dyDescent="0.25">
      <c r="B105" s="48" t="s">
        <v>317</v>
      </c>
      <c r="C105" s="120">
        <v>200303</v>
      </c>
      <c r="D105" s="118" t="s">
        <v>123</v>
      </c>
      <c r="E105" s="118">
        <v>0.21</v>
      </c>
      <c r="F105" s="118"/>
    </row>
    <row r="106" spans="2:6" x14ac:dyDescent="0.25">
      <c r="B106" s="112" t="s">
        <v>567</v>
      </c>
      <c r="C106" s="120">
        <v>170504</v>
      </c>
      <c r="D106" s="118" t="s">
        <v>141</v>
      </c>
      <c r="E106" s="118">
        <v>1.25</v>
      </c>
      <c r="F106" s="118" t="s">
        <v>534</v>
      </c>
    </row>
    <row r="107" spans="2:6" x14ac:dyDescent="0.25">
      <c r="B107" s="111" t="s">
        <v>568</v>
      </c>
      <c r="C107" s="123">
        <v>190812</v>
      </c>
      <c r="D107" s="124" t="s">
        <v>123</v>
      </c>
      <c r="E107" s="124">
        <v>0.92</v>
      </c>
      <c r="F107" s="118" t="s">
        <v>555</v>
      </c>
    </row>
    <row r="108" spans="2:6" x14ac:dyDescent="0.25">
      <c r="B108" s="111" t="s">
        <v>569</v>
      </c>
      <c r="C108" s="123">
        <v>190811</v>
      </c>
      <c r="D108" s="124" t="s">
        <v>126</v>
      </c>
      <c r="E108" s="124">
        <v>0.92</v>
      </c>
      <c r="F108" s="118" t="s">
        <v>555</v>
      </c>
    </row>
    <row r="109" spans="2:6" x14ac:dyDescent="0.25">
      <c r="B109" s="111" t="s">
        <v>570</v>
      </c>
      <c r="C109" s="123">
        <v>190809</v>
      </c>
      <c r="D109" s="124" t="s">
        <v>126</v>
      </c>
      <c r="E109" s="124">
        <v>0.92</v>
      </c>
      <c r="F109" s="118" t="s">
        <v>555</v>
      </c>
    </row>
    <row r="110" spans="2:6" x14ac:dyDescent="0.25">
      <c r="B110" s="111" t="s">
        <v>571</v>
      </c>
      <c r="C110" s="123">
        <v>190810</v>
      </c>
      <c r="D110" s="124" t="s">
        <v>126</v>
      </c>
      <c r="E110" s="124">
        <v>0.92</v>
      </c>
      <c r="F110" s="118" t="s">
        <v>555</v>
      </c>
    </row>
    <row r="111" spans="2:6" x14ac:dyDescent="0.25">
      <c r="B111" s="48" t="s">
        <v>217</v>
      </c>
      <c r="C111" s="120">
        <v>190802</v>
      </c>
      <c r="D111" s="118" t="s">
        <v>123</v>
      </c>
      <c r="E111" s="118">
        <v>0.74</v>
      </c>
      <c r="F111" s="118"/>
    </row>
    <row r="112" spans="2:6" x14ac:dyDescent="0.25">
      <c r="B112" s="111" t="s">
        <v>572</v>
      </c>
      <c r="C112" s="123">
        <v>190808</v>
      </c>
      <c r="D112" s="124" t="s">
        <v>126</v>
      </c>
      <c r="E112" s="124">
        <v>0.74</v>
      </c>
      <c r="F112" s="118" t="s">
        <v>555</v>
      </c>
    </row>
    <row r="113" spans="2:6" x14ac:dyDescent="0.25">
      <c r="B113" s="111" t="s">
        <v>573</v>
      </c>
      <c r="C113" s="123">
        <v>190806</v>
      </c>
      <c r="D113" s="124" t="s">
        <v>126</v>
      </c>
      <c r="E113" s="124">
        <v>0.74</v>
      </c>
      <c r="F113" s="118" t="s">
        <v>555</v>
      </c>
    </row>
    <row r="114" spans="2:6" x14ac:dyDescent="0.25">
      <c r="B114" s="48" t="s">
        <v>216</v>
      </c>
      <c r="C114" s="120">
        <v>190801</v>
      </c>
      <c r="D114" s="118" t="s">
        <v>123</v>
      </c>
      <c r="E114" s="118">
        <v>0.33</v>
      </c>
      <c r="F114" s="118"/>
    </row>
    <row r="115" spans="2:6" x14ac:dyDescent="0.25">
      <c r="B115" s="111" t="s">
        <v>318</v>
      </c>
      <c r="C115" s="123">
        <v>161001</v>
      </c>
      <c r="D115" s="124" t="s">
        <v>126</v>
      </c>
      <c r="E115" s="124">
        <v>0.33</v>
      </c>
      <c r="F115" s="118" t="s">
        <v>555</v>
      </c>
    </row>
    <row r="116" spans="2:6" x14ac:dyDescent="0.25">
      <c r="B116" s="48" t="s">
        <v>574</v>
      </c>
      <c r="C116" s="120">
        <v>190805</v>
      </c>
      <c r="D116" s="118" t="s">
        <v>123</v>
      </c>
      <c r="E116" s="118">
        <v>0.33</v>
      </c>
      <c r="F116" s="118"/>
    </row>
    <row r="117" spans="2:6" x14ac:dyDescent="0.25">
      <c r="B117" s="111" t="s">
        <v>575</v>
      </c>
      <c r="C117" s="123">
        <v>190813</v>
      </c>
      <c r="D117" s="124" t="s">
        <v>126</v>
      </c>
      <c r="E117" s="124">
        <v>0.33</v>
      </c>
      <c r="F117" s="118" t="s">
        <v>555</v>
      </c>
    </row>
    <row r="118" spans="2:6" x14ac:dyDescent="0.25">
      <c r="B118" s="111" t="s">
        <v>576</v>
      </c>
      <c r="C118" s="123">
        <v>190807</v>
      </c>
      <c r="D118" s="124" t="s">
        <v>126</v>
      </c>
      <c r="E118" s="124">
        <v>0.33</v>
      </c>
      <c r="F118" s="118" t="s">
        <v>555</v>
      </c>
    </row>
    <row r="119" spans="2:6" x14ac:dyDescent="0.25">
      <c r="B119" s="48" t="s">
        <v>577</v>
      </c>
      <c r="C119" s="120">
        <v>200199</v>
      </c>
      <c r="D119" s="118" t="s">
        <v>123</v>
      </c>
      <c r="E119" s="118">
        <v>0.27</v>
      </c>
      <c r="F119" s="118"/>
    </row>
    <row r="120" spans="2:6" x14ac:dyDescent="0.25">
      <c r="B120" s="48" t="s">
        <v>578</v>
      </c>
      <c r="C120" s="120">
        <v>200108</v>
      </c>
      <c r="D120" s="118" t="s">
        <v>123</v>
      </c>
      <c r="E120" s="118">
        <v>0.2</v>
      </c>
      <c r="F120" s="118"/>
    </row>
    <row r="121" spans="2:6" x14ac:dyDescent="0.25">
      <c r="B121" s="48" t="s">
        <v>579</v>
      </c>
      <c r="C121" s="120">
        <v>80318</v>
      </c>
      <c r="D121" s="118" t="s">
        <v>123</v>
      </c>
      <c r="E121" s="118">
        <v>0.36</v>
      </c>
      <c r="F121" s="118"/>
    </row>
    <row r="122" spans="2:6" x14ac:dyDescent="0.25">
      <c r="B122" s="48" t="s">
        <v>580</v>
      </c>
      <c r="C122" s="120">
        <v>80317</v>
      </c>
      <c r="D122" s="118" t="s">
        <v>126</v>
      </c>
      <c r="E122" s="118">
        <v>0.36</v>
      </c>
      <c r="F122" s="118"/>
    </row>
    <row r="123" spans="2:6" x14ac:dyDescent="0.25">
      <c r="B123" s="48" t="s">
        <v>581</v>
      </c>
      <c r="C123" s="120">
        <v>161002</v>
      </c>
      <c r="D123" s="118" t="s">
        <v>123</v>
      </c>
      <c r="E123" s="118">
        <v>0.92</v>
      </c>
      <c r="F123" s="118"/>
    </row>
    <row r="124" spans="2:6" x14ac:dyDescent="0.25">
      <c r="B124" s="48" t="s">
        <v>582</v>
      </c>
      <c r="C124" s="120">
        <v>200306</v>
      </c>
      <c r="D124" s="118" t="s">
        <v>123</v>
      </c>
      <c r="E124" s="118">
        <v>0.92</v>
      </c>
      <c r="F124" s="118"/>
    </row>
    <row r="125" spans="2:6" x14ac:dyDescent="0.25">
      <c r="B125" s="48" t="s">
        <v>583</v>
      </c>
      <c r="C125" s="120">
        <v>161002</v>
      </c>
      <c r="D125" s="118" t="s">
        <v>123</v>
      </c>
      <c r="E125" s="118">
        <v>0.92</v>
      </c>
      <c r="F125" s="118"/>
    </row>
    <row r="126" spans="2:6" x14ac:dyDescent="0.25">
      <c r="B126" s="48" t="s">
        <v>584</v>
      </c>
      <c r="C126" s="120">
        <v>200304</v>
      </c>
      <c r="D126" s="118" t="s">
        <v>123</v>
      </c>
      <c r="E126" s="118">
        <v>0.92</v>
      </c>
      <c r="F126" s="118"/>
    </row>
    <row r="127" spans="2:6" x14ac:dyDescent="0.25">
      <c r="B127" s="48" t="s">
        <v>229</v>
      </c>
      <c r="C127" s="120">
        <v>200111</v>
      </c>
      <c r="D127" s="118" t="s">
        <v>123</v>
      </c>
      <c r="E127" s="118">
        <v>0.27</v>
      </c>
      <c r="F127" s="118"/>
    </row>
    <row r="128" spans="2:6" x14ac:dyDescent="0.25">
      <c r="B128" s="112" t="s">
        <v>585</v>
      </c>
      <c r="C128" s="120">
        <v>170103</v>
      </c>
      <c r="D128" s="118" t="s">
        <v>141</v>
      </c>
      <c r="E128" s="118">
        <v>0.59</v>
      </c>
      <c r="F128" s="118" t="s">
        <v>534</v>
      </c>
    </row>
    <row r="129" spans="2:6" x14ac:dyDescent="0.25">
      <c r="B129" s="48" t="s">
        <v>586</v>
      </c>
      <c r="C129" s="120">
        <v>170508</v>
      </c>
      <c r="D129" s="118" t="s">
        <v>141</v>
      </c>
      <c r="E129" s="118">
        <v>1.0900000000000001</v>
      </c>
      <c r="F129" s="118"/>
    </row>
    <row r="130" spans="2:6" x14ac:dyDescent="0.25">
      <c r="B130" s="48" t="s">
        <v>213</v>
      </c>
      <c r="C130" s="120">
        <v>170507</v>
      </c>
      <c r="D130" s="118" t="s">
        <v>126</v>
      </c>
      <c r="E130" s="118">
        <v>1.0900000000000001</v>
      </c>
      <c r="F130" s="118"/>
    </row>
    <row r="131" spans="2:6" x14ac:dyDescent="0.25">
      <c r="B131" s="48" t="s">
        <v>214</v>
      </c>
      <c r="C131" s="122">
        <v>160103</v>
      </c>
      <c r="D131" s="118" t="s">
        <v>123</v>
      </c>
      <c r="E131" s="118">
        <v>0.47</v>
      </c>
      <c r="F131" s="118"/>
    </row>
    <row r="132" spans="2:6" x14ac:dyDescent="0.25">
      <c r="B132" s="111" t="s">
        <v>587</v>
      </c>
      <c r="C132" s="123">
        <v>160303</v>
      </c>
      <c r="D132" s="124" t="s">
        <v>126</v>
      </c>
      <c r="E132" s="124">
        <v>0.92</v>
      </c>
      <c r="F132" s="118" t="s">
        <v>555</v>
      </c>
    </row>
    <row r="133" spans="2:6" x14ac:dyDescent="0.25">
      <c r="B133" s="48" t="s">
        <v>215</v>
      </c>
      <c r="C133" s="120">
        <v>200201</v>
      </c>
      <c r="D133" s="118" t="s">
        <v>123</v>
      </c>
      <c r="E133" s="118">
        <v>0.38</v>
      </c>
      <c r="F133" s="118"/>
    </row>
    <row r="134" spans="2:6" x14ac:dyDescent="0.25">
      <c r="B134" s="111" t="s">
        <v>588</v>
      </c>
      <c r="C134" s="123">
        <v>190905</v>
      </c>
      <c r="D134" s="124" t="s">
        <v>123</v>
      </c>
      <c r="E134" s="124">
        <v>0.92</v>
      </c>
      <c r="F134" s="118" t="s">
        <v>555</v>
      </c>
    </row>
    <row r="135" spans="2:6" x14ac:dyDescent="0.25">
      <c r="B135" s="111" t="s">
        <v>589</v>
      </c>
      <c r="C135" s="123">
        <v>190903</v>
      </c>
      <c r="D135" s="124" t="s">
        <v>123</v>
      </c>
      <c r="E135" s="124">
        <v>0.92</v>
      </c>
      <c r="F135" s="118" t="s">
        <v>555</v>
      </c>
    </row>
    <row r="136" spans="2:6" x14ac:dyDescent="0.25">
      <c r="B136" s="111" t="s">
        <v>590</v>
      </c>
      <c r="C136" s="123">
        <v>190902</v>
      </c>
      <c r="D136" s="124" t="s">
        <v>123</v>
      </c>
      <c r="E136" s="124">
        <v>0.92</v>
      </c>
      <c r="F136" s="118" t="s">
        <v>555</v>
      </c>
    </row>
    <row r="137" spans="2:6" x14ac:dyDescent="0.25">
      <c r="B137" s="48" t="s">
        <v>591</v>
      </c>
      <c r="C137" s="120">
        <v>190901</v>
      </c>
      <c r="D137" s="118" t="s">
        <v>123</v>
      </c>
      <c r="E137" s="118">
        <v>0.4</v>
      </c>
      <c r="F137" s="118"/>
    </row>
    <row r="138" spans="2:6" x14ac:dyDescent="0.25">
      <c r="B138" s="111" t="s">
        <v>592</v>
      </c>
      <c r="C138" s="123">
        <v>190906</v>
      </c>
      <c r="D138" s="124" t="s">
        <v>123</v>
      </c>
      <c r="E138" s="124">
        <v>0.92</v>
      </c>
      <c r="F138" s="118" t="s">
        <v>555</v>
      </c>
    </row>
    <row r="139" spans="2:6" x14ac:dyDescent="0.25">
      <c r="B139" s="48" t="s">
        <v>593</v>
      </c>
      <c r="C139" s="120">
        <v>190904</v>
      </c>
      <c r="D139" s="118" t="s">
        <v>123</v>
      </c>
      <c r="E139" s="118">
        <v>0.24</v>
      </c>
      <c r="F139" s="118"/>
    </row>
    <row r="140" spans="2:6" x14ac:dyDescent="0.25">
      <c r="B140" s="48" t="s">
        <v>594</v>
      </c>
      <c r="C140" s="120">
        <v>170204</v>
      </c>
      <c r="D140" s="118" t="s">
        <v>126</v>
      </c>
      <c r="E140" s="118">
        <v>0.28999999999999998</v>
      </c>
      <c r="F140" s="118"/>
    </row>
    <row r="143" spans="2:6" x14ac:dyDescent="0.25">
      <c r="B143" s="110" t="s">
        <v>353</v>
      </c>
      <c r="C143" s="119" t="s">
        <v>105</v>
      </c>
      <c r="D143" s="119" t="s">
        <v>354</v>
      </c>
      <c r="E143" s="119" t="s">
        <v>595</v>
      </c>
      <c r="F143" s="119"/>
    </row>
    <row r="144" spans="2:6" x14ac:dyDescent="0.25">
      <c r="B144" s="48" t="s">
        <v>133</v>
      </c>
      <c r="C144" s="120">
        <v>160504</v>
      </c>
      <c r="D144" s="118" t="s">
        <v>126</v>
      </c>
      <c r="E144" s="118">
        <v>0.3</v>
      </c>
      <c r="F144" s="118"/>
    </row>
    <row r="145" spans="2:6" x14ac:dyDescent="0.25">
      <c r="B145" s="48" t="s">
        <v>139</v>
      </c>
      <c r="C145" s="120">
        <v>170301</v>
      </c>
      <c r="D145" s="118" t="s">
        <v>126</v>
      </c>
      <c r="E145" s="118">
        <v>0.9</v>
      </c>
      <c r="F145" s="118"/>
    </row>
    <row r="146" spans="2:6" x14ac:dyDescent="0.25">
      <c r="B146" s="48" t="s">
        <v>129</v>
      </c>
      <c r="C146" s="120">
        <v>170302</v>
      </c>
      <c r="D146" s="118" t="s">
        <v>123</v>
      </c>
      <c r="E146" s="118">
        <v>0.82</v>
      </c>
    </row>
    <row r="147" spans="2:6" x14ac:dyDescent="0.25">
      <c r="B147" s="48" t="s">
        <v>140</v>
      </c>
      <c r="C147" s="120">
        <v>170102</v>
      </c>
      <c r="D147" s="118" t="s">
        <v>141</v>
      </c>
      <c r="E147" s="118">
        <v>1.2</v>
      </c>
    </row>
    <row r="148" spans="2:6" x14ac:dyDescent="0.25">
      <c r="B148" s="48" t="s">
        <v>145</v>
      </c>
      <c r="C148" s="120">
        <v>170101</v>
      </c>
      <c r="D148" s="118" t="s">
        <v>141</v>
      </c>
      <c r="E148" s="118">
        <v>1.27</v>
      </c>
    </row>
    <row r="149" spans="2:6" x14ac:dyDescent="0.25">
      <c r="B149" s="48" t="s">
        <v>146</v>
      </c>
      <c r="C149" s="120">
        <v>170106</v>
      </c>
      <c r="D149" s="118" t="s">
        <v>126</v>
      </c>
      <c r="E149" s="118">
        <v>1.17</v>
      </c>
    </row>
    <row r="150" spans="2:6" x14ac:dyDescent="0.25">
      <c r="B150" s="48" t="s">
        <v>124</v>
      </c>
      <c r="C150" s="121">
        <v>170107</v>
      </c>
      <c r="D150" s="118" t="s">
        <v>123</v>
      </c>
      <c r="E150" s="118">
        <v>1.24</v>
      </c>
    </row>
    <row r="151" spans="2:6" x14ac:dyDescent="0.25">
      <c r="B151" s="48" t="s">
        <v>147</v>
      </c>
      <c r="C151" s="120">
        <v>170903</v>
      </c>
      <c r="D151" s="118" t="s">
        <v>126</v>
      </c>
      <c r="E151" s="118">
        <v>0.87</v>
      </c>
    </row>
    <row r="152" spans="2:6" x14ac:dyDescent="0.25">
      <c r="B152" s="48" t="s">
        <v>148</v>
      </c>
      <c r="C152" s="120">
        <v>170904</v>
      </c>
      <c r="D152" s="118" t="s">
        <v>123</v>
      </c>
      <c r="E152" s="118">
        <v>0.87</v>
      </c>
    </row>
    <row r="153" spans="2:6" x14ac:dyDescent="0.25">
      <c r="B153" s="48" t="s">
        <v>131</v>
      </c>
      <c r="C153" s="120">
        <v>170605</v>
      </c>
      <c r="D153" s="118" t="s">
        <v>126</v>
      </c>
      <c r="E153" s="118">
        <v>0.31</v>
      </c>
    </row>
    <row r="154" spans="2:6" x14ac:dyDescent="0.25">
      <c r="B154" s="48" t="s">
        <v>120</v>
      </c>
      <c r="C154" s="120">
        <v>170202</v>
      </c>
      <c r="D154" s="118" t="s">
        <v>141</v>
      </c>
      <c r="E154" s="118">
        <v>0.61</v>
      </c>
    </row>
    <row r="155" spans="2:6" x14ac:dyDescent="0.25">
      <c r="B155" s="48" t="s">
        <v>163</v>
      </c>
      <c r="C155" s="120">
        <v>170802</v>
      </c>
      <c r="D155" s="118" t="s">
        <v>123</v>
      </c>
      <c r="E155" s="118">
        <v>0.33</v>
      </c>
    </row>
    <row r="156" spans="2:6" x14ac:dyDescent="0.25">
      <c r="B156" s="48" t="s">
        <v>413</v>
      </c>
      <c r="C156" s="120">
        <v>170801</v>
      </c>
      <c r="D156" s="118" t="s">
        <v>126</v>
      </c>
      <c r="E156" s="118">
        <v>0.33</v>
      </c>
    </row>
    <row r="157" spans="2:6" x14ac:dyDescent="0.25">
      <c r="B157" s="48" t="s">
        <v>170</v>
      </c>
      <c r="C157" s="120">
        <v>170601</v>
      </c>
      <c r="D157" s="118" t="s">
        <v>126</v>
      </c>
      <c r="E157" s="118">
        <v>0.28000000000000003</v>
      </c>
    </row>
    <row r="158" spans="2:6" x14ac:dyDescent="0.25">
      <c r="B158" s="48" t="s">
        <v>171</v>
      </c>
      <c r="C158" s="120">
        <v>170407</v>
      </c>
      <c r="D158" s="118" t="s">
        <v>123</v>
      </c>
      <c r="E158" s="118">
        <v>0.42</v>
      </c>
    </row>
    <row r="159" spans="2:6" x14ac:dyDescent="0.25">
      <c r="B159" s="48" t="s">
        <v>179</v>
      </c>
      <c r="C159" s="120">
        <v>150110</v>
      </c>
      <c r="D159" s="118" t="s">
        <v>126</v>
      </c>
      <c r="E159" s="118">
        <v>0.21</v>
      </c>
    </row>
    <row r="160" spans="2:6" x14ac:dyDescent="0.25">
      <c r="B160" s="48" t="s">
        <v>193</v>
      </c>
      <c r="C160" s="122">
        <v>150106</v>
      </c>
      <c r="D160" s="118" t="s">
        <v>123</v>
      </c>
      <c r="E160" s="118">
        <v>0.21</v>
      </c>
    </row>
    <row r="161" spans="2:5" x14ac:dyDescent="0.25">
      <c r="B161" s="48" t="s">
        <v>200</v>
      </c>
      <c r="C161" s="120">
        <v>200101</v>
      </c>
      <c r="D161" s="118" t="s">
        <v>123</v>
      </c>
      <c r="E161" s="118">
        <v>0.21</v>
      </c>
    </row>
    <row r="162" spans="2:5" x14ac:dyDescent="0.25">
      <c r="B162" s="48" t="s">
        <v>202</v>
      </c>
      <c r="C162" s="120">
        <v>170203</v>
      </c>
      <c r="D162" s="118" t="s">
        <v>123</v>
      </c>
      <c r="E162" s="118">
        <v>0.23</v>
      </c>
    </row>
    <row r="163" spans="2:5" x14ac:dyDescent="0.25">
      <c r="B163" s="48" t="s">
        <v>567</v>
      </c>
      <c r="C163" s="120">
        <v>170504</v>
      </c>
      <c r="D163" s="118" t="s">
        <v>141</v>
      </c>
      <c r="E163" s="118">
        <v>1.25</v>
      </c>
    </row>
    <row r="164" spans="2:5" x14ac:dyDescent="0.25">
      <c r="B164" s="48" t="s">
        <v>447</v>
      </c>
      <c r="C164" s="120">
        <v>200301</v>
      </c>
      <c r="D164" s="118" t="s">
        <v>123</v>
      </c>
      <c r="E164" s="118">
        <v>0.21</v>
      </c>
    </row>
    <row r="165" spans="2:5" x14ac:dyDescent="0.25">
      <c r="B165" s="48" t="s">
        <v>127</v>
      </c>
      <c r="C165" s="120">
        <v>170504</v>
      </c>
      <c r="D165" s="118" t="s">
        <v>141</v>
      </c>
      <c r="E165" s="118">
        <v>1.25</v>
      </c>
    </row>
    <row r="166" spans="2:5" x14ac:dyDescent="0.25">
      <c r="B166" s="48" t="s">
        <v>454</v>
      </c>
      <c r="C166" s="120">
        <v>170504</v>
      </c>
      <c r="D166" s="118" t="s">
        <v>141</v>
      </c>
      <c r="E166" s="118">
        <v>1.25</v>
      </c>
    </row>
    <row r="167" spans="2:5" x14ac:dyDescent="0.25">
      <c r="B167" s="48" t="s">
        <v>208</v>
      </c>
      <c r="C167" s="120">
        <v>170503</v>
      </c>
      <c r="D167" s="118" t="s">
        <v>126</v>
      </c>
      <c r="E167" s="118">
        <v>1.25</v>
      </c>
    </row>
    <row r="168" spans="2:5" x14ac:dyDescent="0.25">
      <c r="B168" s="48" t="s">
        <v>222</v>
      </c>
      <c r="C168" s="120">
        <v>170504</v>
      </c>
      <c r="D168" s="118" t="s">
        <v>123</v>
      </c>
      <c r="E168" s="118">
        <v>1.25</v>
      </c>
    </row>
    <row r="169" spans="2:5" x14ac:dyDescent="0.25">
      <c r="B169" s="48" t="s">
        <v>211</v>
      </c>
      <c r="C169" s="120">
        <v>170103</v>
      </c>
      <c r="D169" s="118" t="s">
        <v>141</v>
      </c>
      <c r="E169" s="118">
        <v>0.59</v>
      </c>
    </row>
    <row r="170" spans="2:5" x14ac:dyDescent="0.25">
      <c r="B170" s="48" t="s">
        <v>215</v>
      </c>
      <c r="C170" s="120">
        <v>200201</v>
      </c>
      <c r="D170" s="118" t="s">
        <v>123</v>
      </c>
      <c r="E170" s="118">
        <v>0.38</v>
      </c>
    </row>
    <row r="171" spans="2:5" x14ac:dyDescent="0.25">
      <c r="B171" s="48" t="s">
        <v>73</v>
      </c>
      <c r="C171" s="120">
        <v>170201</v>
      </c>
      <c r="D171" s="118" t="s">
        <v>123</v>
      </c>
      <c r="E171" s="118">
        <v>0.34</v>
      </c>
    </row>
  </sheetData>
  <sheetProtection algorithmName="SHA-512" hashValue="A4Y1cLXZZKJHJQhMuZNq/0qR6WxDFDAykQrC3ZPaS5E3w/4YAYdqMZQf70wEguqozyg27RL8q7Z/8qQiSMTCvA==" saltValue="zvCOJ+nKsVh021pcc/DrVA==" spinCount="100000" sheet="1" objects="1" scenarios="1"/>
  <mergeCells count="7">
    <mergeCell ref="B2:F3"/>
    <mergeCell ref="H2:H3"/>
    <mergeCell ref="S27:T46"/>
    <mergeCell ref="S2:T3"/>
    <mergeCell ref="P2:Q3"/>
    <mergeCell ref="N2:N3"/>
    <mergeCell ref="J2:K3"/>
  </mergeCells>
  <printOptions horizontalCentered="1"/>
  <pageMargins left="0.15748031496062992" right="0.15748031496062992" top="0.59055118110236227" bottom="0.39370078740157483" header="0.51181102362204722" footer="0.51181102362204722"/>
  <pageSetup paperSize="9" scale="55" orientation="portrait" r:id="rId1"/>
  <headerFooter alignWithMargins="0">
    <oddFooter>&amp;LFM-HSS-W01-01&amp;CJanuary 2020&amp;RRev 17.0</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F49A-11FF-4F51-8A02-9B4937CECF35}">
  <sheetPr codeName="Sheet8">
    <tabColor indexed="57"/>
  </sheetPr>
  <dimension ref="B2:G79"/>
  <sheetViews>
    <sheetView showGridLines="0" showZeros="0" zoomScaleNormal="100" workbookViewId="0">
      <selection activeCell="D10" sqref="D10"/>
    </sheetView>
  </sheetViews>
  <sheetFormatPr defaultColWidth="9.109375" defaultRowHeight="13.2" x14ac:dyDescent="0.25"/>
  <cols>
    <col min="1" max="1" width="1.109375" style="48" customWidth="1"/>
    <col min="2" max="2" width="3.109375" style="48" customWidth="1"/>
    <col min="3" max="3" width="74.77734375" style="48" customWidth="1"/>
    <col min="4" max="5" width="27.77734375" style="48" customWidth="1"/>
    <col min="6" max="6" width="10" style="48" customWidth="1"/>
    <col min="7" max="7" width="3.33203125" style="48" customWidth="1"/>
    <col min="8" max="10" width="9.109375" style="48"/>
    <col min="11" max="11" width="42.44140625" style="48" bestFit="1" customWidth="1"/>
    <col min="12" max="16384" width="9.109375" style="48"/>
  </cols>
  <sheetData>
    <row r="2" spans="2:7" ht="14.4" thickTop="1" thickBot="1" x14ac:dyDescent="0.3">
      <c r="B2" s="358"/>
      <c r="C2" s="359"/>
      <c r="D2" s="359"/>
      <c r="E2" s="359"/>
      <c r="F2" s="359"/>
      <c r="G2" s="360"/>
    </row>
    <row r="3" spans="2:7" ht="13.8" x14ac:dyDescent="0.3">
      <c r="B3" s="361"/>
      <c r="C3" s="1001" t="s">
        <v>41</v>
      </c>
      <c r="D3" s="1003" t="s">
        <v>42</v>
      </c>
      <c r="E3" s="1005" t="s">
        <v>385</v>
      </c>
      <c r="F3" s="362"/>
      <c r="G3" s="363"/>
    </row>
    <row r="4" spans="2:7" ht="14.4" thickBot="1" x14ac:dyDescent="0.35">
      <c r="B4" s="361"/>
      <c r="C4" s="1002"/>
      <c r="D4" s="1004"/>
      <c r="E4" s="1006"/>
      <c r="F4" s="364"/>
      <c r="G4" s="363"/>
    </row>
    <row r="5" spans="2:7" ht="20.25" customHeight="1" x14ac:dyDescent="0.3">
      <c r="B5" s="361"/>
      <c r="C5" s="365" t="s">
        <v>596</v>
      </c>
      <c r="D5" s="366"/>
      <c r="E5" s="367">
        <f>'Project Cumulative '!P448</f>
        <v>0</v>
      </c>
      <c r="F5" s="368"/>
      <c r="G5" s="363"/>
    </row>
    <row r="6" spans="2:7" ht="20.25" customHeight="1" x14ac:dyDescent="0.3">
      <c r="B6" s="361"/>
      <c r="C6" s="369" t="s">
        <v>597</v>
      </c>
      <c r="D6" s="366"/>
      <c r="E6" s="367">
        <f>'Project Cumulative '!P449</f>
        <v>0</v>
      </c>
      <c r="F6" s="368"/>
      <c r="G6" s="363"/>
    </row>
    <row r="7" spans="2:7" ht="20.25" customHeight="1" x14ac:dyDescent="0.3">
      <c r="B7" s="361"/>
      <c r="C7" s="370" t="s">
        <v>598</v>
      </c>
      <c r="D7" s="371"/>
      <c r="E7" s="367">
        <f>'Project Cumulative '!V470</f>
        <v>0</v>
      </c>
      <c r="F7" s="368"/>
      <c r="G7" s="363"/>
    </row>
    <row r="8" spans="2:7" ht="20.25" customHeight="1" x14ac:dyDescent="0.3">
      <c r="B8" s="361"/>
      <c r="C8" s="372" t="s">
        <v>599</v>
      </c>
      <c r="D8" s="373">
        <f>'Project Details'!F49</f>
        <v>85</v>
      </c>
      <c r="E8" s="367" t="e">
        <f>IF('Project Cumulative '!V476="","",'Project Cumulative '!V476)</f>
        <v>#DIV/0!</v>
      </c>
      <c r="F8" s="368"/>
      <c r="G8" s="363"/>
    </row>
    <row r="9" spans="2:7" ht="20.25" customHeight="1" x14ac:dyDescent="0.3">
      <c r="B9" s="361"/>
      <c r="C9" s="372" t="s">
        <v>600</v>
      </c>
      <c r="D9" s="373">
        <f>'Project Details'!F50</f>
        <v>90</v>
      </c>
      <c r="E9" s="367" t="e">
        <f>IF('Project Cumulative '!V477="","",'Project Cumulative '!V477)</f>
        <v>#DIV/0!</v>
      </c>
      <c r="F9" s="368"/>
      <c r="G9" s="363"/>
    </row>
    <row r="10" spans="2:7" ht="20.25" customHeight="1" x14ac:dyDescent="0.3">
      <c r="B10" s="361"/>
      <c r="C10" s="372" t="s">
        <v>601</v>
      </c>
      <c r="D10" s="373">
        <f>'Project Details'!F52</f>
        <v>40</v>
      </c>
      <c r="E10" s="367">
        <f>IF('Project Cumulative '!V534="","",'Project Cumulative '!V534)</f>
        <v>0</v>
      </c>
      <c r="F10" s="368"/>
      <c r="G10" s="363"/>
    </row>
    <row r="11" spans="2:7" ht="20.25" customHeight="1" thickBot="1" x14ac:dyDescent="0.35">
      <c r="B11" s="361"/>
      <c r="C11" s="374" t="s">
        <v>602</v>
      </c>
      <c r="D11" s="373">
        <f>'Project Details'!F53</f>
        <v>9</v>
      </c>
      <c r="E11" s="367">
        <f>IF('Project Cumulative '!V535="","",'Project Cumulative '!V535)</f>
        <v>0</v>
      </c>
      <c r="F11" s="368"/>
      <c r="G11" s="363"/>
    </row>
    <row r="12" spans="2:7" ht="20.25" customHeight="1" x14ac:dyDescent="0.3">
      <c r="B12" s="361"/>
      <c r="C12" s="375"/>
      <c r="D12" s="375"/>
      <c r="E12" s="375"/>
      <c r="F12" s="368"/>
      <c r="G12" s="363"/>
    </row>
    <row r="13" spans="2:7" ht="20.25" customHeight="1" x14ac:dyDescent="0.3">
      <c r="B13" s="361"/>
      <c r="C13" s="376" t="s">
        <v>603</v>
      </c>
      <c r="D13" s="157"/>
      <c r="E13" s="157"/>
      <c r="F13" s="368"/>
      <c r="G13" s="363"/>
    </row>
    <row r="14" spans="2:7" ht="5.25" customHeight="1" thickBot="1" x14ac:dyDescent="0.35">
      <c r="B14" s="361"/>
      <c r="C14" s="377"/>
      <c r="D14" s="377"/>
      <c r="E14" s="377"/>
      <c r="F14" s="368"/>
      <c r="G14" s="363"/>
    </row>
    <row r="15" spans="2:7" ht="20.25" customHeight="1" x14ac:dyDescent="0.3">
      <c r="B15" s="361"/>
      <c r="C15" s="378">
        <f>'Project Details'!C58</f>
        <v>0</v>
      </c>
      <c r="D15" s="379">
        <f>'Project Details'!F58</f>
        <v>0</v>
      </c>
      <c r="E15" s="380" t="str">
        <f>IFERROR(VLOOKUP($C15,KPI_4,8,FALSE),"")</f>
        <v/>
      </c>
      <c r="F15" s="368"/>
      <c r="G15" s="363"/>
    </row>
    <row r="16" spans="2:7" ht="20.25" customHeight="1" x14ac:dyDescent="0.3">
      <c r="B16" s="361"/>
      <c r="C16" s="378">
        <f>'Project Details'!C59</f>
        <v>0</v>
      </c>
      <c r="D16" s="379">
        <f>'Project Details'!F59</f>
        <v>0</v>
      </c>
      <c r="E16" s="381" t="str">
        <f t="shared" ref="E16:E20" si="0">IFERROR(VLOOKUP($C16,KPI_4,8,FALSE),"")</f>
        <v/>
      </c>
      <c r="F16" s="368"/>
      <c r="G16" s="363"/>
    </row>
    <row r="17" spans="2:7" ht="20.25" customHeight="1" x14ac:dyDescent="0.3">
      <c r="B17" s="361"/>
      <c r="C17" s="378">
        <f>'Project Details'!C60</f>
        <v>0</v>
      </c>
      <c r="D17" s="379">
        <f>'Project Details'!F60</f>
        <v>0</v>
      </c>
      <c r="E17" s="381" t="str">
        <f t="shared" si="0"/>
        <v/>
      </c>
      <c r="F17" s="368"/>
      <c r="G17" s="363"/>
    </row>
    <row r="18" spans="2:7" ht="20.25" customHeight="1" x14ac:dyDescent="0.3">
      <c r="B18" s="361"/>
      <c r="C18" s="378">
        <f>'Project Details'!C61</f>
        <v>0</v>
      </c>
      <c r="D18" s="379">
        <f>'Project Details'!F61</f>
        <v>0</v>
      </c>
      <c r="E18" s="381" t="str">
        <f t="shared" si="0"/>
        <v/>
      </c>
      <c r="F18" s="368"/>
      <c r="G18" s="363"/>
    </row>
    <row r="19" spans="2:7" ht="20.25" customHeight="1" x14ac:dyDescent="0.3">
      <c r="B19" s="361"/>
      <c r="C19" s="378">
        <f>'Project Details'!C62</f>
        <v>0</v>
      </c>
      <c r="D19" s="379">
        <f>'Project Details'!F62</f>
        <v>0</v>
      </c>
      <c r="E19" s="381" t="str">
        <f t="shared" si="0"/>
        <v/>
      </c>
      <c r="F19" s="368"/>
      <c r="G19" s="363"/>
    </row>
    <row r="20" spans="2:7" ht="20.25" customHeight="1" thickBot="1" x14ac:dyDescent="0.35">
      <c r="B20" s="361"/>
      <c r="C20" s="382">
        <f>'Project Details'!C63</f>
        <v>0</v>
      </c>
      <c r="D20" s="383">
        <f>'Project Details'!F63</f>
        <v>0</v>
      </c>
      <c r="E20" s="384" t="str">
        <f t="shared" si="0"/>
        <v/>
      </c>
      <c r="F20" s="368"/>
      <c r="G20" s="363"/>
    </row>
    <row r="21" spans="2:7" ht="20.25" customHeight="1" x14ac:dyDescent="0.3">
      <c r="B21" s="361"/>
      <c r="C21" s="375"/>
      <c r="D21" s="375"/>
      <c r="E21" s="375"/>
      <c r="F21" s="368"/>
      <c r="G21" s="363"/>
    </row>
    <row r="22" spans="2:7" ht="24" customHeight="1" thickBot="1" x14ac:dyDescent="0.35">
      <c r="B22" s="361"/>
      <c r="C22" s="385" t="s">
        <v>49</v>
      </c>
      <c r="D22" s="157"/>
      <c r="E22" s="386"/>
      <c r="F22" s="386"/>
      <c r="G22" s="363"/>
    </row>
    <row r="23" spans="2:7" ht="20.25" customHeight="1" x14ac:dyDescent="0.3">
      <c r="B23" s="361"/>
      <c r="C23" s="642">
        <f>'Project Details'!C67</f>
        <v>0</v>
      </c>
      <c r="D23" s="639">
        <f>'Project Details'!F67</f>
        <v>0</v>
      </c>
      <c r="E23" s="387"/>
      <c r="F23" s="388"/>
      <c r="G23" s="363"/>
    </row>
    <row r="24" spans="2:7" ht="20.25" customHeight="1" x14ac:dyDescent="0.3">
      <c r="B24" s="361"/>
      <c r="C24" s="389">
        <f>'Project Details'!C68</f>
        <v>0</v>
      </c>
      <c r="D24" s="640">
        <f>'Project Details'!F68</f>
        <v>0</v>
      </c>
      <c r="E24" s="390"/>
      <c r="F24" s="388"/>
      <c r="G24" s="363"/>
    </row>
    <row r="25" spans="2:7" ht="19.5" customHeight="1" thickBot="1" x14ac:dyDescent="0.35">
      <c r="B25" s="361"/>
      <c r="C25" s="391">
        <f>'Project Details'!C69</f>
        <v>0</v>
      </c>
      <c r="D25" s="641">
        <f>'Project Details'!F69</f>
        <v>0</v>
      </c>
      <c r="E25" s="392"/>
      <c r="F25" s="388"/>
      <c r="G25" s="363"/>
    </row>
    <row r="26" spans="2:7" ht="23.25" customHeight="1" x14ac:dyDescent="0.3">
      <c r="B26" s="361"/>
      <c r="C26" s="393"/>
      <c r="D26" s="157"/>
      <c r="E26" s="388"/>
      <c r="F26" s="388"/>
      <c r="G26" s="363"/>
    </row>
    <row r="27" spans="2:7" ht="23.25" hidden="1" customHeight="1" thickBot="1" x14ac:dyDescent="0.35">
      <c r="B27" s="361"/>
      <c r="C27" s="1007" t="s">
        <v>604</v>
      </c>
      <c r="D27" s="1008"/>
      <c r="E27" s="394">
        <f>'Project Cumulative '!AJ575/1000</f>
        <v>0</v>
      </c>
      <c r="F27" s="362" t="s">
        <v>605</v>
      </c>
      <c r="G27" s="363"/>
    </row>
    <row r="28" spans="2:7" ht="21" customHeight="1" x14ac:dyDescent="0.3">
      <c r="B28" s="361"/>
      <c r="C28" s="1009"/>
      <c r="D28" s="1011"/>
      <c r="E28" s="1012"/>
      <c r="F28" s="395"/>
      <c r="G28" s="363"/>
    </row>
    <row r="29" spans="2:7" ht="18" customHeight="1" x14ac:dyDescent="0.3">
      <c r="B29" s="361"/>
      <c r="C29" s="1010"/>
      <c r="D29" s="1012"/>
      <c r="E29" s="1012"/>
      <c r="F29" s="395"/>
      <c r="G29" s="363"/>
    </row>
    <row r="30" spans="2:7" ht="13.8" x14ac:dyDescent="0.3">
      <c r="B30" s="361"/>
      <c r="C30" s="997"/>
      <c r="D30" s="997"/>
      <c r="E30" s="997"/>
      <c r="F30" s="997"/>
      <c r="G30" s="998"/>
    </row>
    <row r="31" spans="2:7" ht="13.8" x14ac:dyDescent="0.3">
      <c r="B31" s="361"/>
      <c r="C31" s="157"/>
      <c r="D31" s="157"/>
      <c r="E31" s="157"/>
      <c r="F31" s="157"/>
      <c r="G31" s="363"/>
    </row>
    <row r="32" spans="2:7" ht="13.8" x14ac:dyDescent="0.3">
      <c r="B32" s="361"/>
      <c r="C32" s="157"/>
      <c r="D32" s="157"/>
      <c r="E32" s="396"/>
      <c r="F32" s="396"/>
      <c r="G32" s="363"/>
    </row>
    <row r="33" spans="2:7" ht="13.8" x14ac:dyDescent="0.3">
      <c r="B33" s="361"/>
      <c r="C33" s="157"/>
      <c r="D33" s="157"/>
      <c r="E33" s="157"/>
      <c r="F33" s="157"/>
      <c r="G33" s="363"/>
    </row>
    <row r="34" spans="2:7" ht="13.8" x14ac:dyDescent="0.3">
      <c r="B34" s="361"/>
      <c r="C34" s="157"/>
      <c r="D34" s="157"/>
      <c r="E34" s="157"/>
      <c r="F34" s="157"/>
      <c r="G34" s="363"/>
    </row>
    <row r="35" spans="2:7" ht="13.8" x14ac:dyDescent="0.3">
      <c r="B35" s="361"/>
      <c r="C35" s="157"/>
      <c r="D35" s="157"/>
      <c r="E35" s="157"/>
      <c r="F35" s="157"/>
      <c r="G35" s="363"/>
    </row>
    <row r="36" spans="2:7" ht="13.8" x14ac:dyDescent="0.3">
      <c r="B36" s="361"/>
      <c r="C36" s="157"/>
      <c r="D36" s="157"/>
      <c r="E36" s="157"/>
      <c r="F36" s="157"/>
      <c r="G36" s="363"/>
    </row>
    <row r="37" spans="2:7" ht="13.8" x14ac:dyDescent="0.3">
      <c r="B37" s="361"/>
      <c r="C37" s="157"/>
      <c r="D37" s="157"/>
      <c r="E37" s="157"/>
      <c r="F37" s="157"/>
      <c r="G37" s="363"/>
    </row>
    <row r="38" spans="2:7" ht="13.8" x14ac:dyDescent="0.3">
      <c r="B38" s="361"/>
      <c r="C38" s="157"/>
      <c r="D38" s="157"/>
      <c r="E38" s="157"/>
      <c r="F38" s="157"/>
      <c r="G38" s="363"/>
    </row>
    <row r="39" spans="2:7" ht="13.8" x14ac:dyDescent="0.3">
      <c r="B39" s="361"/>
      <c r="C39" s="157"/>
      <c r="D39" s="157"/>
      <c r="E39" s="157"/>
      <c r="F39" s="157"/>
      <c r="G39" s="363"/>
    </row>
    <row r="40" spans="2:7" ht="13.8" x14ac:dyDescent="0.3">
      <c r="B40" s="361"/>
      <c r="C40" s="157"/>
      <c r="D40" s="157"/>
      <c r="E40" s="157"/>
      <c r="F40" s="157"/>
      <c r="G40" s="363"/>
    </row>
    <row r="41" spans="2:7" ht="13.8" x14ac:dyDescent="0.3">
      <c r="B41" s="361"/>
      <c r="C41" s="157"/>
      <c r="D41" s="157"/>
      <c r="E41" s="157"/>
      <c r="F41" s="157"/>
      <c r="G41" s="363"/>
    </row>
    <row r="42" spans="2:7" ht="13.8" x14ac:dyDescent="0.3">
      <c r="B42" s="361"/>
      <c r="C42" s="157"/>
      <c r="D42" s="157"/>
      <c r="E42" s="157"/>
      <c r="F42" s="157"/>
      <c r="G42" s="363"/>
    </row>
    <row r="43" spans="2:7" ht="13.8" x14ac:dyDescent="0.3">
      <c r="B43" s="361"/>
      <c r="C43" s="157"/>
      <c r="D43" s="157"/>
      <c r="E43" s="157"/>
      <c r="F43" s="157"/>
      <c r="G43" s="363"/>
    </row>
    <row r="44" spans="2:7" ht="13.8" x14ac:dyDescent="0.3">
      <c r="B44" s="361"/>
      <c r="C44" s="157"/>
      <c r="D44" s="157"/>
      <c r="E44" s="157"/>
      <c r="F44" s="157"/>
      <c r="G44" s="363"/>
    </row>
    <row r="45" spans="2:7" ht="13.8" x14ac:dyDescent="0.3">
      <c r="B45" s="361"/>
      <c r="C45" s="157"/>
      <c r="D45" s="157"/>
      <c r="E45" s="157"/>
      <c r="F45" s="157"/>
      <c r="G45" s="363"/>
    </row>
    <row r="46" spans="2:7" ht="13.8" x14ac:dyDescent="0.3">
      <c r="B46" s="361"/>
      <c r="C46" s="157"/>
      <c r="D46" s="157"/>
      <c r="E46" s="157"/>
      <c r="F46" s="157"/>
      <c r="G46" s="363"/>
    </row>
    <row r="47" spans="2:7" ht="13.8" x14ac:dyDescent="0.3">
      <c r="B47" s="361"/>
      <c r="C47" s="157"/>
      <c r="D47" s="157"/>
      <c r="E47" s="157"/>
      <c r="F47" s="157"/>
      <c r="G47" s="363"/>
    </row>
    <row r="48" spans="2:7" ht="13.8" x14ac:dyDescent="0.3">
      <c r="B48" s="361"/>
      <c r="C48" s="157"/>
      <c r="D48" s="157"/>
      <c r="E48" s="157"/>
      <c r="F48" s="157"/>
      <c r="G48" s="363"/>
    </row>
    <row r="49" spans="2:7" ht="13.8" x14ac:dyDescent="0.3">
      <c r="B49" s="361"/>
      <c r="C49" s="157"/>
      <c r="D49" s="157"/>
      <c r="E49" s="157"/>
      <c r="F49" s="157"/>
      <c r="G49" s="363"/>
    </row>
    <row r="50" spans="2:7" ht="13.8" x14ac:dyDescent="0.3">
      <c r="B50" s="361"/>
      <c r="C50" s="157"/>
      <c r="D50" s="157"/>
      <c r="E50" s="157"/>
      <c r="F50" s="157"/>
      <c r="G50" s="363"/>
    </row>
    <row r="51" spans="2:7" ht="13.8" x14ac:dyDescent="0.3">
      <c r="B51" s="361"/>
      <c r="C51" s="157"/>
      <c r="D51" s="157"/>
      <c r="E51" s="157"/>
      <c r="F51" s="157"/>
      <c r="G51" s="363"/>
    </row>
    <row r="52" spans="2:7" ht="13.8" x14ac:dyDescent="0.3">
      <c r="B52" s="361"/>
      <c r="C52" s="157"/>
      <c r="D52" s="157"/>
      <c r="E52" s="157"/>
      <c r="F52" s="157"/>
      <c r="G52" s="363"/>
    </row>
    <row r="53" spans="2:7" ht="13.8" x14ac:dyDescent="0.3">
      <c r="B53" s="361"/>
      <c r="C53" s="157"/>
      <c r="D53" s="157"/>
      <c r="E53" s="157"/>
      <c r="F53" s="157"/>
      <c r="G53" s="363"/>
    </row>
    <row r="54" spans="2:7" ht="13.8" x14ac:dyDescent="0.3">
      <c r="B54" s="361"/>
      <c r="C54" s="157"/>
      <c r="D54" s="157"/>
      <c r="E54" s="157"/>
      <c r="F54" s="157"/>
      <c r="G54" s="363"/>
    </row>
    <row r="55" spans="2:7" ht="15.6" x14ac:dyDescent="0.3">
      <c r="B55" s="361"/>
      <c r="C55" s="999" t="s">
        <v>606</v>
      </c>
      <c r="D55" s="999"/>
      <c r="E55" s="999"/>
      <c r="F55" s="362"/>
      <c r="G55" s="363"/>
    </row>
    <row r="56" spans="2:7" ht="13.8" x14ac:dyDescent="0.3">
      <c r="B56" s="361"/>
      <c r="C56" s="156"/>
      <c r="D56" s="1000"/>
      <c r="E56" s="1000"/>
      <c r="F56" s="156"/>
      <c r="G56" s="363"/>
    </row>
    <row r="57" spans="2:7" ht="13.8" x14ac:dyDescent="0.3">
      <c r="B57" s="361"/>
      <c r="C57" s="156"/>
      <c r="D57" s="156"/>
      <c r="E57" s="156"/>
      <c r="F57" s="156"/>
      <c r="G57" s="363"/>
    </row>
    <row r="58" spans="2:7" ht="13.8" x14ac:dyDescent="0.3">
      <c r="B58" s="361"/>
      <c r="C58" s="157"/>
      <c r="D58" s="157"/>
      <c r="E58" s="157"/>
      <c r="F58" s="157"/>
      <c r="G58" s="363"/>
    </row>
    <row r="59" spans="2:7" ht="13.8" x14ac:dyDescent="0.3">
      <c r="B59" s="361"/>
      <c r="C59" s="157"/>
      <c r="D59" s="157"/>
      <c r="E59" s="157"/>
      <c r="F59" s="157"/>
      <c r="G59" s="363"/>
    </row>
    <row r="60" spans="2:7" ht="13.8" x14ac:dyDescent="0.3">
      <c r="B60" s="361"/>
      <c r="C60" s="157"/>
      <c r="D60" s="157"/>
      <c r="E60" s="157"/>
      <c r="F60" s="157"/>
      <c r="G60" s="363"/>
    </row>
    <row r="61" spans="2:7" ht="13.8" x14ac:dyDescent="0.3">
      <c r="B61" s="361"/>
      <c r="C61" s="157"/>
      <c r="D61" s="157"/>
      <c r="E61" s="157"/>
      <c r="F61" s="157"/>
      <c r="G61" s="363"/>
    </row>
    <row r="62" spans="2:7" ht="13.8" x14ac:dyDescent="0.3">
      <c r="B62" s="361"/>
      <c r="C62" s="157"/>
      <c r="D62" s="157"/>
      <c r="E62" s="157"/>
      <c r="F62" s="157"/>
      <c r="G62" s="363"/>
    </row>
    <row r="63" spans="2:7" ht="13.8" x14ac:dyDescent="0.3">
      <c r="B63" s="361"/>
      <c r="C63" s="157"/>
      <c r="D63" s="157"/>
      <c r="E63" s="157"/>
      <c r="F63" s="157"/>
      <c r="G63" s="363"/>
    </row>
    <row r="64" spans="2:7" ht="13.8" x14ac:dyDescent="0.3">
      <c r="B64" s="361"/>
      <c r="C64" s="157"/>
      <c r="D64" s="157"/>
      <c r="E64" s="157"/>
      <c r="F64" s="157"/>
      <c r="G64" s="363"/>
    </row>
    <row r="65" spans="2:7" ht="13.8" x14ac:dyDescent="0.3">
      <c r="B65" s="361"/>
      <c r="C65" s="157"/>
      <c r="D65" s="157"/>
      <c r="E65" s="157"/>
      <c r="F65" s="157"/>
      <c r="G65" s="363"/>
    </row>
    <row r="66" spans="2:7" ht="13.8" x14ac:dyDescent="0.3">
      <c r="B66" s="361"/>
      <c r="C66" s="157"/>
      <c r="D66" s="157"/>
      <c r="E66" s="157"/>
      <c r="F66" s="157"/>
      <c r="G66" s="363"/>
    </row>
    <row r="67" spans="2:7" ht="13.8" x14ac:dyDescent="0.3">
      <c r="B67" s="361"/>
      <c r="C67" s="157"/>
      <c r="D67" s="157"/>
      <c r="E67" s="157"/>
      <c r="F67" s="157"/>
      <c r="G67" s="363"/>
    </row>
    <row r="68" spans="2:7" ht="13.8" x14ac:dyDescent="0.3">
      <c r="B68" s="361"/>
      <c r="C68" s="157"/>
      <c r="D68" s="157"/>
      <c r="E68" s="157"/>
      <c r="F68" s="157"/>
      <c r="G68" s="363"/>
    </row>
    <row r="69" spans="2:7" ht="13.8" x14ac:dyDescent="0.3">
      <c r="B69" s="361"/>
      <c r="C69" s="157"/>
      <c r="D69" s="157"/>
      <c r="E69" s="157"/>
      <c r="F69" s="157"/>
      <c r="G69" s="363"/>
    </row>
    <row r="70" spans="2:7" ht="13.8" x14ac:dyDescent="0.3">
      <c r="B70" s="361"/>
      <c r="C70" s="157"/>
      <c r="D70" s="157"/>
      <c r="E70" s="157"/>
      <c r="F70" s="157"/>
      <c r="G70" s="363"/>
    </row>
    <row r="71" spans="2:7" ht="13.8" x14ac:dyDescent="0.3">
      <c r="B71" s="361"/>
      <c r="C71" s="157"/>
      <c r="D71" s="157"/>
      <c r="E71" s="157"/>
      <c r="F71" s="157"/>
      <c r="G71" s="363"/>
    </row>
    <row r="72" spans="2:7" ht="13.8" x14ac:dyDescent="0.3">
      <c r="B72" s="361"/>
      <c r="C72" s="157"/>
      <c r="D72" s="157"/>
      <c r="E72" s="157"/>
      <c r="F72" s="157"/>
      <c r="G72" s="363"/>
    </row>
    <row r="73" spans="2:7" ht="13.8" x14ac:dyDescent="0.3">
      <c r="B73" s="361"/>
      <c r="C73" s="157"/>
      <c r="D73" s="157"/>
      <c r="E73" s="157"/>
      <c r="F73" s="157"/>
      <c r="G73" s="363"/>
    </row>
    <row r="74" spans="2:7" ht="13.8" x14ac:dyDescent="0.3">
      <c r="B74" s="361"/>
      <c r="C74" s="157"/>
      <c r="D74" s="157"/>
      <c r="E74" s="157"/>
      <c r="F74" s="157"/>
      <c r="G74" s="363"/>
    </row>
    <row r="75" spans="2:7" ht="13.8" x14ac:dyDescent="0.3">
      <c r="B75" s="361"/>
      <c r="C75" s="157"/>
      <c r="D75" s="157"/>
      <c r="E75" s="157"/>
      <c r="F75" s="157"/>
      <c r="G75" s="363"/>
    </row>
    <row r="76" spans="2:7" ht="13.8" x14ac:dyDescent="0.3">
      <c r="B76" s="361"/>
      <c r="C76" s="157"/>
      <c r="D76" s="157"/>
      <c r="E76" s="157"/>
      <c r="F76" s="157"/>
      <c r="G76" s="363"/>
    </row>
    <row r="77" spans="2:7" ht="13.8" x14ac:dyDescent="0.3">
      <c r="B77" s="361"/>
      <c r="C77" s="157"/>
      <c r="D77" s="157"/>
      <c r="E77" s="157"/>
      <c r="F77" s="157"/>
      <c r="G77" s="363"/>
    </row>
    <row r="78" spans="2:7" ht="13.8" x14ac:dyDescent="0.3">
      <c r="B78" s="361"/>
      <c r="C78" s="157"/>
      <c r="D78" s="157"/>
      <c r="E78" s="157"/>
      <c r="F78" s="157"/>
      <c r="G78" s="363"/>
    </row>
    <row r="79" spans="2:7" ht="14.4" thickBot="1" x14ac:dyDescent="0.35">
      <c r="B79" s="397"/>
      <c r="C79" s="398"/>
      <c r="D79" s="398"/>
      <c r="E79" s="398"/>
      <c r="F79" s="398"/>
      <c r="G79" s="399"/>
    </row>
  </sheetData>
  <sheetProtection algorithmName="SHA-512" hashValue="WF7VFcCTJZDwEaHM9SaqXPg3S8F92L6l8j2w8xMZfL3rLxsSFjM240NmCuU6YAf0yzpUdZ9+4dp5GO9gNS4SDA==" saltValue="VRtrA5Ic9pBN+MVqu3UarQ==" spinCount="100000" sheet="1" objects="1" scenarios="1"/>
  <mergeCells count="9">
    <mergeCell ref="C30:G30"/>
    <mergeCell ref="C55:E55"/>
    <mergeCell ref="D56:E56"/>
    <mergeCell ref="C3:C4"/>
    <mergeCell ref="D3:D4"/>
    <mergeCell ref="E3:E4"/>
    <mergeCell ref="C27:D27"/>
    <mergeCell ref="C28:C29"/>
    <mergeCell ref="D28:E29"/>
  </mergeCells>
  <printOptions horizontalCentered="1"/>
  <pageMargins left="0.15748031496062992" right="0.15748031496062992" top="0.59055118110236227" bottom="0.39370078740157483" header="0.51181102362204722" footer="0.51181102362204722"/>
  <pageSetup paperSize="9" scale="60" orientation="portrait" r:id="rId1"/>
  <headerFooter alignWithMargins="0">
    <oddFooter>&amp;LFM-HSS-W01-01&amp;CJanuary 2020&amp;RRev 17.0</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1FED-D3C7-482C-9F9C-33ACAF684D13}">
  <sheetPr codeName="Sheet10">
    <tabColor indexed="57"/>
  </sheetPr>
  <dimension ref="B2:X43"/>
  <sheetViews>
    <sheetView showGridLines="0" showZeros="0" zoomScaleNormal="100" workbookViewId="0">
      <selection activeCell="V25" sqref="V25"/>
    </sheetView>
  </sheetViews>
  <sheetFormatPr defaultColWidth="9.109375" defaultRowHeight="13.2" x14ac:dyDescent="0.25"/>
  <cols>
    <col min="1" max="1" width="1.44140625" style="48" customWidth="1"/>
    <col min="2" max="2" width="2.77734375" style="48" customWidth="1"/>
    <col min="3" max="3" width="12.44140625" style="48" customWidth="1"/>
    <col min="4" max="4" width="17" style="48" customWidth="1"/>
    <col min="5" max="6" width="15.44140625" style="48" customWidth="1"/>
    <col min="7" max="7" width="13.6640625" style="48" hidden="1" customWidth="1"/>
    <col min="8" max="8" width="15.6640625" style="48" customWidth="1"/>
    <col min="9" max="9" width="9.109375" style="48" hidden="1" customWidth="1"/>
    <col min="10" max="10" width="15.6640625" style="48" customWidth="1"/>
    <col min="11" max="11" width="8.33203125" style="48" hidden="1" customWidth="1"/>
    <col min="12" max="12" width="15.6640625" style="48" customWidth="1"/>
    <col min="13" max="13" width="8.33203125" style="48" hidden="1" customWidth="1"/>
    <col min="14" max="14" width="15.6640625" style="48" customWidth="1"/>
    <col min="15" max="19" width="8.33203125" style="48" hidden="1" customWidth="1"/>
    <col min="20" max="20" width="15.6640625" style="48" customWidth="1"/>
    <col min="21" max="21" width="9.44140625" style="48" hidden="1" customWidth="1"/>
    <col min="22" max="22" width="10.109375" style="48" hidden="1" customWidth="1"/>
    <col min="23" max="23" width="19.6640625" style="48" customWidth="1"/>
    <col min="24" max="24" width="2.44140625" style="48" customWidth="1"/>
    <col min="25" max="16384" width="9.109375" style="48"/>
  </cols>
  <sheetData>
    <row r="2" spans="2:24" ht="14.4" thickBot="1" x14ac:dyDescent="0.35">
      <c r="B2" s="400"/>
      <c r="C2" s="375"/>
      <c r="D2" s="375"/>
      <c r="E2" s="375"/>
      <c r="F2" s="375"/>
      <c r="G2" s="375"/>
      <c r="H2" s="375"/>
      <c r="I2" s="375"/>
      <c r="J2" s="375"/>
      <c r="K2" s="375"/>
      <c r="L2" s="375"/>
      <c r="M2" s="375"/>
      <c r="N2" s="375"/>
      <c r="O2" s="375"/>
      <c r="P2" s="375"/>
      <c r="Q2" s="375"/>
      <c r="R2" s="375"/>
      <c r="S2" s="375"/>
      <c r="T2" s="375"/>
      <c r="U2" s="375"/>
      <c r="V2" s="375"/>
      <c r="W2" s="375"/>
      <c r="X2" s="143"/>
    </row>
    <row r="3" spans="2:24" ht="15.75" customHeight="1" x14ac:dyDescent="0.3">
      <c r="B3" s="401"/>
      <c r="C3" s="402"/>
      <c r="D3" s="403"/>
      <c r="E3" s="1046" t="s">
        <v>607</v>
      </c>
      <c r="F3" s="1059"/>
      <c r="G3" s="1048" t="s">
        <v>107</v>
      </c>
      <c r="H3" s="1060"/>
      <c r="I3" s="1063" t="s">
        <v>108</v>
      </c>
      <c r="J3" s="1049"/>
      <c r="K3" s="1048" t="s">
        <v>109</v>
      </c>
      <c r="L3" s="1049"/>
      <c r="M3" s="1048" t="s">
        <v>110</v>
      </c>
      <c r="N3" s="1049"/>
      <c r="O3" s="1013" t="s">
        <v>608</v>
      </c>
      <c r="P3" s="1014"/>
      <c r="Q3" s="1013" t="s">
        <v>609</v>
      </c>
      <c r="R3" s="1014"/>
      <c r="S3" s="1048" t="s">
        <v>112</v>
      </c>
      <c r="T3" s="1053"/>
      <c r="U3" s="1048" t="s">
        <v>610</v>
      </c>
      <c r="V3" s="1053"/>
      <c r="W3" s="157"/>
      <c r="X3" s="146"/>
    </row>
    <row r="4" spans="2:24" ht="27" customHeight="1" thickBot="1" x14ac:dyDescent="0.35">
      <c r="B4" s="401"/>
      <c r="C4" s="1055" t="s">
        <v>611</v>
      </c>
      <c r="D4" s="1056"/>
      <c r="E4" s="405" t="s">
        <v>612</v>
      </c>
      <c r="F4" s="406" t="s">
        <v>385</v>
      </c>
      <c r="G4" s="1061"/>
      <c r="H4" s="1062"/>
      <c r="I4" s="1064"/>
      <c r="J4" s="1051"/>
      <c r="K4" s="1052"/>
      <c r="L4" s="1051"/>
      <c r="M4" s="1050"/>
      <c r="N4" s="1051"/>
      <c r="O4" s="1015"/>
      <c r="P4" s="1016"/>
      <c r="Q4" s="1015"/>
      <c r="R4" s="1016"/>
      <c r="S4" s="1050"/>
      <c r="T4" s="1054"/>
      <c r="U4" s="1050"/>
      <c r="V4" s="1054"/>
      <c r="W4" s="157"/>
      <c r="X4" s="146"/>
    </row>
    <row r="5" spans="2:24" ht="14.4" hidden="1" thickBot="1" x14ac:dyDescent="0.35">
      <c r="B5" s="401"/>
      <c r="C5" s="407"/>
      <c r="D5" s="408"/>
      <c r="E5" s="409"/>
      <c r="F5" s="410"/>
      <c r="G5" s="411" t="s">
        <v>613</v>
      </c>
      <c r="H5" s="412" t="s">
        <v>614</v>
      </c>
      <c r="I5" s="413" t="s">
        <v>613</v>
      </c>
      <c r="J5" s="413" t="s">
        <v>614</v>
      </c>
      <c r="K5" s="413" t="s">
        <v>613</v>
      </c>
      <c r="L5" s="413" t="s">
        <v>614</v>
      </c>
      <c r="M5" s="413" t="s">
        <v>613</v>
      </c>
      <c r="N5" s="413" t="s">
        <v>614</v>
      </c>
      <c r="O5" s="413" t="s">
        <v>613</v>
      </c>
      <c r="P5" s="414" t="s">
        <v>614</v>
      </c>
      <c r="Q5" s="415" t="s">
        <v>613</v>
      </c>
      <c r="R5" s="415" t="s">
        <v>614</v>
      </c>
      <c r="S5" s="413" t="s">
        <v>613</v>
      </c>
      <c r="T5" s="413" t="s">
        <v>614</v>
      </c>
      <c r="U5" s="415" t="s">
        <v>613</v>
      </c>
      <c r="V5" s="415" t="s">
        <v>614</v>
      </c>
      <c r="W5" s="157"/>
      <c r="X5" s="146"/>
    </row>
    <row r="6" spans="2:24" ht="15" customHeight="1" x14ac:dyDescent="0.3">
      <c r="B6" s="401"/>
      <c r="C6" s="1057" t="s">
        <v>235</v>
      </c>
      <c r="D6" s="416" t="s">
        <v>615</v>
      </c>
      <c r="E6" s="417">
        <f>G6+I6+K6+M6+S6</f>
        <v>0</v>
      </c>
      <c r="F6" s="418">
        <f>H6+J6+L6+N6+T6</f>
        <v>0</v>
      </c>
      <c r="G6" s="419" cm="1">
        <f t="array" ref="G6">SUM(IF(('Waste Forecast'!AB120:AB431="Demolition")*('Waste Forecast'!AA120:AA431="I"),'Waste Forecast'!AC120:AC431,0))</f>
        <v>0</v>
      </c>
      <c r="H6" s="419">
        <f t="array" ref="H6">SUM(IF(('Project Cumulative '!R122:R442="Demolition")*('Project Cumulative '!Q122:Q442="I"),'Project Cumulative '!S122:S442,0))</f>
        <v>0</v>
      </c>
      <c r="I6" s="419">
        <f t="array" ref="I6">SUM(IF(('Waste Forecast'!AB120:AB431="Demolition")*('Waste Forecast'!AA120:AA431="I"),'Waste Forecast'!AD120:AD431,0))</f>
        <v>0</v>
      </c>
      <c r="J6" s="419">
        <f t="array" ref="J6">SUM(IF(('Project Cumulative '!R122:R442="Demolition")*('Project Cumulative '!Q122:Q442="I"),'Project Cumulative '!T122:T442,0))</f>
        <v>0</v>
      </c>
      <c r="K6" s="419">
        <f t="array" ref="K6">SUM(IF(('Waste Forecast'!AB120:AB431="Demolition")*('Waste Forecast'!AA120:AA431="I"),'Waste Forecast'!AE120:AE431,0))</f>
        <v>0</v>
      </c>
      <c r="L6" s="419">
        <f t="array" ref="L6">SUM(IF(('Project Cumulative '!R122:R442="Demolition")*('Project Cumulative '!Q122:Q442="I"),'Project Cumulative '!U122:U442,0))</f>
        <v>0</v>
      </c>
      <c r="M6" s="419">
        <f t="array" ref="M6">SUM(IF(('Waste Forecast'!AB120:AB431="Demolition")*('Waste Forecast'!AA120:AA431="I"),'Waste Forecast'!AF120:AF431,0))</f>
        <v>0</v>
      </c>
      <c r="N6" s="419">
        <f t="array" ref="N6">SUM(IF(('Project Cumulative '!R122:R442="Demolition")*('Project Cumulative '!Q122:Q442="I"),'Project Cumulative '!V122:V442,0))</f>
        <v>0</v>
      </c>
      <c r="O6" s="419"/>
      <c r="P6" s="419"/>
      <c r="Q6" s="419"/>
      <c r="R6" s="419"/>
      <c r="S6" s="419">
        <f t="array" ref="S6">SUM(IF(('Waste Forecast'!AB120:AB431="Demolition")*('Waste Forecast'!AA120:AA431="I"),'Waste Forecast'!AH120:AH431,0))</f>
        <v>0</v>
      </c>
      <c r="T6" s="419">
        <f t="array" ref="T6">SUM(IF(('Project Cumulative '!R122:R442="Demolition")*('Project Cumulative '!Q122:Q442="I"),'Project Cumulative '!X122:X442,0))</f>
        <v>0</v>
      </c>
      <c r="U6" s="420"/>
      <c r="V6" s="421"/>
      <c r="W6" s="157"/>
      <c r="X6" s="146"/>
    </row>
    <row r="7" spans="2:24" ht="15" customHeight="1" x14ac:dyDescent="0.3">
      <c r="B7" s="401"/>
      <c r="C7" s="1042"/>
      <c r="D7" s="422" t="s">
        <v>616</v>
      </c>
      <c r="E7" s="417">
        <f t="shared" ref="E7:F13" si="0">G7+I7+K7+M7+S7</f>
        <v>0</v>
      </c>
      <c r="F7" s="418">
        <f t="shared" si="0"/>
        <v>0</v>
      </c>
      <c r="G7" s="419">
        <f t="array" ref="G7">SUM(IF(('Waste Forecast'!AB120:AB431="Demolition")*('Waste Forecast'!AA120:AA431="NH"),'Waste Forecast'!AC120:AC431,0))</f>
        <v>0</v>
      </c>
      <c r="H7" s="419">
        <f t="array" ref="H7">SUM(IF(('Project Cumulative '!R122:R442="Demolition")*('Project Cumulative '!Q122:Q442="NH"),'Project Cumulative '!S122:S442,0))</f>
        <v>0</v>
      </c>
      <c r="I7" s="419">
        <f t="array" ref="I7">SUM(IF(('Waste Forecast'!AB120:AB431="Demolition")*('Waste Forecast'!AA120:AA431="NH"),'Waste Forecast'!AD120:AD431,0))</f>
        <v>0</v>
      </c>
      <c r="J7" s="419">
        <f t="array" ref="J7">SUM(IF(('Project Cumulative '!R122:R442="Demolition")*('Project Cumulative '!Q122:Q442="NH"),'Project Cumulative '!T122:T442,0))</f>
        <v>0</v>
      </c>
      <c r="K7" s="419">
        <f t="array" ref="K7">SUM(IF(('Waste Forecast'!AB120:AB431="Demolition")*('Waste Forecast'!AA120:AA431="NH"),'Waste Forecast'!AE120:AE431,0))</f>
        <v>0</v>
      </c>
      <c r="L7" s="419">
        <f t="array" ref="L7">SUM(IF(('Project Cumulative '!R122:R442="Demolition")*('Project Cumulative '!Q122:Q442="NH"),'Project Cumulative '!U122:U442,0))</f>
        <v>0</v>
      </c>
      <c r="M7" s="419">
        <f t="array" ref="M7">SUM(IF(('Waste Forecast'!AB120:AB431="Demolition")*('Waste Forecast'!AA120:AA431="NH"),'Waste Forecast'!AF120:AF431,0))</f>
        <v>0</v>
      </c>
      <c r="N7" s="419">
        <f t="array" ref="N7">SUM(IF(('Project Cumulative '!R122:R442="Demolition")*('Project Cumulative '!Q122:Q442="NH"),'Project Cumulative '!V122:V442,0))</f>
        <v>0</v>
      </c>
      <c r="O7" s="419"/>
      <c r="P7" s="419"/>
      <c r="Q7" s="419"/>
      <c r="R7" s="419"/>
      <c r="S7" s="419">
        <f t="array" ref="S7">SUM(IF(('Waste Forecast'!AB120:AB431="Demolition")*('Waste Forecast'!AA120:AA431="NH"),'Waste Forecast'!AH120:AH431,0))</f>
        <v>0</v>
      </c>
      <c r="T7" s="419">
        <f t="array" ref="T7">SUM(IF(('Project Cumulative '!R122:R442="Demolition")*('Project Cumulative '!Q122:Q442="NH"),'Project Cumulative '!X122:X442,0))</f>
        <v>0</v>
      </c>
      <c r="U7" s="420"/>
      <c r="V7" s="421"/>
      <c r="W7" s="157"/>
      <c r="X7" s="146"/>
    </row>
    <row r="8" spans="2:24" ht="15" customHeight="1" thickBot="1" x14ac:dyDescent="0.35">
      <c r="B8" s="401"/>
      <c r="C8" s="1042"/>
      <c r="D8" s="423" t="s">
        <v>617</v>
      </c>
      <c r="E8" s="424">
        <f t="shared" si="0"/>
        <v>0</v>
      </c>
      <c r="F8" s="425">
        <f t="shared" si="0"/>
        <v>0</v>
      </c>
      <c r="G8" s="426">
        <f t="array" ref="G8">SUM(IF(('Waste Forecast'!AB120:AB431="Demolition")*('Waste Forecast'!AA120:AA431="H"),'Waste Forecast'!AC120:AC431,0))</f>
        <v>0</v>
      </c>
      <c r="H8" s="426">
        <f t="array" ref="H8">SUM(IF(('Project Cumulative '!R122:R442="Demolition")*('Project Cumulative '!Q122:Q442="H"),'Project Cumulative '!S122:S442,0))</f>
        <v>0</v>
      </c>
      <c r="I8" s="426">
        <f t="array" ref="I8">SUM(IF(('Waste Forecast'!AB120:AB431="Demolition")*('Waste Forecast'!AA120:AA431="H"),'Waste Forecast'!AD120:AD431,0))</f>
        <v>0</v>
      </c>
      <c r="J8" s="426">
        <f t="array" ref="J8">SUM(IF(('Project Cumulative '!R122:R442="Demolition")*('Project Cumulative '!Q122:Q442="H"),'Project Cumulative '!T122:T442,0))</f>
        <v>0</v>
      </c>
      <c r="K8" s="426">
        <f t="array" ref="K8">SUM(IF(('Waste Forecast'!AB120:AB431="Demolition")*('Waste Forecast'!AA120:AA431="H"),'Waste Forecast'!AE120:AE431,0))</f>
        <v>0</v>
      </c>
      <c r="L8" s="426">
        <f t="array" ref="L8">SUM(IF(('Project Cumulative '!R122:R442="Demolition")*('Project Cumulative '!Q122:Q442="H"),'Project Cumulative '!U122:U442,0))</f>
        <v>0</v>
      </c>
      <c r="M8" s="426">
        <f t="array" ref="M8">SUM(IF(('Waste Forecast'!AB120:AB431="Demolition")*('Waste Forecast'!AA120:AA431="H"),'Waste Forecast'!AF120:AF431,0))</f>
        <v>0</v>
      </c>
      <c r="N8" s="426">
        <f t="array" ref="N8">SUM(IF(('Project Cumulative '!R122:R442="Demolition")*('Project Cumulative '!Q122:Q442="H"),'Project Cumulative '!V122:V442,0))</f>
        <v>0</v>
      </c>
      <c r="O8" s="426"/>
      <c r="P8" s="426"/>
      <c r="Q8" s="426"/>
      <c r="R8" s="426"/>
      <c r="S8" s="426">
        <f t="array" ref="S8">SUM(IF(('Waste Forecast'!AB120:AB431="Demolition")*('Waste Forecast'!AA120:AA431="H"),'Waste Forecast'!AH120:AH431,0))</f>
        <v>0</v>
      </c>
      <c r="T8" s="426">
        <f t="array" ref="T8">SUM(IF(('Project Cumulative '!R122:R442="Demolition")*('Project Cumulative '!Q122:Q442="H"),'Project Cumulative '!X122:X442,0))</f>
        <v>0</v>
      </c>
      <c r="U8" s="420"/>
      <c r="V8" s="421"/>
      <c r="W8" s="157"/>
      <c r="X8" s="146"/>
    </row>
    <row r="9" spans="2:24" ht="15" customHeight="1" x14ac:dyDescent="0.3">
      <c r="B9" s="401"/>
      <c r="C9" s="1057" t="s">
        <v>236</v>
      </c>
      <c r="D9" s="416" t="s">
        <v>615</v>
      </c>
      <c r="E9" s="427">
        <f t="shared" si="0"/>
        <v>0</v>
      </c>
      <c r="F9" s="428">
        <f>H9+J9+L9+N9+T9</f>
        <v>0</v>
      </c>
      <c r="G9" s="428">
        <f t="array" ref="G9">SUM(IF(('Waste Forecast'!AB120:AB431="Excavation")*('Waste Forecast'!AA120:AA431="I"),'Waste Forecast'!AC120:AC431,0))</f>
        <v>0</v>
      </c>
      <c r="H9" s="428">
        <f t="array" ref="H9">SUM(IF(('Project Cumulative '!R122:R442="Excavation")*('Project Cumulative '!Q122:Q442="I"),'Project Cumulative '!S122:S442,0))</f>
        <v>0</v>
      </c>
      <c r="I9" s="428">
        <f t="array" ref="I9">SUM(IF(('Waste Forecast'!AB120:AB431="Excavation")*('Waste Forecast'!AA120:AA431="I"),'Waste Forecast'!AD120:AD431,0))</f>
        <v>0</v>
      </c>
      <c r="J9" s="428">
        <f t="array" ref="J9">SUM(IF(('Project Cumulative '!R122:R442="Excavation")*('Project Cumulative '!Q122:Q442="I"),'Project Cumulative '!T122:T442,0))</f>
        <v>0</v>
      </c>
      <c r="K9" s="428">
        <f t="array" ref="K9">SUM(IF(('Waste Forecast'!AB120:AB431="Excavation")*('Waste Forecast'!AA120:AA431="I"),'Waste Forecast'!AE120:AE431,0))</f>
        <v>0</v>
      </c>
      <c r="L9" s="428">
        <f t="array" ref="L9">SUM(IF(('Project Cumulative '!R122:R442="Excavation")*('Project Cumulative '!Q122:Q442="I"),'Project Cumulative '!U122:U442,0))</f>
        <v>0</v>
      </c>
      <c r="M9" s="428">
        <f t="array" ref="M9">SUM(IF(('Waste Forecast'!AB120:AB431="Excavation")*('Waste Forecast'!AA120:AA431="I"),'Waste Forecast'!AF120:AF431,0))</f>
        <v>0</v>
      </c>
      <c r="N9" s="428">
        <f t="array" ref="N9">SUM(IF(('Project Cumulative '!R122:R442="Excavation")*('Project Cumulative '!Q122:Q442="I"),'Project Cumulative '!V122:V442,0))</f>
        <v>0</v>
      </c>
      <c r="O9" s="428"/>
      <c r="P9" s="428"/>
      <c r="Q9" s="428"/>
      <c r="R9" s="428"/>
      <c r="S9" s="428">
        <f t="array" ref="S9">SUM(IF(('Waste Forecast'!AB120:AB431="Excavation")*('Waste Forecast'!AA120:AA431="I"),'Waste Forecast'!AH120:AH431,0))</f>
        <v>0</v>
      </c>
      <c r="T9" s="428">
        <f t="array" ref="T9">SUM(IF(('Project Cumulative '!R122:R442="Excavation")*('Project Cumulative '!Q122:Q442="I"),'Project Cumulative '!X122:X442,0))</f>
        <v>0</v>
      </c>
      <c r="U9" s="420"/>
      <c r="V9" s="421"/>
      <c r="W9" s="157"/>
      <c r="X9" s="146"/>
    </row>
    <row r="10" spans="2:24" ht="15" customHeight="1" x14ac:dyDescent="0.3">
      <c r="B10" s="401"/>
      <c r="C10" s="1041"/>
      <c r="D10" s="422" t="s">
        <v>618</v>
      </c>
      <c r="E10" s="417">
        <f t="shared" si="0"/>
        <v>0</v>
      </c>
      <c r="F10" s="418">
        <f t="shared" si="0"/>
        <v>0</v>
      </c>
      <c r="G10" s="419">
        <f t="array" ref="G10">SUM(IF(('Waste Forecast'!AB120:AB431="Excavation")*('Waste Forecast'!AA120:AA431="NH"),'Waste Forecast'!AC120:AC431,0))</f>
        <v>0</v>
      </c>
      <c r="H10" s="419">
        <f t="array" ref="H10">SUM(IF(('Project Cumulative '!R122:R442="Excavation")*('Project Cumulative '!Q122:Q442="NH"),'Project Cumulative '!S122:S442,0))</f>
        <v>0</v>
      </c>
      <c r="I10" s="419">
        <f t="array" ref="I10">SUM(IF(('Waste Forecast'!AB120:AB431="Excavation")*('Waste Forecast'!AA120:AA431="NH"),'Waste Forecast'!AD120:AD431,0))</f>
        <v>0</v>
      </c>
      <c r="J10" s="419">
        <f t="array" ref="J10">SUM(IF(('Project Cumulative '!R122:R442="Excavation")*('Project Cumulative '!Q122:Q442="NH"),'Project Cumulative '!T122:T442,0))</f>
        <v>0</v>
      </c>
      <c r="K10" s="419">
        <f t="array" ref="K10">SUM(IF(('Waste Forecast'!AB120:AB431="Excavation")*('Waste Forecast'!AA120:AA431="NH"),'Waste Forecast'!AE120:AE431,0))</f>
        <v>0</v>
      </c>
      <c r="L10" s="419">
        <f t="array" ref="L10">SUM(IF(('Project Cumulative '!R122:R442="Excavation")*('Project Cumulative '!Q122:Q442="NH"),'Project Cumulative '!U122:U442,0))</f>
        <v>0</v>
      </c>
      <c r="M10" s="419">
        <f t="array" ref="M10">SUM(IF(('Waste Forecast'!AB120:AB431="Excavation")*('Waste Forecast'!AA120:AA431="NH"),'Waste Forecast'!AF120:AF431,0))</f>
        <v>0</v>
      </c>
      <c r="N10" s="419">
        <f t="array" ref="N10">SUM(IF(('Project Cumulative '!R122:R442="Excavation")*('Project Cumulative '!Q122:Q442="NH"),'Project Cumulative '!V122:V442,0))</f>
        <v>0</v>
      </c>
      <c r="O10" s="419"/>
      <c r="P10" s="419"/>
      <c r="Q10" s="419"/>
      <c r="R10" s="419"/>
      <c r="S10" s="419">
        <f t="array" ref="S10">SUM(IF(('Waste Forecast'!AB120:AB431="Excavation")*('Waste Forecast'!AA120:AA431="NH"),'Waste Forecast'!AH120:AH431,0))</f>
        <v>0</v>
      </c>
      <c r="T10" s="419">
        <f t="array" ref="T10">SUM(IF(('Project Cumulative '!R122:R442="Excavation")*('Project Cumulative '!Q122:Q442="NH"),'Project Cumulative '!X122:X442,0))</f>
        <v>0</v>
      </c>
      <c r="U10" s="420"/>
      <c r="V10" s="421"/>
      <c r="W10" s="157"/>
      <c r="X10" s="146"/>
    </row>
    <row r="11" spans="2:24" ht="15" customHeight="1" thickBot="1" x14ac:dyDescent="0.35">
      <c r="B11" s="401"/>
      <c r="C11" s="1058"/>
      <c r="D11" s="423" t="s">
        <v>617</v>
      </c>
      <c r="E11" s="429">
        <f t="shared" si="0"/>
        <v>0</v>
      </c>
      <c r="F11" s="430">
        <f t="shared" si="0"/>
        <v>0</v>
      </c>
      <c r="G11" s="431">
        <f t="array" ref="G11">SUM(IF(('Waste Forecast'!AB120:AB431="Excavation")*('Waste Forecast'!AA120:AA431="H"),'Waste Forecast'!AC120:AC431,0))</f>
        <v>0</v>
      </c>
      <c r="H11" s="431">
        <f t="array" ref="H11">SUM(IF(('Project Cumulative '!R122:R442="Excavation")*('Project Cumulative '!Q122:Q442="H"),'Project Cumulative '!S122:S442,0))</f>
        <v>0</v>
      </c>
      <c r="I11" s="431">
        <f t="array" ref="I11">SUM(IF(('Waste Forecast'!AB120:AB431="Excavation")*('Waste Forecast'!AA120:AA431="H"),'Waste Forecast'!AD120:AD431,0))</f>
        <v>0</v>
      </c>
      <c r="J11" s="431">
        <f t="array" ref="J11">SUM(IF(('Project Cumulative '!R122:R442="Excavation")*('Project Cumulative '!Q122:Q442="H"),'Project Cumulative '!T122:T442,0))</f>
        <v>0</v>
      </c>
      <c r="K11" s="431">
        <f t="array" ref="K11">SUM(IF(('Waste Forecast'!AB120:AB431="Excavation")*('Waste Forecast'!AA120:AA431="H"),'Waste Forecast'!AE120:AE431,0))</f>
        <v>0</v>
      </c>
      <c r="L11" s="431">
        <f t="array" ref="L11">SUM(IF(('Project Cumulative '!R122:R442="Excavation")*('Project Cumulative '!Q122:Q442="H"),'Project Cumulative '!U122:U442,0))</f>
        <v>0</v>
      </c>
      <c r="M11" s="431">
        <f t="array" ref="M11">SUM(IF(('Waste Forecast'!AB120:AB431="Excavation")*('Waste Forecast'!AA120:AA431="H"),'Waste Forecast'!AF120:AF431,0))</f>
        <v>0</v>
      </c>
      <c r="N11" s="431">
        <f t="array" ref="N11">SUM(IF(('Project Cumulative '!R122:R442="Excavation")*('Project Cumulative '!Q122:Q442="H"),'Project Cumulative '!V122:V442,0))</f>
        <v>0</v>
      </c>
      <c r="O11" s="431"/>
      <c r="P11" s="431"/>
      <c r="Q11" s="431"/>
      <c r="R11" s="431"/>
      <c r="S11" s="431">
        <f t="array" ref="S11">SUM(IF(('Waste Forecast'!AB120:AB431="Excavation")*('Waste Forecast'!AA120:AA431="H"),'Waste Forecast'!AH120:AH431,0))</f>
        <v>0</v>
      </c>
      <c r="T11" s="431">
        <f t="array" ref="T11">SUM(IF(('Project Cumulative '!R122:R442="Excavation")*('Project Cumulative '!Q122:Q442="H"),'Project Cumulative '!X122:X442,0))</f>
        <v>0</v>
      </c>
      <c r="U11" s="420"/>
      <c r="V11" s="421"/>
      <c r="W11" s="157"/>
      <c r="X11" s="146"/>
    </row>
    <row r="12" spans="2:24" ht="15" customHeight="1" x14ac:dyDescent="0.3">
      <c r="B12" s="401"/>
      <c r="C12" s="1041" t="s">
        <v>237</v>
      </c>
      <c r="D12" s="416" t="s">
        <v>615</v>
      </c>
      <c r="E12" s="417" t="e">
        <f t="shared" si="0"/>
        <v>#VALUE!</v>
      </c>
      <c r="F12" s="418">
        <f t="shared" si="0"/>
        <v>0</v>
      </c>
      <c r="G12" s="418">
        <f t="array" ref="G12">SUM(IF(('Waste Forecast'!AB120:AB431="Construction")*('Waste Forecast'!AA120:AA431="I"),'Waste Forecast'!AC120:AC431,0))</f>
        <v>0</v>
      </c>
      <c r="H12" s="418">
        <f t="array" ref="H12">SUM(IF(('Project Cumulative '!R122:R442="Construction")*('Project Cumulative '!Q122:Q442="I"),'Project Cumulative '!S122:S442,0))</f>
        <v>0</v>
      </c>
      <c r="I12" s="418">
        <f t="array" ref="I12">SUM(IF(('Waste Forecast'!AB120:AB431="Construction")*('Waste Forecast'!AA120:AA431="I"),'Waste Forecast'!AD120:AD431,0))</f>
        <v>0</v>
      </c>
      <c r="J12" s="418">
        <f t="array" ref="J12">SUM(IF(('Project Cumulative '!R122:R442="Construction")*('Project Cumulative '!Q122:Q442="I"),'Project Cumulative '!T122:T442,0))</f>
        <v>0</v>
      </c>
      <c r="K12" s="418">
        <f t="array" ref="K12">SUM(IF(('Waste Forecast'!AB120:AB431="Construction")*('Waste Forecast'!AA120:AA431="I"),'Waste Forecast'!AE120:AE431,0))</f>
        <v>0</v>
      </c>
      <c r="L12" s="418">
        <f t="array" ref="L12">SUM(IF(('Project Cumulative '!R122:R442="Construction")*('Project Cumulative '!Q122:Q442="I"),'Project Cumulative '!U122:U442,0))</f>
        <v>0</v>
      </c>
      <c r="M12" s="418" t="e">
        <f t="array" ref="M12">SUM(IF(('Waste Forecast'!AB120:AB431="Construction")*('Waste Forecast'!AA120:AA431="I"),'Waste Forecast'!AF120:AF431,0))</f>
        <v>#VALUE!</v>
      </c>
      <c r="N12" s="418">
        <f t="array" ref="N12">SUM(IF(('Project Cumulative '!R122:R442="Construction")*('Project Cumulative '!Q122:Q442="I"),'Project Cumulative '!V122:V442,0))</f>
        <v>0</v>
      </c>
      <c r="O12" s="418"/>
      <c r="P12" s="418"/>
      <c r="Q12" s="418"/>
      <c r="R12" s="418"/>
      <c r="S12" s="418" t="e">
        <f t="array" ref="S12">SUM(IF(('Waste Forecast'!AB120:AB431="Construction")*('Waste Forecast'!AA120:AA431="I"),'Waste Forecast'!AH120:AH431,0))</f>
        <v>#VALUE!</v>
      </c>
      <c r="T12" s="418">
        <f t="array" ref="T12">SUM(IF(('Project Cumulative '!R122:R442="Construction")*('Project Cumulative '!Q122:Q442="I"),'Project Cumulative '!X122:X442,0))</f>
        <v>0</v>
      </c>
      <c r="U12" s="420"/>
      <c r="V12" s="421"/>
      <c r="W12" s="157"/>
      <c r="X12" s="146"/>
    </row>
    <row r="13" spans="2:24" ht="15" customHeight="1" x14ac:dyDescent="0.3">
      <c r="B13" s="401"/>
      <c r="C13" s="1041"/>
      <c r="D13" s="422" t="s">
        <v>616</v>
      </c>
      <c r="E13" s="417" t="e">
        <f t="shared" si="0"/>
        <v>#VALUE!</v>
      </c>
      <c r="F13" s="418">
        <f t="shared" si="0"/>
        <v>0</v>
      </c>
      <c r="G13" s="419">
        <f t="array" ref="G13">SUM(IF(('Waste Forecast'!AB120:AB431="Construction")*('Waste Forecast'!AA120:AA431="NH"),'Waste Forecast'!AC120:AC431,0))</f>
        <v>0</v>
      </c>
      <c r="H13" s="419">
        <f t="array" ref="H13">SUM(IF(('Project Cumulative '!R122:R442="Construction")*('Project Cumulative '!Q122:Q442="NH"),'Project Cumulative '!S122:S442,0))</f>
        <v>0</v>
      </c>
      <c r="I13" s="419">
        <f t="array" ref="I13">SUM(IF(('Waste Forecast'!AB120:AB431="Construction")*('Waste Forecast'!AA120:AA431="NH"),'Waste Forecast'!AD120:AD431,0))</f>
        <v>0</v>
      </c>
      <c r="J13" s="419">
        <f t="array" ref="J13">SUM(IF(('Project Cumulative '!R122:R442="Construction")*('Project Cumulative '!Q122:Q442="NH"),'Project Cumulative '!T122:T442,0))</f>
        <v>0</v>
      </c>
      <c r="K13" s="419">
        <f t="array" ref="K13">SUM(IF(('Waste Forecast'!AB120:AB431="Construction")*('Waste Forecast'!AA120:AA431="NH"),'Waste Forecast'!AE120:AE431,0))</f>
        <v>0</v>
      </c>
      <c r="L13" s="419">
        <f t="array" ref="L13">SUM(IF(('Project Cumulative '!R122:R442="Construction")*('Project Cumulative '!Q122:Q442="NH"),'Project Cumulative '!U122:U442,0))</f>
        <v>0</v>
      </c>
      <c r="M13" s="419" t="e">
        <f t="array" ref="M13">SUM(IF(('Waste Forecast'!AB120:AB431="Construction")*('Waste Forecast'!AA120:AA431="NH"),'Waste Forecast'!AF120:AF431,0))</f>
        <v>#VALUE!</v>
      </c>
      <c r="N13" s="419">
        <f t="array" ref="N13">SUM(IF(('Project Cumulative '!R122:R442="Construction")*('Project Cumulative '!Q122:Q442="NH"),'Project Cumulative '!V122:V442,0))</f>
        <v>0</v>
      </c>
      <c r="O13" s="419"/>
      <c r="P13" s="419"/>
      <c r="Q13" s="419"/>
      <c r="R13" s="419"/>
      <c r="S13" s="419" t="e">
        <f t="array" ref="S13">SUM(IF(('Waste Forecast'!AB120:AB431="Construction")*('Waste Forecast'!AA120:AA431="NH"),'Waste Forecast'!AH120:AH431,0))</f>
        <v>#VALUE!</v>
      </c>
      <c r="T13" s="419">
        <f t="array" ref="T13">SUM(IF(('Project Cumulative '!R122:R442="Construction")*('Project Cumulative '!Q122:Q442="NH"),'Project Cumulative '!X122:X442,0))</f>
        <v>0</v>
      </c>
      <c r="U13" s="420"/>
      <c r="V13" s="421"/>
      <c r="W13" s="157"/>
      <c r="X13" s="146"/>
    </row>
    <row r="14" spans="2:24" ht="15" customHeight="1" thickBot="1" x14ac:dyDescent="0.35">
      <c r="B14" s="401"/>
      <c r="C14" s="1042"/>
      <c r="D14" s="423" t="s">
        <v>617</v>
      </c>
      <c r="E14" s="424" t="e">
        <f>G14+I14+K14+M14+S14</f>
        <v>#VALUE!</v>
      </c>
      <c r="F14" s="425">
        <f>H14+J14+L14+N14+T14</f>
        <v>0</v>
      </c>
      <c r="G14" s="426">
        <f t="array" ref="G14">SUM(IF(('Waste Forecast'!AB120:AB431="Construction")*('Waste Forecast'!AA120:AA431="H"),'Waste Forecast'!AC120:AC431,0))</f>
        <v>0</v>
      </c>
      <c r="H14" s="426">
        <f t="array" ref="H14">SUM(IF(('Project Cumulative '!R122:R442="Construction")*('Project Cumulative '!Q122:Q442="H"),'Project Cumulative '!S122:S442,0))</f>
        <v>0</v>
      </c>
      <c r="I14" s="426">
        <f t="array" ref="I14">SUM(IF(('Waste Forecast'!AB120:AB431="Construction")*('Waste Forecast'!AA120:AA431="H"),'Waste Forecast'!AD120:AD431,0))</f>
        <v>0</v>
      </c>
      <c r="J14" s="426">
        <f t="array" ref="J14">SUM(IF(('Project Cumulative '!R122:R442="Construction")*('Project Cumulative '!Q122:Q442="H"),'Project Cumulative '!T122:T442,0))</f>
        <v>0</v>
      </c>
      <c r="K14" s="426">
        <f t="array" ref="K14">SUM(IF(('Waste Forecast'!AB120:AB431="Construction")*('Waste Forecast'!AA120:AA431="H"),'Waste Forecast'!AE120:AE431,0))</f>
        <v>0</v>
      </c>
      <c r="L14" s="426">
        <f t="array" ref="L14">SUM(IF(('Project Cumulative '!R122:R442="Construction")*('Project Cumulative '!Q122:Q442="H"),'Project Cumulative '!U122:U442,0))</f>
        <v>0</v>
      </c>
      <c r="M14" s="426">
        <f t="array" ref="M14">SUM(IF(('Waste Forecast'!AB120:AB431="Construction")*('Waste Forecast'!AA120:AA431="H"),'Waste Forecast'!AF120:AF431,0))</f>
        <v>0</v>
      </c>
      <c r="N14" s="426">
        <f t="array" ref="N14">SUM(IF(('Project Cumulative '!R122:R442="Construction")*('Project Cumulative '!Q122:Q442="H"),'Project Cumulative '!V122:V442,0))</f>
        <v>0</v>
      </c>
      <c r="O14" s="426"/>
      <c r="P14" s="426"/>
      <c r="Q14" s="426"/>
      <c r="R14" s="426"/>
      <c r="S14" s="426" t="e">
        <f t="array" ref="S14">SUM(IF(('Waste Forecast'!AB120:AB431="Construction")*('Waste Forecast'!AA120:AA431="H"),'Waste Forecast'!AH120:AH431,0))</f>
        <v>#VALUE!</v>
      </c>
      <c r="T14" s="426">
        <f t="array" ref="T14">SUM(IF(('Project Cumulative '!R122:R442="Construction")*('Project Cumulative '!Q122:Q442="H"),'Project Cumulative '!X122:X442,0))</f>
        <v>0</v>
      </c>
      <c r="U14" s="420"/>
      <c r="V14" s="421"/>
      <c r="W14" s="157"/>
      <c r="X14" s="146"/>
    </row>
    <row r="15" spans="2:24" ht="20.25" customHeight="1" thickBot="1" x14ac:dyDescent="0.35">
      <c r="B15" s="401"/>
      <c r="C15" s="1043" t="s">
        <v>619</v>
      </c>
      <c r="D15" s="1044"/>
      <c r="E15" s="432" t="e">
        <f>SUM(E6:E14)</f>
        <v>#VALUE!</v>
      </c>
      <c r="F15" s="433">
        <f>SUM(F6:F14)</f>
        <v>0</v>
      </c>
      <c r="G15" s="433">
        <f>SUM(G6:G14)</f>
        <v>0</v>
      </c>
      <c r="H15" s="433">
        <f t="shared" ref="H15:T15" si="1">SUM(H6:H14)</f>
        <v>0</v>
      </c>
      <c r="I15" s="433">
        <f t="shared" si="1"/>
        <v>0</v>
      </c>
      <c r="J15" s="433">
        <f t="shared" si="1"/>
        <v>0</v>
      </c>
      <c r="K15" s="433">
        <f t="shared" si="1"/>
        <v>0</v>
      </c>
      <c r="L15" s="433">
        <f t="shared" si="1"/>
        <v>0</v>
      </c>
      <c r="M15" s="433" t="e">
        <f t="shared" si="1"/>
        <v>#VALUE!</v>
      </c>
      <c r="N15" s="433">
        <f t="shared" si="1"/>
        <v>0</v>
      </c>
      <c r="O15" s="433"/>
      <c r="P15" s="433"/>
      <c r="Q15" s="433"/>
      <c r="R15" s="433"/>
      <c r="S15" s="433" t="e">
        <f t="shared" si="1"/>
        <v>#VALUE!</v>
      </c>
      <c r="T15" s="433">
        <f t="shared" si="1"/>
        <v>0</v>
      </c>
      <c r="U15" s="434"/>
      <c r="V15" s="435"/>
      <c r="W15" s="157"/>
      <c r="X15" s="146"/>
    </row>
    <row r="16" spans="2:24" ht="18.75" hidden="1" customHeight="1" thickBot="1" x14ac:dyDescent="0.35">
      <c r="B16" s="401"/>
      <c r="C16" s="1045" t="s">
        <v>610</v>
      </c>
      <c r="D16" s="1027"/>
      <c r="E16" s="162"/>
      <c r="F16" s="162"/>
      <c r="G16" s="436">
        <f>'Waste Forecast'!AD439</f>
        <v>0</v>
      </c>
      <c r="H16" s="437"/>
      <c r="I16" s="437"/>
      <c r="J16" s="437"/>
      <c r="K16" s="437"/>
      <c r="L16" s="437"/>
      <c r="M16" s="437"/>
      <c r="N16" s="437"/>
      <c r="O16" s="437"/>
      <c r="P16" s="437"/>
      <c r="Q16" s="437"/>
      <c r="R16" s="437"/>
      <c r="S16" s="437"/>
      <c r="T16" s="437"/>
      <c r="U16" s="438">
        <f>SUM(U6:U14)</f>
        <v>0</v>
      </c>
      <c r="V16" s="439">
        <f>SUM(V6:V14)</f>
        <v>0</v>
      </c>
      <c r="W16" s="157"/>
      <c r="X16" s="146"/>
    </row>
    <row r="17" spans="2:24" ht="13.8" x14ac:dyDescent="0.3">
      <c r="B17" s="401"/>
      <c r="C17" s="157"/>
      <c r="D17" s="157"/>
      <c r="E17" s="157"/>
      <c r="F17" s="157"/>
      <c r="G17" s="157"/>
      <c r="H17" s="157"/>
      <c r="I17" s="157"/>
      <c r="J17" s="157"/>
      <c r="K17" s="157"/>
      <c r="L17" s="157"/>
      <c r="M17" s="157"/>
      <c r="N17" s="157"/>
      <c r="O17" s="157"/>
      <c r="P17" s="157"/>
      <c r="Q17" s="157"/>
      <c r="R17" s="157"/>
      <c r="S17" s="157"/>
      <c r="T17" s="157"/>
      <c r="U17" s="157"/>
      <c r="V17" s="157"/>
      <c r="W17" s="157"/>
      <c r="X17" s="146"/>
    </row>
    <row r="18" spans="2:24" ht="14.4" thickBot="1" x14ac:dyDescent="0.35">
      <c r="B18" s="401"/>
      <c r="C18" s="157"/>
      <c r="D18" s="157"/>
      <c r="E18" s="157"/>
      <c r="F18" s="157"/>
      <c r="G18" s="157"/>
      <c r="H18" s="157"/>
      <c r="I18" s="157"/>
      <c r="J18" s="157"/>
      <c r="K18" s="157"/>
      <c r="L18" s="157"/>
      <c r="M18" s="440"/>
      <c r="N18" s="157"/>
      <c r="O18" s="157"/>
      <c r="P18" s="157"/>
      <c r="Q18" s="157"/>
      <c r="R18" s="157"/>
      <c r="S18" s="157"/>
      <c r="T18" s="157"/>
      <c r="U18" s="157"/>
      <c r="V18" s="157"/>
      <c r="W18" s="157"/>
      <c r="X18" s="146"/>
    </row>
    <row r="19" spans="2:24" ht="17.25" customHeight="1" thickBot="1" x14ac:dyDescent="0.35">
      <c r="B19" s="401"/>
      <c r="C19" s="156"/>
      <c r="D19" s="441"/>
      <c r="E19" s="1046" t="s">
        <v>607</v>
      </c>
      <c r="F19" s="1047"/>
      <c r="G19" s="1048" t="s">
        <v>107</v>
      </c>
      <c r="H19" s="1049"/>
      <c r="I19" s="1048" t="s">
        <v>108</v>
      </c>
      <c r="J19" s="1049"/>
      <c r="K19" s="1048" t="s">
        <v>109</v>
      </c>
      <c r="L19" s="1049"/>
      <c r="M19" s="1048" t="s">
        <v>110</v>
      </c>
      <c r="N19" s="1049"/>
      <c r="O19" s="1013" t="s">
        <v>608</v>
      </c>
      <c r="P19" s="1014"/>
      <c r="Q19" s="1013" t="s">
        <v>609</v>
      </c>
      <c r="R19" s="1014"/>
      <c r="S19" s="1048" t="s">
        <v>112</v>
      </c>
      <c r="T19" s="1053"/>
      <c r="U19" s="1039" t="s">
        <v>610</v>
      </c>
      <c r="V19" s="1040"/>
      <c r="W19" s="157"/>
      <c r="X19" s="146"/>
    </row>
    <row r="20" spans="2:24" ht="27" customHeight="1" thickBot="1" x14ac:dyDescent="0.35">
      <c r="B20" s="401"/>
      <c r="C20" s="404" t="s">
        <v>620</v>
      </c>
      <c r="D20" s="441"/>
      <c r="E20" s="442" t="s">
        <v>612</v>
      </c>
      <c r="F20" s="442" t="s">
        <v>385</v>
      </c>
      <c r="G20" s="1050"/>
      <c r="H20" s="1051"/>
      <c r="I20" s="1050"/>
      <c r="J20" s="1051"/>
      <c r="K20" s="1052"/>
      <c r="L20" s="1051"/>
      <c r="M20" s="1050"/>
      <c r="N20" s="1051"/>
      <c r="O20" s="1015"/>
      <c r="P20" s="1016"/>
      <c r="Q20" s="1015"/>
      <c r="R20" s="1016"/>
      <c r="S20" s="1050"/>
      <c r="T20" s="1054"/>
      <c r="U20" s="1039"/>
      <c r="V20" s="1040"/>
      <c r="W20" s="157"/>
      <c r="X20" s="146"/>
    </row>
    <row r="21" spans="2:24" ht="14.4" hidden="1" thickBot="1" x14ac:dyDescent="0.35">
      <c r="B21" s="401"/>
      <c r="C21" s="157"/>
      <c r="D21" s="157"/>
      <c r="E21" s="157"/>
      <c r="F21" s="157"/>
      <c r="G21" s="413" t="s">
        <v>613</v>
      </c>
      <c r="H21" s="413" t="s">
        <v>614</v>
      </c>
      <c r="I21" s="413" t="s">
        <v>613</v>
      </c>
      <c r="J21" s="413" t="s">
        <v>614</v>
      </c>
      <c r="K21" s="413" t="s">
        <v>613</v>
      </c>
      <c r="L21" s="413" t="s">
        <v>614</v>
      </c>
      <c r="M21" s="413" t="s">
        <v>613</v>
      </c>
      <c r="N21" s="413" t="s">
        <v>614</v>
      </c>
      <c r="O21" s="413" t="s">
        <v>613</v>
      </c>
      <c r="P21" s="413" t="s">
        <v>614</v>
      </c>
      <c r="Q21" s="413" t="s">
        <v>613</v>
      </c>
      <c r="R21" s="413" t="s">
        <v>614</v>
      </c>
      <c r="S21" s="413" t="s">
        <v>613</v>
      </c>
      <c r="T21" s="413" t="s">
        <v>614</v>
      </c>
      <c r="U21" s="415" t="s">
        <v>613</v>
      </c>
      <c r="V21" s="443" t="s">
        <v>614</v>
      </c>
      <c r="W21" s="157"/>
      <c r="X21" s="146"/>
    </row>
    <row r="22" spans="2:24" ht="15" customHeight="1" x14ac:dyDescent="0.3">
      <c r="B22" s="401"/>
      <c r="C22" s="1034" t="s">
        <v>621</v>
      </c>
      <c r="D22" s="1035"/>
      <c r="E22" s="428">
        <f>G22+I22+K22+M22+S22</f>
        <v>0</v>
      </c>
      <c r="F22" s="428">
        <f>H22+J22+L22+N22+T22</f>
        <v>0</v>
      </c>
      <c r="G22" s="427">
        <f>'Waste Forecast'!AB88</f>
        <v>0</v>
      </c>
      <c r="H22" s="428">
        <f>'Project Cumulative '!R91</f>
        <v>0</v>
      </c>
      <c r="I22" s="427">
        <f>'Waste Forecast'!AC88</f>
        <v>0</v>
      </c>
      <c r="J22" s="428">
        <f>'Project Cumulative '!S91</f>
        <v>0</v>
      </c>
      <c r="K22" s="427">
        <f>'Waste Forecast'!AD88</f>
        <v>0</v>
      </c>
      <c r="L22" s="428">
        <f>'Project Cumulative '!T91</f>
        <v>0</v>
      </c>
      <c r="M22" s="427">
        <f>'Waste Forecast'!AE88</f>
        <v>0</v>
      </c>
      <c r="N22" s="428">
        <f>'Project Cumulative '!U91</f>
        <v>0</v>
      </c>
      <c r="O22" s="428"/>
      <c r="P22" s="444"/>
      <c r="Q22" s="428"/>
      <c r="R22" s="428"/>
      <c r="S22" s="428">
        <f>'Waste Forecast'!AG88</f>
        <v>0</v>
      </c>
      <c r="T22" s="428">
        <f>'Project Cumulative '!W91</f>
        <v>0</v>
      </c>
      <c r="U22" s="445"/>
      <c r="V22" s="446"/>
      <c r="W22" s="157"/>
      <c r="X22" s="146"/>
    </row>
    <row r="23" spans="2:24" ht="15" customHeight="1" x14ac:dyDescent="0.3">
      <c r="B23" s="401"/>
      <c r="C23" s="1036" t="s">
        <v>622</v>
      </c>
      <c r="D23" s="1037"/>
      <c r="E23" s="419" t="e">
        <f t="shared" ref="E23:F33" si="2">G23+I23+K23+M23+S23</f>
        <v>#VALUE!</v>
      </c>
      <c r="F23" s="419">
        <f t="shared" si="2"/>
        <v>0</v>
      </c>
      <c r="G23" s="447">
        <f>'Waste Forecast'!AB89+'Waste Forecast'!AB103</f>
        <v>0</v>
      </c>
      <c r="H23" s="418">
        <f>'Project Cumulative '!R92+'Project Cumulative '!R106</f>
        <v>0</v>
      </c>
      <c r="I23" s="447">
        <f>'Waste Forecast'!AC89+'Waste Forecast'!AC103</f>
        <v>0</v>
      </c>
      <c r="J23" s="418">
        <f>'Project Cumulative '!S92+'Project Cumulative '!S106</f>
        <v>0</v>
      </c>
      <c r="K23" s="447">
        <f>'Waste Forecast'!AD89+'Waste Forecast'!AD103</f>
        <v>0</v>
      </c>
      <c r="L23" s="418">
        <f>'Project Cumulative '!T92+'Project Cumulative '!T106</f>
        <v>0</v>
      </c>
      <c r="M23" s="447" t="e">
        <f>'Waste Forecast'!AE89+'Waste Forecast'!AE103</f>
        <v>#VALUE!</v>
      </c>
      <c r="N23" s="418">
        <f>'Project Cumulative '!U92+'Project Cumulative '!U106</f>
        <v>0</v>
      </c>
      <c r="O23" s="419"/>
      <c r="P23" s="448"/>
      <c r="Q23" s="419"/>
      <c r="R23" s="418"/>
      <c r="S23" s="419" t="e">
        <f>'Waste Forecast'!AG89+'Waste Forecast'!AG103</f>
        <v>#VALUE!</v>
      </c>
      <c r="T23" s="418">
        <f>'Project Cumulative '!W92+'Project Cumulative '!W106</f>
        <v>0</v>
      </c>
      <c r="U23" s="449"/>
      <c r="V23" s="450"/>
      <c r="W23" s="157"/>
      <c r="X23" s="146"/>
    </row>
    <row r="24" spans="2:24" ht="15" customHeight="1" x14ac:dyDescent="0.3">
      <c r="B24" s="401"/>
      <c r="C24" s="1036" t="s">
        <v>423</v>
      </c>
      <c r="D24" s="1037"/>
      <c r="E24" s="419" t="e">
        <f t="shared" si="2"/>
        <v>#VALUE!</v>
      </c>
      <c r="F24" s="419">
        <f t="shared" si="2"/>
        <v>0</v>
      </c>
      <c r="G24" s="447">
        <f>'Waste Forecast'!AB19+'Waste Forecast'!AB23+'Waste Forecast'!AB25+'Waste Forecast'!AB91</f>
        <v>0</v>
      </c>
      <c r="H24" s="418">
        <f>'Project Cumulative '!R22+'Project Cumulative '!R26+'Project Cumulative '!R28+'Project Cumulative '!R94</f>
        <v>0</v>
      </c>
      <c r="I24" s="447">
        <f>'Waste Forecast'!AC19+'Waste Forecast'!AC23+'Waste Forecast'!AC25+'Waste Forecast'!AC91</f>
        <v>0</v>
      </c>
      <c r="J24" s="418">
        <f>'Project Cumulative '!S22+'Project Cumulative '!S26+'Project Cumulative '!S28+'Project Cumulative '!S94</f>
        <v>0</v>
      </c>
      <c r="K24" s="447">
        <f>'Waste Forecast'!AD19+'Waste Forecast'!AD23+'Waste Forecast'!AD25+'Waste Forecast'!AD91</f>
        <v>0</v>
      </c>
      <c r="L24" s="418">
        <f>'Project Cumulative '!T22+'Project Cumulative '!T26+'Project Cumulative '!T28+'Project Cumulative '!T94</f>
        <v>0</v>
      </c>
      <c r="M24" s="447" t="e">
        <f>'Waste Forecast'!AE19+'Waste Forecast'!AE23+'Waste Forecast'!AE25+'Waste Forecast'!AE91</f>
        <v>#VALUE!</v>
      </c>
      <c r="N24" s="418">
        <f>'Project Cumulative '!U22+'Project Cumulative '!U26+'Project Cumulative '!U28+'Project Cumulative '!U94</f>
        <v>0</v>
      </c>
      <c r="O24" s="419"/>
      <c r="P24" s="448"/>
      <c r="Q24" s="419"/>
      <c r="R24" s="418"/>
      <c r="S24" s="419" t="e">
        <f>'Waste Forecast'!AG19+'Waste Forecast'!AG23+'Waste Forecast'!AG25+'Waste Forecast'!AG91</f>
        <v>#VALUE!</v>
      </c>
      <c r="T24" s="418">
        <f>'Project Cumulative '!W22+'Project Cumulative '!W26+'Project Cumulative '!W28+'Project Cumulative '!W94</f>
        <v>0</v>
      </c>
      <c r="U24" s="449"/>
      <c r="V24" s="450"/>
      <c r="W24" s="157"/>
      <c r="X24" s="146"/>
    </row>
    <row r="25" spans="2:24" ht="15" customHeight="1" x14ac:dyDescent="0.3">
      <c r="B25" s="401"/>
      <c r="C25" s="1036" t="s">
        <v>623</v>
      </c>
      <c r="D25" s="1037"/>
      <c r="E25" s="419">
        <f t="shared" si="2"/>
        <v>0</v>
      </c>
      <c r="F25" s="419">
        <f t="shared" si="2"/>
        <v>0</v>
      </c>
      <c r="G25" s="447">
        <f>'Waste Forecast'!AB49</f>
        <v>0</v>
      </c>
      <c r="H25" s="418">
        <f>'Project Cumulative '!R52</f>
        <v>0</v>
      </c>
      <c r="I25" s="447">
        <f>'Waste Forecast'!AC49</f>
        <v>0</v>
      </c>
      <c r="J25" s="418">
        <f>'Project Cumulative '!S52</f>
        <v>0</v>
      </c>
      <c r="K25" s="447">
        <f>'Waste Forecast'!AD49</f>
        <v>0</v>
      </c>
      <c r="L25" s="418">
        <f>'Project Cumulative '!T52</f>
        <v>0</v>
      </c>
      <c r="M25" s="447">
        <f>'Waste Forecast'!AE49</f>
        <v>0</v>
      </c>
      <c r="N25" s="418">
        <f>'Project Cumulative '!U52</f>
        <v>0</v>
      </c>
      <c r="O25" s="419"/>
      <c r="P25" s="448"/>
      <c r="Q25" s="419"/>
      <c r="R25" s="418"/>
      <c r="S25" s="419">
        <f>'Waste Forecast'!AG49</f>
        <v>0</v>
      </c>
      <c r="T25" s="418">
        <f>'Project Cumulative '!W52</f>
        <v>0</v>
      </c>
      <c r="U25" s="449"/>
      <c r="V25" s="450"/>
      <c r="W25" s="157"/>
      <c r="X25" s="146"/>
    </row>
    <row r="26" spans="2:24" ht="15" customHeight="1" x14ac:dyDescent="0.3">
      <c r="B26" s="401"/>
      <c r="C26" s="1036" t="s">
        <v>72</v>
      </c>
      <c r="D26" s="1037"/>
      <c r="E26" s="419" t="e">
        <f t="shared" si="2"/>
        <v>#VALUE!</v>
      </c>
      <c r="F26" s="419">
        <f t="shared" si="2"/>
        <v>0</v>
      </c>
      <c r="G26" s="447">
        <f>'Waste Forecast'!AB55+'Waste Forecast'!AB56+'Waste Forecast'!AB57+'Waste Forecast'!AB58+'Waste Forecast'!AB59+'Waste Forecast'!AB61+'Waste Forecast'!AB62</f>
        <v>0</v>
      </c>
      <c r="H26" s="418">
        <f>'Project Cumulative '!R58+'Project Cumulative '!R59+'Project Cumulative '!R60+'Project Cumulative '!R61+'Project Cumulative '!R62+'Project Cumulative '!R64+'Project Cumulative '!R65</f>
        <v>0</v>
      </c>
      <c r="I26" s="447">
        <f>'Waste Forecast'!AC55+'Waste Forecast'!AC56+'Waste Forecast'!AC57+'Waste Forecast'!AC58+'Waste Forecast'!AC59+'Waste Forecast'!AC61+'Waste Forecast'!AC62</f>
        <v>0</v>
      </c>
      <c r="J26" s="418">
        <f>'Project Cumulative '!S58+'Project Cumulative '!S59+'Project Cumulative '!S60+'Project Cumulative '!S61+'Project Cumulative '!S62+'Project Cumulative '!S64+'Project Cumulative '!S65</f>
        <v>0</v>
      </c>
      <c r="K26" s="447">
        <f>'Waste Forecast'!AD55+'Waste Forecast'!AD56+'Waste Forecast'!AD57+'Waste Forecast'!AD58+'Waste Forecast'!AD59+'Waste Forecast'!AD61+'Waste Forecast'!AD62</f>
        <v>0</v>
      </c>
      <c r="L26" s="418">
        <f>'Project Cumulative '!T58+'Project Cumulative '!T59+'Project Cumulative '!T60+'Project Cumulative '!T61+'Project Cumulative '!T62+'Project Cumulative '!T64+'Project Cumulative '!T65</f>
        <v>0</v>
      </c>
      <c r="M26" s="447" t="e">
        <f>'Waste Forecast'!AE55+'Waste Forecast'!AE56+'Waste Forecast'!AE57+'Waste Forecast'!AE58+'Waste Forecast'!AE59+'Waste Forecast'!AE61+'Waste Forecast'!AE62</f>
        <v>#VALUE!</v>
      </c>
      <c r="N26" s="418">
        <f>'Project Cumulative '!U58+'Project Cumulative '!U59+'Project Cumulative '!U60+'Project Cumulative '!U61+'Project Cumulative '!U62+'Project Cumulative '!U64+'Project Cumulative '!U65</f>
        <v>0</v>
      </c>
      <c r="O26" s="419"/>
      <c r="P26" s="448"/>
      <c r="Q26" s="419"/>
      <c r="R26" s="418"/>
      <c r="S26" s="419" t="e">
        <f>'Waste Forecast'!AG55+'Waste Forecast'!AG56+'Waste Forecast'!AG57+'Waste Forecast'!AG58+'Waste Forecast'!AG59+'Waste Forecast'!AG61+'Waste Forecast'!AG62</f>
        <v>#VALUE!</v>
      </c>
      <c r="T26" s="418">
        <f>'Project Cumulative '!W58+'Project Cumulative '!W59+'Project Cumulative '!W60+'Project Cumulative '!W61+'Project Cumulative '!W62+'Project Cumulative '!W64+'Project Cumulative '!W65</f>
        <v>0</v>
      </c>
      <c r="U26" s="449"/>
      <c r="V26" s="450"/>
      <c r="W26" s="157"/>
      <c r="X26" s="146"/>
    </row>
    <row r="27" spans="2:24" ht="15" customHeight="1" x14ac:dyDescent="0.3">
      <c r="B27" s="401"/>
      <c r="C27" s="1036" t="s">
        <v>73</v>
      </c>
      <c r="D27" s="1037"/>
      <c r="E27" s="419" t="e">
        <f t="shared" si="2"/>
        <v>#VALUE!</v>
      </c>
      <c r="F27" s="419">
        <f t="shared" si="2"/>
        <v>0</v>
      </c>
      <c r="G27" s="447">
        <f>'Waste Forecast'!AB96</f>
        <v>0</v>
      </c>
      <c r="H27" s="418">
        <f>'Project Cumulative '!R99</f>
        <v>0</v>
      </c>
      <c r="I27" s="447">
        <f>'Waste Forecast'!AC96</f>
        <v>0</v>
      </c>
      <c r="J27" s="418">
        <f>'Project Cumulative '!S99</f>
        <v>0</v>
      </c>
      <c r="K27" s="447">
        <f>'Waste Forecast'!AD96</f>
        <v>0</v>
      </c>
      <c r="L27" s="418">
        <f>'Project Cumulative '!T99</f>
        <v>0</v>
      </c>
      <c r="M27" s="447" t="e">
        <f>'Waste Forecast'!AE96</f>
        <v>#VALUE!</v>
      </c>
      <c r="N27" s="418">
        <f>'Project Cumulative '!U99</f>
        <v>0</v>
      </c>
      <c r="O27" s="419"/>
      <c r="P27" s="448"/>
      <c r="Q27" s="419"/>
      <c r="R27" s="418"/>
      <c r="S27" s="419" t="e">
        <f>'Waste Forecast'!AG96</f>
        <v>#VALUE!</v>
      </c>
      <c r="T27" s="418">
        <f>'Project Cumulative '!W99</f>
        <v>0</v>
      </c>
      <c r="U27" s="449"/>
      <c r="V27" s="450"/>
      <c r="W27" s="157"/>
      <c r="X27" s="146"/>
    </row>
    <row r="28" spans="2:24" ht="15" customHeight="1" x14ac:dyDescent="0.3">
      <c r="B28" s="401"/>
      <c r="C28" s="1036" t="s">
        <v>74</v>
      </c>
      <c r="D28" s="1037"/>
      <c r="E28" s="419" t="e">
        <f t="shared" si="2"/>
        <v>#VALUE!</v>
      </c>
      <c r="F28" s="419">
        <f t="shared" si="2"/>
        <v>0</v>
      </c>
      <c r="G28" s="447" t="e">
        <f>'Waste Forecast'!AB71+'Waste Forecast'!AB72+'Waste Forecast'!AB73+'Waste Forecast'!AB74+'Waste Forecast'!AB75+'Waste Forecast'!AB81+'Waste Forecast'!AB111</f>
        <v>#VALUE!</v>
      </c>
      <c r="H28" s="418">
        <f>'Project Cumulative '!R74+'Project Cumulative '!R75+'Project Cumulative '!R76+'Project Cumulative '!R77+'Project Cumulative '!R78+'Project Cumulative '!R84+'Project Cumulative '!R115</f>
        <v>0</v>
      </c>
      <c r="I28" s="447" t="e">
        <f>'Waste Forecast'!AC71+'Waste Forecast'!AC72+'Waste Forecast'!AC73+'Waste Forecast'!AC74+'Waste Forecast'!AC75+'Waste Forecast'!AC81+'Waste Forecast'!AC111</f>
        <v>#VALUE!</v>
      </c>
      <c r="J28" s="418">
        <f>'Project Cumulative '!S74+'Project Cumulative '!S75+'Project Cumulative '!S76+'Project Cumulative '!S77+'Project Cumulative '!S78+'Project Cumulative '!S84+'Project Cumulative '!S115</f>
        <v>0</v>
      </c>
      <c r="K28" s="447">
        <f>'Waste Forecast'!AD71+'Waste Forecast'!AD72+'Waste Forecast'!AD73+'Waste Forecast'!AD74+'Waste Forecast'!AD75+'Waste Forecast'!AD81+'Waste Forecast'!AD111</f>
        <v>0</v>
      </c>
      <c r="L28" s="418">
        <f>'Project Cumulative '!T74+'Project Cumulative '!T75+'Project Cumulative '!T76+'Project Cumulative '!T77+'Project Cumulative '!T78+'Project Cumulative '!T84+'Project Cumulative '!T115</f>
        <v>0</v>
      </c>
      <c r="M28" s="447" t="e">
        <f>'Waste Forecast'!AE71+'Waste Forecast'!AE72+'Waste Forecast'!AE73+'Waste Forecast'!AE74+'Waste Forecast'!AE75+'Waste Forecast'!AE81+'Waste Forecast'!AE111</f>
        <v>#VALUE!</v>
      </c>
      <c r="N28" s="418">
        <f>'Project Cumulative '!U74+'Project Cumulative '!U75+'Project Cumulative '!U76+'Project Cumulative '!U77+'Project Cumulative '!U78+'Project Cumulative '!U84+'Project Cumulative '!U115</f>
        <v>0</v>
      </c>
      <c r="O28" s="419"/>
      <c r="P28" s="448"/>
      <c r="Q28" s="419"/>
      <c r="R28" s="418"/>
      <c r="S28" s="419" t="e">
        <f>'Waste Forecast'!AG71+'Waste Forecast'!AG72+'Waste Forecast'!AG73+'Waste Forecast'!AG74+'Waste Forecast'!AG75+'Waste Forecast'!AG81+'Waste Forecast'!AG111</f>
        <v>#VALUE!</v>
      </c>
      <c r="T28" s="418">
        <f>'Project Cumulative '!W74+'Project Cumulative '!W75+'Project Cumulative '!W76+'Project Cumulative '!W77+'Project Cumulative '!W78+'Project Cumulative '!W84+'Project Cumulative '!W115</f>
        <v>0</v>
      </c>
      <c r="U28" s="449"/>
      <c r="V28" s="450"/>
      <c r="W28" s="157"/>
      <c r="X28" s="146"/>
    </row>
    <row r="29" spans="2:24" ht="15" customHeight="1" x14ac:dyDescent="0.3">
      <c r="B29" s="401"/>
      <c r="C29" s="1038" t="s">
        <v>624</v>
      </c>
      <c r="D29" s="1037"/>
      <c r="E29" s="419" t="e">
        <f t="shared" si="2"/>
        <v>#VALUE!</v>
      </c>
      <c r="F29" s="419">
        <f t="shared" si="2"/>
        <v>0</v>
      </c>
      <c r="G29" s="447">
        <f>'Waste Forecast'!AB27</f>
        <v>0</v>
      </c>
      <c r="H29" s="418">
        <f>'Project Cumulative '!R30</f>
        <v>0</v>
      </c>
      <c r="I29" s="447">
        <f>'Waste Forecast'!AC27</f>
        <v>0</v>
      </c>
      <c r="J29" s="418">
        <f>'Project Cumulative '!S30</f>
        <v>0</v>
      </c>
      <c r="K29" s="447">
        <f>'Waste Forecast'!AD27</f>
        <v>0</v>
      </c>
      <c r="L29" s="418">
        <f>'Project Cumulative '!T30</f>
        <v>0</v>
      </c>
      <c r="M29" s="447" t="e">
        <f>'Waste Forecast'!AE27</f>
        <v>#VALUE!</v>
      </c>
      <c r="N29" s="418">
        <f>'Project Cumulative '!U30</f>
        <v>0</v>
      </c>
      <c r="O29" s="419"/>
      <c r="P29" s="448"/>
      <c r="Q29" s="419"/>
      <c r="R29" s="418"/>
      <c r="S29" s="419" t="e">
        <f>'Waste Forecast'!AG27</f>
        <v>#VALUE!</v>
      </c>
      <c r="T29" s="418">
        <f>'Project Cumulative '!W30</f>
        <v>0</v>
      </c>
      <c r="U29" s="449"/>
      <c r="V29" s="450"/>
      <c r="W29" s="157"/>
      <c r="X29" s="146"/>
    </row>
    <row r="30" spans="2:24" ht="15" customHeight="1" x14ac:dyDescent="0.3">
      <c r="B30" s="401"/>
      <c r="C30" s="1036" t="s">
        <v>202</v>
      </c>
      <c r="D30" s="1037"/>
      <c r="E30" s="419">
        <f t="shared" si="2"/>
        <v>0</v>
      </c>
      <c r="F30" s="419">
        <f t="shared" si="2"/>
        <v>0</v>
      </c>
      <c r="G30" s="447">
        <f>'Waste Forecast'!AB82</f>
        <v>0</v>
      </c>
      <c r="H30" s="418">
        <f>'Project Cumulative '!R85</f>
        <v>0</v>
      </c>
      <c r="I30" s="447">
        <f>'Waste Forecast'!AC82</f>
        <v>0</v>
      </c>
      <c r="J30" s="418">
        <f>'Project Cumulative '!S85</f>
        <v>0</v>
      </c>
      <c r="K30" s="447">
        <f>'Waste Forecast'!AD82</f>
        <v>0</v>
      </c>
      <c r="L30" s="418">
        <f>'Project Cumulative '!T85</f>
        <v>0</v>
      </c>
      <c r="M30" s="447">
        <f>'Waste Forecast'!AE82</f>
        <v>0</v>
      </c>
      <c r="N30" s="418">
        <f>'Project Cumulative '!U85</f>
        <v>0</v>
      </c>
      <c r="O30" s="419"/>
      <c r="P30" s="448"/>
      <c r="Q30" s="419"/>
      <c r="R30" s="418"/>
      <c r="S30" s="419">
        <f>'Waste Forecast'!AG82</f>
        <v>0</v>
      </c>
      <c r="T30" s="418">
        <f>'Project Cumulative '!W85</f>
        <v>0</v>
      </c>
      <c r="U30" s="449"/>
      <c r="V30" s="450"/>
      <c r="W30" s="157"/>
      <c r="X30" s="146"/>
    </row>
    <row r="31" spans="2:24" ht="15" customHeight="1" x14ac:dyDescent="0.3">
      <c r="B31" s="401"/>
      <c r="C31" s="1036" t="s">
        <v>625</v>
      </c>
      <c r="D31" s="1037"/>
      <c r="E31" s="419">
        <f t="shared" si="2"/>
        <v>0</v>
      </c>
      <c r="F31" s="419">
        <f t="shared" si="2"/>
        <v>0</v>
      </c>
      <c r="G31" s="447">
        <f>'Waste Forecast'!AB80+'Waste Forecast'!AB81</f>
        <v>0</v>
      </c>
      <c r="H31" s="418">
        <f>'Project Cumulative '!R83</f>
        <v>0</v>
      </c>
      <c r="I31" s="447">
        <f>'Waste Forecast'!AC80+'Waste Forecast'!AC81</f>
        <v>0</v>
      </c>
      <c r="J31" s="418">
        <f>'Project Cumulative '!S83</f>
        <v>0</v>
      </c>
      <c r="K31" s="447">
        <f>'Waste Forecast'!AD80+'Waste Forecast'!AD81</f>
        <v>0</v>
      </c>
      <c r="L31" s="418">
        <f>'Project Cumulative '!T83</f>
        <v>0</v>
      </c>
      <c r="M31" s="447">
        <f>'Waste Forecast'!AE80+'Waste Forecast'!AE81</f>
        <v>0</v>
      </c>
      <c r="N31" s="418">
        <f>'Project Cumulative '!U83</f>
        <v>0</v>
      </c>
      <c r="O31" s="419"/>
      <c r="P31" s="448"/>
      <c r="Q31" s="419"/>
      <c r="R31" s="418"/>
      <c r="S31" s="419">
        <f>'Waste Forecast'!AG80+'Waste Forecast'!AG81</f>
        <v>0</v>
      </c>
      <c r="T31" s="418">
        <f>'Project Cumulative '!W83</f>
        <v>0</v>
      </c>
      <c r="U31" s="449"/>
      <c r="V31" s="450"/>
      <c r="W31" s="157"/>
      <c r="X31" s="146"/>
    </row>
    <row r="32" spans="2:24" ht="15" customHeight="1" x14ac:dyDescent="0.3">
      <c r="B32" s="401"/>
      <c r="C32" s="1036" t="s">
        <v>626</v>
      </c>
      <c r="D32" s="1037"/>
      <c r="E32" s="419" t="e">
        <f t="shared" si="2"/>
        <v>#VALUE!</v>
      </c>
      <c r="F32" s="419">
        <f t="shared" si="2"/>
        <v>0</v>
      </c>
      <c r="G32" s="451" t="e">
        <f t="shared" ref="G32:N32" si="3">(SUM(G6:G7)+SUM(G9:G10)+SUM(G12:G13))-SUM(G23:G31)</f>
        <v>#VALUE!</v>
      </c>
      <c r="H32" s="451">
        <f t="shared" si="3"/>
        <v>0</v>
      </c>
      <c r="I32" s="451" t="e">
        <f t="shared" si="3"/>
        <v>#VALUE!</v>
      </c>
      <c r="J32" s="451">
        <f t="shared" si="3"/>
        <v>0</v>
      </c>
      <c r="K32" s="451">
        <f t="shared" si="3"/>
        <v>0</v>
      </c>
      <c r="L32" s="451">
        <f t="shared" si="3"/>
        <v>0</v>
      </c>
      <c r="M32" s="451" t="e">
        <f t="shared" si="3"/>
        <v>#VALUE!</v>
      </c>
      <c r="N32" s="451">
        <f t="shared" si="3"/>
        <v>0</v>
      </c>
      <c r="O32" s="451"/>
      <c r="P32" s="451"/>
      <c r="Q32" s="451"/>
      <c r="R32" s="451"/>
      <c r="S32" s="451" t="e">
        <f>(SUM(S6:S7)+SUM(S9:S10)+SUM(S12:S13))-SUM(S23:S31)</f>
        <v>#VALUE!</v>
      </c>
      <c r="T32" s="419">
        <f>(SUM(T6:T7)+SUM(T9:T10)+SUM(T12:T13))-SUM(T23:T31)</f>
        <v>0</v>
      </c>
      <c r="U32" s="452"/>
      <c r="V32" s="453"/>
      <c r="W32" s="157"/>
      <c r="X32" s="146"/>
    </row>
    <row r="33" spans="2:24" ht="15" customHeight="1" thickBot="1" x14ac:dyDescent="0.35">
      <c r="B33" s="401"/>
      <c r="C33" s="1032" t="s">
        <v>627</v>
      </c>
      <c r="D33" s="1033"/>
      <c r="E33" s="431" t="e">
        <f t="shared" si="2"/>
        <v>#VALUE!</v>
      </c>
      <c r="F33" s="431">
        <f t="shared" si="2"/>
        <v>0</v>
      </c>
      <c r="G33" s="454">
        <f t="shared" ref="G33:N33" si="4">(G8+G11+G14)-G22</f>
        <v>0</v>
      </c>
      <c r="H33" s="454">
        <f t="shared" si="4"/>
        <v>0</v>
      </c>
      <c r="I33" s="454">
        <f t="shared" si="4"/>
        <v>0</v>
      </c>
      <c r="J33" s="454">
        <f t="shared" si="4"/>
        <v>0</v>
      </c>
      <c r="K33" s="454">
        <f t="shared" si="4"/>
        <v>0</v>
      </c>
      <c r="L33" s="454">
        <f t="shared" si="4"/>
        <v>0</v>
      </c>
      <c r="M33" s="454">
        <f t="shared" si="4"/>
        <v>0</v>
      </c>
      <c r="N33" s="454">
        <f t="shared" si="4"/>
        <v>0</v>
      </c>
      <c r="O33" s="454"/>
      <c r="P33" s="454"/>
      <c r="Q33" s="454"/>
      <c r="R33" s="454"/>
      <c r="S33" s="454" t="e">
        <f>(S8+S11+S14)-S22</f>
        <v>#VALUE!</v>
      </c>
      <c r="T33" s="431">
        <f>(T8+T11+T14)-T22</f>
        <v>0</v>
      </c>
      <c r="U33" s="455"/>
      <c r="V33" s="456"/>
      <c r="W33" s="157"/>
      <c r="X33" s="146"/>
    </row>
    <row r="34" spans="2:24" ht="13.8" x14ac:dyDescent="0.3">
      <c r="B34" s="401"/>
      <c r="C34" s="457"/>
      <c r="D34" s="457"/>
      <c r="E34" s="457"/>
      <c r="F34" s="457"/>
      <c r="G34" s="458"/>
      <c r="H34" s="458"/>
      <c r="I34" s="458"/>
      <c r="J34" s="458"/>
      <c r="K34" s="458"/>
      <c r="L34" s="458"/>
      <c r="M34" s="458"/>
      <c r="N34" s="458"/>
      <c r="O34" s="458"/>
      <c r="P34" s="458"/>
      <c r="Q34" s="458"/>
      <c r="R34" s="458"/>
      <c r="S34" s="458"/>
      <c r="T34" s="459"/>
      <c r="U34" s="459"/>
      <c r="V34" s="459"/>
      <c r="W34" s="459"/>
      <c r="X34" s="146"/>
    </row>
    <row r="35" spans="2:24" ht="13.8" x14ac:dyDescent="0.3">
      <c r="B35" s="401"/>
      <c r="C35" s="460"/>
      <c r="D35" s="157"/>
      <c r="E35" s="157"/>
      <c r="F35" s="157"/>
      <c r="G35" s="461"/>
      <c r="H35" s="461"/>
      <c r="I35" s="461"/>
      <c r="J35" s="461"/>
      <c r="K35" s="461"/>
      <c r="L35" s="461"/>
      <c r="M35" s="461"/>
      <c r="N35" s="461"/>
      <c r="O35" s="461"/>
      <c r="P35" s="461"/>
      <c r="Q35" s="461"/>
      <c r="R35" s="461"/>
      <c r="S35" s="461"/>
      <c r="T35" s="459"/>
      <c r="U35" s="459"/>
      <c r="V35" s="459"/>
      <c r="W35" s="459"/>
      <c r="X35" s="146"/>
    </row>
    <row r="36" spans="2:24" ht="13.8" x14ac:dyDescent="0.3">
      <c r="B36" s="401"/>
      <c r="C36" s="156" t="s">
        <v>628</v>
      </c>
      <c r="D36" s="156"/>
      <c r="E36" s="156"/>
      <c r="F36" s="156"/>
      <c r="G36" s="157"/>
      <c r="H36" s="157"/>
      <c r="I36" s="157"/>
      <c r="J36" s="157"/>
      <c r="K36" s="157"/>
      <c r="L36" s="157"/>
      <c r="M36" s="157"/>
      <c r="N36" s="157"/>
      <c r="O36" s="157"/>
      <c r="P36" s="157"/>
      <c r="Q36" s="157"/>
      <c r="R36" s="157"/>
      <c r="S36" s="157"/>
      <c r="T36" s="157"/>
      <c r="U36" s="157"/>
      <c r="V36" s="157"/>
      <c r="W36" s="157"/>
      <c r="X36" s="146"/>
    </row>
    <row r="37" spans="2:24" ht="14.4" thickBot="1" x14ac:dyDescent="0.35">
      <c r="B37" s="401"/>
      <c r="C37" s="157"/>
      <c r="D37" s="157"/>
      <c r="E37" s="157"/>
      <c r="F37" s="157"/>
      <c r="G37" s="157"/>
      <c r="H37" s="157"/>
      <c r="I37" s="157"/>
      <c r="J37" s="157"/>
      <c r="K37" s="157"/>
      <c r="L37" s="157"/>
      <c r="M37" s="157"/>
      <c r="N37" s="157"/>
      <c r="O37" s="157"/>
      <c r="P37" s="157"/>
      <c r="Q37" s="157"/>
      <c r="R37" s="157"/>
      <c r="S37" s="157"/>
      <c r="T37" s="157"/>
      <c r="U37" s="157"/>
      <c r="V37" s="157"/>
      <c r="W37" s="157"/>
      <c r="X37" s="146"/>
    </row>
    <row r="38" spans="2:24" ht="12.75" customHeight="1" x14ac:dyDescent="0.3">
      <c r="B38" s="401"/>
      <c r="C38" s="1020" t="s">
        <v>629</v>
      </c>
      <c r="D38" s="847"/>
      <c r="E38" s="847"/>
      <c r="F38" s="847"/>
      <c r="G38" s="1021"/>
      <c r="H38" s="1028" t="s">
        <v>105</v>
      </c>
      <c r="I38" s="1013" t="s">
        <v>630</v>
      </c>
      <c r="J38" s="1014"/>
      <c r="K38" s="1013" t="s">
        <v>631</v>
      </c>
      <c r="L38" s="1014"/>
      <c r="M38" s="1013" t="s">
        <v>632</v>
      </c>
      <c r="N38" s="1014"/>
      <c r="O38" s="1013" t="s">
        <v>633</v>
      </c>
      <c r="P38" s="1014"/>
      <c r="Q38" s="1013" t="s">
        <v>608</v>
      </c>
      <c r="R38" s="1014"/>
      <c r="S38" s="1013" t="s">
        <v>634</v>
      </c>
      <c r="T38" s="1014"/>
      <c r="U38" s="1013" t="s">
        <v>112</v>
      </c>
      <c r="V38" s="1014"/>
      <c r="W38" s="1013" t="s">
        <v>635</v>
      </c>
      <c r="X38" s="146"/>
    </row>
    <row r="39" spans="2:24" ht="27" customHeight="1" thickBot="1" x14ac:dyDescent="0.35">
      <c r="B39" s="401"/>
      <c r="C39" s="1022"/>
      <c r="D39" s="1023"/>
      <c r="E39" s="1023"/>
      <c r="F39" s="1023"/>
      <c r="G39" s="1024"/>
      <c r="H39" s="1029"/>
      <c r="I39" s="1015"/>
      <c r="J39" s="1016"/>
      <c r="K39" s="1015"/>
      <c r="L39" s="1016"/>
      <c r="M39" s="1031"/>
      <c r="N39" s="1016"/>
      <c r="O39" s="1031"/>
      <c r="P39" s="1016"/>
      <c r="Q39" s="1015"/>
      <c r="R39" s="1016"/>
      <c r="S39" s="1015"/>
      <c r="T39" s="1016"/>
      <c r="U39" s="1015"/>
      <c r="V39" s="1016"/>
      <c r="W39" s="1015"/>
      <c r="X39" s="146"/>
    </row>
    <row r="40" spans="2:24" ht="14.4" hidden="1" thickBot="1" x14ac:dyDescent="0.35">
      <c r="B40" s="401"/>
      <c r="C40" s="1025"/>
      <c r="D40" s="1026"/>
      <c r="E40" s="1026"/>
      <c r="F40" s="1026"/>
      <c r="G40" s="1027"/>
      <c r="H40" s="1030"/>
      <c r="I40" s="462" t="s">
        <v>613</v>
      </c>
      <c r="J40" s="463" t="s">
        <v>614</v>
      </c>
      <c r="K40" s="462" t="s">
        <v>613</v>
      </c>
      <c r="L40" s="464" t="s">
        <v>614</v>
      </c>
      <c r="M40" s="462" t="s">
        <v>613</v>
      </c>
      <c r="N40" s="464" t="s">
        <v>614</v>
      </c>
      <c r="O40" s="462" t="s">
        <v>613</v>
      </c>
      <c r="P40" s="464" t="s">
        <v>614</v>
      </c>
      <c r="Q40" s="462" t="s">
        <v>613</v>
      </c>
      <c r="R40" s="464" t="s">
        <v>614</v>
      </c>
      <c r="S40" s="462" t="s">
        <v>613</v>
      </c>
      <c r="T40" s="464" t="s">
        <v>614</v>
      </c>
      <c r="U40" s="462" t="s">
        <v>613</v>
      </c>
      <c r="V40" s="464" t="s">
        <v>614</v>
      </c>
      <c r="W40" s="465"/>
      <c r="X40" s="146"/>
    </row>
    <row r="41" spans="2:24" ht="26.25" customHeight="1" thickBot="1" x14ac:dyDescent="0.35">
      <c r="B41" s="401"/>
      <c r="C41" s="1017" t="s">
        <v>239</v>
      </c>
      <c r="D41" s="1018"/>
      <c r="E41" s="1018"/>
      <c r="F41" s="1018"/>
      <c r="G41" s="1019"/>
      <c r="H41" s="466">
        <f>IF(C41="","",(VLOOKUP($C41,Waste_Report2,2,FALSE)))</f>
        <v>170504</v>
      </c>
      <c r="I41" s="467" t="e">
        <f>IF(C41="","",(VLOOKUP($C41,Waste_Report1,4,FALSE)))</f>
        <v>#N/A</v>
      </c>
      <c r="J41" s="468">
        <f>IF(C41="","",(VLOOKUP($C41,Waste_Report2,4,FALSE)))</f>
        <v>0</v>
      </c>
      <c r="K41" s="468" t="e">
        <f>IF(C41="","",(VLOOKUP($C41,Waste_Report1,6,FALSE)))</f>
        <v>#N/A</v>
      </c>
      <c r="L41" s="468">
        <f>IF(C41="","",(VLOOKUP($C41,Waste_Report2,5,FALSE)))</f>
        <v>0</v>
      </c>
      <c r="M41" s="468" t="e">
        <f>IF(C41="","",(VLOOKUP($C41,Waste_Report1,8,FALSE)))</f>
        <v>#N/A</v>
      </c>
      <c r="N41" s="468">
        <f>IF(C41="","",(VLOOKUP($C41,Waste_Report2,6,FALSE)))</f>
        <v>0</v>
      </c>
      <c r="O41" s="468" t="e">
        <f>IF(C41="","",(VLOOKUP($C41,Waste_Report1,10,FALSE)))</f>
        <v>#N/A</v>
      </c>
      <c r="P41" s="468" t="e">
        <f>IF(C41="","",(VLOOKUP($C41,Waste_Report2,10,FALSE)))</f>
        <v>#REF!</v>
      </c>
      <c r="Q41" s="468" t="e">
        <f>IF(C41="","",(VLOOKUP($C41,Waste_Report1,12,FALSE)))</f>
        <v>#N/A</v>
      </c>
      <c r="R41" s="468" t="e">
        <f>IF(C41="","",(VLOOKUP($C41,Waste_Report2,12,FALSE)))</f>
        <v>#REF!</v>
      </c>
      <c r="S41" s="468" t="e">
        <f>IF(C41="","",(VLOOKUP($C41,Waste_Report1,14,FALSE)))</f>
        <v>#N/A</v>
      </c>
      <c r="T41" s="468">
        <f>IF(C41="","",(VLOOKUP($C41,Waste_Report2,7,FALSE)))</f>
        <v>0</v>
      </c>
      <c r="U41" s="468" t="str">
        <f>IF(D41="","",(VLOOKUP($C41,Waste_Report2,10,FALSE)))</f>
        <v/>
      </c>
      <c r="V41" s="468" t="str">
        <f>IF(G41="","",(VLOOKUP($C41,Waste_Report2,10,FALSE)))</f>
        <v/>
      </c>
      <c r="W41" s="468">
        <f>IF(H41="","",(VLOOKUP($C41,Waste_Report2,9,FALSE)))</f>
        <v>0</v>
      </c>
      <c r="X41" s="146"/>
    </row>
    <row r="42" spans="2:24" x14ac:dyDescent="0.25">
      <c r="B42" s="144"/>
      <c r="C42" s="155"/>
      <c r="D42" s="155"/>
      <c r="E42" s="155"/>
      <c r="F42" s="155"/>
      <c r="G42" s="155"/>
      <c r="H42" s="155"/>
      <c r="I42" s="155"/>
      <c r="J42" s="155"/>
      <c r="K42" s="155"/>
      <c r="L42" s="155"/>
      <c r="M42" s="155"/>
      <c r="N42" s="155"/>
      <c r="O42" s="155"/>
      <c r="P42" s="155"/>
      <c r="Q42" s="155"/>
      <c r="R42" s="155"/>
      <c r="S42" s="155"/>
      <c r="T42" s="155"/>
      <c r="U42" s="155"/>
      <c r="V42" s="155"/>
      <c r="W42" s="155"/>
      <c r="X42" s="146"/>
    </row>
    <row r="43" spans="2:24" ht="13.8" thickBot="1" x14ac:dyDescent="0.3">
      <c r="B43" s="158"/>
      <c r="C43" s="159"/>
      <c r="D43" s="159"/>
      <c r="E43" s="159"/>
      <c r="F43" s="159"/>
      <c r="G43" s="159"/>
      <c r="H43" s="159"/>
      <c r="I43" s="159"/>
      <c r="J43" s="159"/>
      <c r="K43" s="159"/>
      <c r="L43" s="159"/>
      <c r="M43" s="159"/>
      <c r="N43" s="159"/>
      <c r="O43" s="159"/>
      <c r="P43" s="159"/>
      <c r="Q43" s="159"/>
      <c r="R43" s="159"/>
      <c r="S43" s="159"/>
      <c r="T43" s="159"/>
      <c r="U43" s="159"/>
      <c r="V43" s="159"/>
      <c r="W43" s="159"/>
      <c r="X43" s="160"/>
    </row>
  </sheetData>
  <sheetProtection algorithmName="SHA-512" hashValue="ympouLuWh3tL4Fp+bwMua9frFWGOnSBUsF/CyT/5ZBxqpnKxU/xhqWq/HT08gEt/Pk3gMax1lf3tSIfQOIv/ZA==" saltValue="4WeCmXxCwe4MZECsmCHV8Q==" spinCount="100000" sheet="1" objects="1" scenarios="1"/>
  <mergeCells count="47">
    <mergeCell ref="C9:C11"/>
    <mergeCell ref="E3:F3"/>
    <mergeCell ref="G3:H4"/>
    <mergeCell ref="I3:J4"/>
    <mergeCell ref="K3:L4"/>
    <mergeCell ref="Q3:R4"/>
    <mergeCell ref="S3:T4"/>
    <mergeCell ref="U3:V4"/>
    <mergeCell ref="C4:D4"/>
    <mergeCell ref="C6:C8"/>
    <mergeCell ref="M3:N4"/>
    <mergeCell ref="O3:P4"/>
    <mergeCell ref="U19:V20"/>
    <mergeCell ref="C12:C14"/>
    <mergeCell ref="C15:D15"/>
    <mergeCell ref="C16:D16"/>
    <mergeCell ref="E19:F19"/>
    <mergeCell ref="G19:H20"/>
    <mergeCell ref="I19:J20"/>
    <mergeCell ref="K19:L20"/>
    <mergeCell ref="M19:N20"/>
    <mergeCell ref="O19:P20"/>
    <mergeCell ref="Q19:R20"/>
    <mergeCell ref="S19:T20"/>
    <mergeCell ref="C33:D33"/>
    <mergeCell ref="C22:D22"/>
    <mergeCell ref="C23:D23"/>
    <mergeCell ref="C24:D24"/>
    <mergeCell ref="C25:D25"/>
    <mergeCell ref="C26:D26"/>
    <mergeCell ref="C27:D27"/>
    <mergeCell ref="C28:D28"/>
    <mergeCell ref="C29:D29"/>
    <mergeCell ref="C30:D30"/>
    <mergeCell ref="C31:D31"/>
    <mergeCell ref="C32:D32"/>
    <mergeCell ref="Q38:R39"/>
    <mergeCell ref="S38:T39"/>
    <mergeCell ref="U38:V39"/>
    <mergeCell ref="W38:W39"/>
    <mergeCell ref="C41:G41"/>
    <mergeCell ref="C38:G40"/>
    <mergeCell ref="H38:H40"/>
    <mergeCell ref="I38:J39"/>
    <mergeCell ref="K38:L39"/>
    <mergeCell ref="M38:N39"/>
    <mergeCell ref="O38:P39"/>
  </mergeCells>
  <dataValidations count="2">
    <dataValidation type="list" allowBlank="1" showInputMessage="1" showErrorMessage="1" error="Please choose from the drop down menu" sqref="C41:G41" xr:uid="{5AC948FD-2E75-4B3C-B81C-32D5AE09E723}">
      <formula1>Reporta</formula1>
    </dataValidation>
    <dataValidation type="list" allowBlank="1" showInputMessage="1" showErrorMessage="1" sqref="C42:G42" xr:uid="{85671BC3-E355-4279-A1F4-A83A6EA9CB8D}">
      <formula1>Waste_Report1</formula1>
    </dataValidation>
  </dataValidations>
  <printOptions horizontalCentered="1"/>
  <pageMargins left="0.15748031496062992" right="0.15748031496062992" top="0.59055118110236227" bottom="0.39370078740157483" header="0.51181102362204722" footer="0.51181102362204722"/>
  <pageSetup paperSize="9" scale="85" orientation="landscape" r:id="rId1"/>
  <headerFooter alignWithMargins="0">
    <oddFooter>&amp;LFM-HSS-W01-01&amp;CJanuary 2020&amp;RRev 17.0</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75CB-3B2C-4014-82FE-896ADBE9B886}">
  <sheetPr codeName="Sheet2">
    <tabColor indexed="50"/>
  </sheetPr>
  <dimension ref="A1:AJ580"/>
  <sheetViews>
    <sheetView showGridLines="0" showZeros="0" zoomScale="70" zoomScaleNormal="70" zoomScalePageLayoutView="70" workbookViewId="0">
      <selection activeCell="C26" sqref="C26"/>
    </sheetView>
  </sheetViews>
  <sheetFormatPr defaultColWidth="15.6640625" defaultRowHeight="13.2" x14ac:dyDescent="0.25"/>
  <cols>
    <col min="1" max="1" width="46.44140625" style="259" customWidth="1"/>
    <col min="2" max="2" width="13.44140625" style="259" customWidth="1"/>
    <col min="3" max="3" width="17.44140625" style="259" customWidth="1"/>
    <col min="4" max="4" width="11" style="259" customWidth="1"/>
    <col min="5" max="5" width="12" style="259" customWidth="1"/>
    <col min="6" max="6" width="19" style="259" bestFit="1" customWidth="1"/>
    <col min="7" max="7" width="20.6640625" style="259" customWidth="1"/>
    <col min="8" max="8" width="21.6640625" style="259" customWidth="1"/>
    <col min="9" max="10" width="20.6640625" style="259" customWidth="1"/>
    <col min="11" max="11" width="23.44140625" style="259" customWidth="1"/>
    <col min="12" max="12" width="20.6640625" style="259" customWidth="1"/>
    <col min="13" max="14" width="9.109375" style="259" customWidth="1"/>
    <col min="15" max="15" width="21.33203125" style="259" hidden="1" customWidth="1"/>
    <col min="16" max="17" width="12" style="259" hidden="1" customWidth="1"/>
    <col min="18" max="26" width="17.6640625" style="259" hidden="1" customWidth="1"/>
    <col min="27" max="27" width="38.33203125" style="259" hidden="1" customWidth="1"/>
    <col min="28" max="28" width="39.6640625" style="259" hidden="1" customWidth="1"/>
    <col min="29" max="35" width="17.6640625" style="259" hidden="1" customWidth="1"/>
    <col min="36" max="36" width="17.6640625" style="259" customWidth="1"/>
    <col min="37" max="37" width="14" style="259" customWidth="1"/>
    <col min="38" max="38" width="12" style="259" customWidth="1"/>
    <col min="39" max="39" width="16.44140625" style="259" customWidth="1"/>
    <col min="40" max="45" width="12" style="259" customWidth="1"/>
    <col min="46" max="46" width="13.109375" style="259" customWidth="1"/>
    <col min="47" max="47" width="16.44140625" style="259" customWidth="1"/>
    <col min="48" max="129" width="12" style="259" customWidth="1"/>
    <col min="130" max="131" width="12.109375" style="259" customWidth="1"/>
    <col min="132" max="198" width="12" style="259" customWidth="1"/>
    <col min="199" max="201" width="15.6640625" style="259" customWidth="1"/>
    <col min="202" max="203" width="19.44140625" style="259" customWidth="1"/>
    <col min="204" max="205" width="25.6640625" style="259" customWidth="1"/>
    <col min="206" max="207" width="20" style="259" customWidth="1"/>
    <col min="208" max="209" width="23.6640625" style="259" customWidth="1"/>
    <col min="210" max="211" width="19.6640625" style="259" customWidth="1"/>
    <col min="212" max="213" width="21.44140625" style="259" customWidth="1"/>
    <col min="214" max="215" width="25.109375" style="259" customWidth="1"/>
    <col min="216" max="216" width="21.109375" style="259" customWidth="1"/>
    <col min="217" max="217" width="21.33203125" style="259" customWidth="1"/>
    <col min="218" max="16384" width="15.6640625" style="259"/>
  </cols>
  <sheetData>
    <row r="1" spans="1:25" ht="21.6" thickTop="1" x14ac:dyDescent="0.25">
      <c r="A1" s="1133" t="s">
        <v>636</v>
      </c>
      <c r="B1" s="1134"/>
      <c r="C1" s="1134"/>
      <c r="D1" s="1135"/>
      <c r="E1" s="1135"/>
      <c r="F1" s="1135"/>
      <c r="G1" s="1135"/>
      <c r="H1" s="1135"/>
      <c r="I1" s="1135"/>
      <c r="J1" s="1135"/>
      <c r="K1" s="1135"/>
      <c r="L1" s="1136"/>
    </row>
    <row r="2" spans="1:25" ht="16.95" customHeight="1" x14ac:dyDescent="0.3">
      <c r="A2" s="1120" t="s">
        <v>291</v>
      </c>
      <c r="B2" s="960"/>
      <c r="C2" s="1126" t="str">
        <f>'Project Details'!D10</f>
        <v>Piccadilly Gardens Redevelopment</v>
      </c>
      <c r="D2" s="1137"/>
      <c r="E2" s="1137"/>
      <c r="F2" s="1137"/>
      <c r="G2" s="1137"/>
      <c r="H2" s="1138"/>
      <c r="I2" s="1139" t="s">
        <v>637</v>
      </c>
      <c r="J2" s="1140"/>
      <c r="K2" s="1140"/>
      <c r="L2" s="1141"/>
    </row>
    <row r="3" spans="1:25" ht="16.95" customHeight="1" x14ac:dyDescent="0.25">
      <c r="A3" s="1120" t="s">
        <v>638</v>
      </c>
      <c r="B3" s="960"/>
      <c r="C3" s="1126" t="str">
        <f>'Project Details'!D11</f>
        <v>HLA098</v>
      </c>
      <c r="D3" s="1142"/>
      <c r="E3" s="1142"/>
      <c r="F3" s="1143"/>
      <c r="G3" s="1124" t="s">
        <v>639</v>
      </c>
      <c r="H3" s="1125"/>
      <c r="I3" s="1144">
        <f>'Project Details'!D13</f>
        <v>15000000</v>
      </c>
      <c r="J3" s="1073"/>
      <c r="K3" s="1073"/>
      <c r="L3" s="1145"/>
      <c r="T3" s="469" t="str">
        <f>IF(G3=80111,#REF!,"")</f>
        <v/>
      </c>
      <c r="U3" s="469"/>
    </row>
    <row r="4" spans="1:25" ht="16.95" customHeight="1" x14ac:dyDescent="0.3">
      <c r="A4" s="1120" t="s">
        <v>640</v>
      </c>
      <c r="B4" s="960"/>
      <c r="C4" s="1121" t="str">
        <f>'Project Details'!D16</f>
        <v>Winter 2026 (TBC)</v>
      </c>
      <c r="D4" s="1122"/>
      <c r="E4" s="1122"/>
      <c r="F4" s="1123"/>
      <c r="G4" s="1124" t="s">
        <v>38</v>
      </c>
      <c r="H4" s="1125"/>
      <c r="I4" s="1126" t="str">
        <f>'Project Details'!D38</f>
        <v>Adam Liu</v>
      </c>
      <c r="J4" s="962"/>
      <c r="K4" s="962"/>
      <c r="L4" s="1127"/>
    </row>
    <row r="5" spans="1:25" ht="16.95" customHeight="1" thickBot="1" x14ac:dyDescent="0.3">
      <c r="A5" s="1128" t="s">
        <v>36</v>
      </c>
      <c r="B5" s="975"/>
      <c r="C5" s="1129" t="str">
        <f>'Project Details'!D39</f>
        <v>TBC</v>
      </c>
      <c r="D5" s="976"/>
      <c r="E5" s="976"/>
      <c r="F5" s="1130"/>
      <c r="G5" s="1131" t="s">
        <v>294</v>
      </c>
      <c r="H5" s="1132"/>
      <c r="I5" s="1129" t="str">
        <f>'Project Details'!D42</f>
        <v>TBC</v>
      </c>
      <c r="J5" s="976"/>
      <c r="K5" s="976"/>
      <c r="L5" s="980"/>
      <c r="O5" s="48"/>
      <c r="P5" s="48"/>
      <c r="Q5" s="48"/>
      <c r="R5" s="48"/>
      <c r="S5" s="48"/>
      <c r="T5" s="48"/>
      <c r="U5" s="48"/>
      <c r="V5" s="48"/>
      <c r="W5" s="48"/>
      <c r="X5" s="48"/>
      <c r="Y5" s="48"/>
    </row>
    <row r="6" spans="1:25" ht="15" thickTop="1" thickBot="1" x14ac:dyDescent="0.35">
      <c r="A6" s="470"/>
      <c r="B6" s="470"/>
      <c r="C6" s="470"/>
      <c r="D6" s="470"/>
      <c r="E6" s="470"/>
      <c r="F6" s="470"/>
      <c r="G6" s="470"/>
      <c r="H6" s="470"/>
      <c r="I6" s="470"/>
      <c r="J6" s="470"/>
      <c r="K6" s="470"/>
      <c r="L6" s="470"/>
      <c r="O6" s="48"/>
      <c r="P6" s="48"/>
      <c r="Q6" s="48"/>
      <c r="R6" s="48"/>
      <c r="S6" s="48"/>
      <c r="T6" s="48"/>
      <c r="U6" s="48"/>
      <c r="V6" s="48"/>
      <c r="W6" s="48"/>
      <c r="X6" s="48"/>
      <c r="Y6" s="48"/>
    </row>
    <row r="7" spans="1:25" s="469" customFormat="1" ht="21.75" customHeight="1" thickTop="1" thickBot="1" x14ac:dyDescent="0.3">
      <c r="A7" s="1114" t="s">
        <v>641</v>
      </c>
      <c r="B7" s="1114" t="s">
        <v>115</v>
      </c>
      <c r="C7" s="1117" t="s">
        <v>642</v>
      </c>
      <c r="D7" s="1117" t="s">
        <v>105</v>
      </c>
      <c r="E7" s="1117" t="s">
        <v>643</v>
      </c>
      <c r="F7" s="1114" t="s">
        <v>644</v>
      </c>
      <c r="G7" s="1104" t="s">
        <v>645</v>
      </c>
      <c r="H7" s="1105"/>
      <c r="I7" s="1105"/>
      <c r="J7" s="1105"/>
      <c r="K7" s="1105"/>
      <c r="L7" s="1106"/>
      <c r="O7" s="1107" t="s">
        <v>104</v>
      </c>
      <c r="P7" s="1097" t="s">
        <v>105</v>
      </c>
      <c r="Q7" s="1097" t="s">
        <v>106</v>
      </c>
      <c r="R7" s="1097" t="s">
        <v>107</v>
      </c>
      <c r="S7" s="1099" t="s">
        <v>108</v>
      </c>
      <c r="T7" s="1097" t="s">
        <v>109</v>
      </c>
      <c r="U7" s="1099" t="s">
        <v>110</v>
      </c>
      <c r="V7" s="1097" t="s">
        <v>111</v>
      </c>
      <c r="W7" s="1097" t="s">
        <v>112</v>
      </c>
      <c r="X7" s="1097" t="s">
        <v>113</v>
      </c>
      <c r="Y7" s="1102" t="s">
        <v>646</v>
      </c>
    </row>
    <row r="8" spans="1:25" s="469" customFormat="1" ht="21.75" customHeight="1" thickTop="1" x14ac:dyDescent="0.25">
      <c r="A8" s="1115"/>
      <c r="B8" s="1116"/>
      <c r="C8" s="1118"/>
      <c r="D8" s="1119"/>
      <c r="E8" s="1119"/>
      <c r="F8" s="1115"/>
      <c r="G8" s="1109" t="s">
        <v>647</v>
      </c>
      <c r="H8" s="1092" t="s">
        <v>648</v>
      </c>
      <c r="I8" s="1092" t="s">
        <v>649</v>
      </c>
      <c r="J8" s="1112" t="s">
        <v>650</v>
      </c>
      <c r="K8" s="1092" t="s">
        <v>111</v>
      </c>
      <c r="L8" s="1092" t="s">
        <v>651</v>
      </c>
      <c r="O8" s="1108"/>
      <c r="P8" s="1098"/>
      <c r="Q8" s="1098"/>
      <c r="R8" s="1098"/>
      <c r="S8" s="1100"/>
      <c r="T8" s="1098"/>
      <c r="U8" s="1100"/>
      <c r="V8" s="1084"/>
      <c r="W8" s="1101"/>
      <c r="X8" s="1084"/>
      <c r="Y8" s="1103"/>
    </row>
    <row r="9" spans="1:25" s="469" customFormat="1" ht="21.75" customHeight="1" thickBot="1" x14ac:dyDescent="0.3">
      <c r="A9" s="1115"/>
      <c r="B9" s="1116"/>
      <c r="C9" s="1118"/>
      <c r="D9" s="1119"/>
      <c r="E9" s="1119"/>
      <c r="F9" s="1115"/>
      <c r="G9" s="1110"/>
      <c r="H9" s="1111"/>
      <c r="I9" s="1093"/>
      <c r="J9" s="1113"/>
      <c r="K9" s="1093"/>
      <c r="L9" s="1093"/>
      <c r="O9" s="1108"/>
      <c r="P9" s="1098"/>
      <c r="Q9" s="1098"/>
      <c r="R9" s="1098"/>
      <c r="S9" s="1100"/>
      <c r="T9" s="1098"/>
      <c r="U9" s="1100"/>
      <c r="V9" s="1084"/>
      <c r="W9" s="1101"/>
      <c r="X9" s="1084"/>
      <c r="Y9" s="1103"/>
    </row>
    <row r="10" spans="1:25" s="469" customFormat="1" ht="26.7" customHeight="1" thickTop="1" x14ac:dyDescent="0.25">
      <c r="A10" s="471" t="s">
        <v>120</v>
      </c>
      <c r="B10" s="471" t="s">
        <v>237</v>
      </c>
      <c r="C10" s="472" t="s">
        <v>18</v>
      </c>
      <c r="D10" s="473">
        <f>IF(A10="","",(VLOOKUP($A10,EWC,2,FALSE)))</f>
        <v>150106</v>
      </c>
      <c r="E10" s="474" t="str">
        <f t="shared" ref="E10:E34" si="0">IF(D10="","",(VLOOKUP($A10,EWC,3,FALSE)))</f>
        <v>NH</v>
      </c>
      <c r="F10" s="475">
        <f>IF(A10="","",(SUM(G10:J10)+L10))</f>
        <v>0</v>
      </c>
      <c r="G10" s="475">
        <f>SUM('Q1 2026:Q4 2026'!F9)+SUM('Q1 2027:Q4 2027'!F9)+SUM('Q1 2028:Q4 2028'!F9)+SUM('Q1 2029:Q4 2029'!F9)+SUM('Q1 2030:Q4 2030'!F9)</f>
        <v>0</v>
      </c>
      <c r="H10" s="475">
        <f>SUM('Q1 2026:Q4 2026'!G9)+SUM('Q1 2027:Q4 2027'!G9)+SUM('Q1 2028:Q4 2028'!G9)+SUM('Q1 2029:Q4 2029'!G9)+SUM('Q1 2030:Q4 2030'!G9)</f>
        <v>0</v>
      </c>
      <c r="I10" s="475">
        <f>SUM('Q1 2026:Q4 2026'!H9)+SUM('Q1 2027:Q4 2027'!H9)+SUM('Q1 2028:Q4 2028'!H9)+SUM('Q1 2029:Q4 2029'!H9)+SUM('Q1 2030:Q4 2030'!H9)</f>
        <v>0</v>
      </c>
      <c r="J10" s="475">
        <f>SUM('Q1 2026:Q4 2026'!I9)+SUM('Q1 2027:Q4 2027'!I9)+SUM('Q1 2028:Q4 2028'!I9)+SUM('Q1 2029:Q4 2029'!I9)+SUM('Q1 2030:Q4 2030'!I9)</f>
        <v>0</v>
      </c>
      <c r="K10" s="475">
        <f>SUM('Q1 2026:Q4 2026'!L9)+SUM('Q1 2027:Q4 2027'!L9)+SUM('Q1 2028:Q4 2028'!L9)+SUM('Q1 2029:Q4 2029'!L9)+SUM('Q1 2030:Q4 2030'!L9)</f>
        <v>0</v>
      </c>
      <c r="L10" s="475">
        <f>SUM('Q1 2026:Q4 2026'!M9)+SUM('Q1 2027:Q4 2027'!M9)+SUM('Q1 2028:Q4 2028'!M9)+SUM('Q1 2029:Q4 2029'!M9)+SUM('Q1 2030:Q4 2030'!M9)</f>
        <v>0</v>
      </c>
      <c r="O10" s="209" t="s">
        <v>122</v>
      </c>
      <c r="P10" s="196">
        <v>80410</v>
      </c>
      <c r="Q10" s="218" t="s">
        <v>123</v>
      </c>
      <c r="R10" s="245">
        <f t="shared" ref="R10:W10" si="1">SUM(S122:S124)</f>
        <v>0</v>
      </c>
      <c r="S10" s="245">
        <f t="shared" si="1"/>
        <v>0</v>
      </c>
      <c r="T10" s="245">
        <f t="shared" si="1"/>
        <v>0</v>
      </c>
      <c r="U10" s="245">
        <f t="shared" si="1"/>
        <v>0</v>
      </c>
      <c r="V10" s="245">
        <f t="shared" si="1"/>
        <v>0</v>
      </c>
      <c r="W10" s="245">
        <f t="shared" si="1"/>
        <v>0</v>
      </c>
      <c r="X10" s="245">
        <f t="shared" ref="X10:X73" si="2">R10+S10+T10+U10+W10</f>
        <v>0</v>
      </c>
      <c r="Y10" s="246">
        <f t="shared" ref="Y10:Y73" si="3">S10+U10+W10</f>
        <v>0</v>
      </c>
    </row>
    <row r="11" spans="1:25" s="469" customFormat="1" ht="26.7" customHeight="1" x14ac:dyDescent="0.25">
      <c r="A11" s="476" t="s">
        <v>148</v>
      </c>
      <c r="B11" s="476" t="s">
        <v>236</v>
      </c>
      <c r="C11" s="477" t="s">
        <v>18</v>
      </c>
      <c r="D11" s="478">
        <f t="shared" ref="D11:D34" si="4">IF(A11="","",(VLOOKUP($A11,EWC,2,FALSE)))</f>
        <v>170904</v>
      </c>
      <c r="E11" s="479" t="str">
        <f t="shared" si="0"/>
        <v>NH</v>
      </c>
      <c r="F11" s="480">
        <f t="shared" ref="F11:F34" si="5">IF(A11="","",(SUM(G11:J11)+L11))</f>
        <v>0</v>
      </c>
      <c r="G11" s="480">
        <f>SUM('Q1 2026:Q4 2026'!F10)+SUM('Q1 2027:Q4 2027'!F10)+SUM('Q1 2028:Q4 2028'!F10)+SUM('Q1 2029:Q4 2029'!F10)+SUM('Q1 2030:Q4 2030'!F10)</f>
        <v>0</v>
      </c>
      <c r="H11" s="480">
        <f>SUM('Q1 2026:Q4 2026'!G10)+SUM('Q1 2027:Q4 2027'!G10)+SUM('Q1 2028:Q4 2028'!G10)+SUM('Q1 2029:Q4 2029'!G10)+SUM('Q1 2030:Q4 2030'!G10)</f>
        <v>0</v>
      </c>
      <c r="I11" s="480">
        <f>SUM('Q1 2026:Q4 2026'!H10)+SUM('Q1 2027:Q4 2027'!H10)+SUM('Q1 2028:Q4 2028'!H10)+SUM('Q1 2029:Q4 2029'!H10)+SUM('Q1 2030:Q4 2030'!H10)</f>
        <v>0</v>
      </c>
      <c r="J11" s="480">
        <f>SUM('Q1 2026:Q4 2026'!I10)+SUM('Q1 2027:Q4 2027'!I10)+SUM('Q1 2028:Q4 2028'!I10)+SUM('Q1 2029:Q4 2029'!I10)+SUM('Q1 2030:Q4 2030'!I10)</f>
        <v>0</v>
      </c>
      <c r="K11" s="480">
        <f>SUM('Q1 2026:Q4 2026'!L10)+SUM('Q1 2027:Q4 2027'!L10)+SUM('Q1 2028:Q4 2028'!L10)+SUM('Q1 2029:Q4 2029'!L10)+SUM('Q1 2030:Q4 2030'!L10)</f>
        <v>0</v>
      </c>
      <c r="L11" s="480">
        <f>SUM('Q1 2026:Q4 2026'!M10)+SUM('Q1 2027:Q4 2027'!M10)+SUM('Q1 2028:Q4 2028'!M10)+SUM('Q1 2029:Q4 2029'!M10)+SUM('Q1 2030:Q4 2030'!M10)</f>
        <v>0</v>
      </c>
      <c r="O11" s="209" t="s">
        <v>125</v>
      </c>
      <c r="P11" s="196">
        <v>80409</v>
      </c>
      <c r="Q11" s="218" t="s">
        <v>126</v>
      </c>
      <c r="R11" s="245">
        <f t="shared" ref="R11:W11" si="6">SUM(S125:S127)</f>
        <v>0</v>
      </c>
      <c r="S11" s="245">
        <f t="shared" si="6"/>
        <v>0</v>
      </c>
      <c r="T11" s="245">
        <f t="shared" si="6"/>
        <v>0</v>
      </c>
      <c r="U11" s="245">
        <f t="shared" si="6"/>
        <v>0</v>
      </c>
      <c r="V11" s="245">
        <f t="shared" si="6"/>
        <v>0</v>
      </c>
      <c r="W11" s="245">
        <f t="shared" si="6"/>
        <v>0</v>
      </c>
      <c r="X11" s="245">
        <f t="shared" si="2"/>
        <v>0</v>
      </c>
      <c r="Y11" s="246">
        <f t="shared" si="3"/>
        <v>0</v>
      </c>
    </row>
    <row r="12" spans="1:25" s="469" customFormat="1" ht="26.7" customHeight="1" x14ac:dyDescent="0.25">
      <c r="A12" s="476" t="s">
        <v>127</v>
      </c>
      <c r="B12" s="476" t="s">
        <v>236</v>
      </c>
      <c r="C12" s="477" t="s">
        <v>18</v>
      </c>
      <c r="D12" s="478">
        <f t="shared" si="4"/>
        <v>170504</v>
      </c>
      <c r="E12" s="479" t="str">
        <f t="shared" si="0"/>
        <v>I</v>
      </c>
      <c r="F12" s="480">
        <f t="shared" si="5"/>
        <v>0</v>
      </c>
      <c r="G12" s="480">
        <f>SUM('Q1 2026:Q4 2026'!F11)+SUM('Q1 2027:Q4 2027'!F11)+SUM('Q1 2028:Q4 2028'!F11)+SUM('Q1 2029:Q4 2029'!F11)+SUM('Q1 2030:Q4 2030'!F11)</f>
        <v>0</v>
      </c>
      <c r="H12" s="480">
        <f>SUM('Q1 2026:Q4 2026'!G11)+SUM('Q1 2027:Q4 2027'!G11)+SUM('Q1 2028:Q4 2028'!G11)+SUM('Q1 2029:Q4 2029'!G11)+SUM('Q1 2030:Q4 2030'!G11)</f>
        <v>0</v>
      </c>
      <c r="I12" s="480">
        <f>SUM('Q1 2026:Q4 2026'!H11)+SUM('Q1 2027:Q4 2027'!H11)+SUM('Q1 2028:Q4 2028'!H11)+SUM('Q1 2029:Q4 2029'!H11)+SUM('Q1 2030:Q4 2030'!H11)</f>
        <v>0</v>
      </c>
      <c r="J12" s="480">
        <f>SUM('Q1 2026:Q4 2026'!I11)+SUM('Q1 2027:Q4 2027'!I11)+SUM('Q1 2028:Q4 2028'!I11)+SUM('Q1 2029:Q4 2029'!I11)+SUM('Q1 2030:Q4 2030'!I11)</f>
        <v>0</v>
      </c>
      <c r="K12" s="480">
        <f>SUM('Q1 2026:Q4 2026'!L11)+SUM('Q1 2027:Q4 2027'!L11)+SUM('Q1 2028:Q4 2028'!L11)+SUM('Q1 2029:Q4 2029'!L11)+SUM('Q1 2030:Q4 2030'!L11)</f>
        <v>0</v>
      </c>
      <c r="L12" s="480">
        <f>SUM('Q1 2026:Q4 2026'!M11)+SUM('Q1 2027:Q4 2027'!M11)+SUM('Q1 2028:Q4 2028'!M11)+SUM('Q1 2029:Q4 2029'!M11)+SUM('Q1 2030:Q4 2030'!M11)</f>
        <v>0</v>
      </c>
      <c r="O12" s="209" t="s">
        <v>128</v>
      </c>
      <c r="P12" s="196">
        <v>80411</v>
      </c>
      <c r="Q12" s="218" t="s">
        <v>126</v>
      </c>
      <c r="R12" s="245">
        <f t="shared" ref="R12:W12" si="7">SUM(S128:S130)</f>
        <v>0</v>
      </c>
      <c r="S12" s="245">
        <f t="shared" si="7"/>
        <v>0</v>
      </c>
      <c r="T12" s="245">
        <f t="shared" si="7"/>
        <v>0</v>
      </c>
      <c r="U12" s="245">
        <f t="shared" si="7"/>
        <v>0</v>
      </c>
      <c r="V12" s="245">
        <f t="shared" si="7"/>
        <v>0</v>
      </c>
      <c r="W12" s="245">
        <f t="shared" si="7"/>
        <v>0</v>
      </c>
      <c r="X12" s="245">
        <f t="shared" si="2"/>
        <v>0</v>
      </c>
      <c r="Y12" s="246">
        <f t="shared" si="3"/>
        <v>0</v>
      </c>
    </row>
    <row r="13" spans="1:25" s="469" customFormat="1" ht="26.7" customHeight="1" x14ac:dyDescent="0.25">
      <c r="A13" s="476" t="s">
        <v>129</v>
      </c>
      <c r="B13" s="476" t="s">
        <v>236</v>
      </c>
      <c r="C13" s="477" t="s">
        <v>18</v>
      </c>
      <c r="D13" s="478">
        <f t="shared" si="4"/>
        <v>170302</v>
      </c>
      <c r="E13" s="479" t="str">
        <f t="shared" si="0"/>
        <v>NH</v>
      </c>
      <c r="F13" s="480">
        <f t="shared" si="5"/>
        <v>0</v>
      </c>
      <c r="G13" s="480">
        <f>SUM('Q1 2026:Q4 2026'!F12)+SUM('Q1 2027:Q4 2027'!F12)+SUM('Q1 2028:Q4 2028'!F12)+SUM('Q1 2029:Q4 2029'!F12)+SUM('Q1 2030:Q4 2030'!F12)</f>
        <v>0</v>
      </c>
      <c r="H13" s="480">
        <f>SUM('Q1 2026:Q4 2026'!G12)+SUM('Q1 2027:Q4 2027'!G12)+SUM('Q1 2028:Q4 2028'!G12)+SUM('Q1 2029:Q4 2029'!G12)+SUM('Q1 2030:Q4 2030'!G12)</f>
        <v>0</v>
      </c>
      <c r="I13" s="480">
        <f>SUM('Q1 2026:Q4 2026'!H12)+SUM('Q1 2027:Q4 2027'!H12)+SUM('Q1 2028:Q4 2028'!H12)+SUM('Q1 2029:Q4 2029'!H12)+SUM('Q1 2030:Q4 2030'!H12)</f>
        <v>0</v>
      </c>
      <c r="J13" s="480">
        <f>SUM('Q1 2026:Q4 2026'!I12)+SUM('Q1 2027:Q4 2027'!I12)+SUM('Q1 2028:Q4 2028'!I12)+SUM('Q1 2029:Q4 2029'!I12)+SUM('Q1 2030:Q4 2030'!I12)</f>
        <v>0</v>
      </c>
      <c r="K13" s="480">
        <f>SUM('Q1 2026:Q4 2026'!L12)+SUM('Q1 2027:Q4 2027'!L12)+SUM('Q1 2028:Q4 2028'!L12)+SUM('Q1 2029:Q4 2029'!L12)+SUM('Q1 2030:Q4 2030'!L12)</f>
        <v>0</v>
      </c>
      <c r="L13" s="480">
        <f>SUM('Q1 2026:Q4 2026'!M12)+SUM('Q1 2027:Q4 2027'!M12)+SUM('Q1 2028:Q4 2028'!M12)+SUM('Q1 2029:Q4 2029'!M12)+SUM('Q1 2030:Q4 2030'!M12)</f>
        <v>0</v>
      </c>
      <c r="O13" s="209" t="s">
        <v>130</v>
      </c>
      <c r="P13" s="196">
        <v>160505</v>
      </c>
      <c r="Q13" s="218" t="s">
        <v>123</v>
      </c>
      <c r="R13" s="245">
        <f t="shared" ref="R13:W13" si="8">SUM(S131:S133)</f>
        <v>0</v>
      </c>
      <c r="S13" s="245">
        <f t="shared" si="8"/>
        <v>0</v>
      </c>
      <c r="T13" s="245">
        <f t="shared" si="8"/>
        <v>0</v>
      </c>
      <c r="U13" s="245">
        <f t="shared" si="8"/>
        <v>0</v>
      </c>
      <c r="V13" s="245">
        <f t="shared" si="8"/>
        <v>0</v>
      </c>
      <c r="W13" s="245">
        <f t="shared" si="8"/>
        <v>0</v>
      </c>
      <c r="X13" s="245">
        <f t="shared" si="2"/>
        <v>0</v>
      </c>
      <c r="Y13" s="246">
        <f t="shared" si="3"/>
        <v>0</v>
      </c>
    </row>
    <row r="14" spans="1:25" s="469" customFormat="1" ht="26.7" customHeight="1" x14ac:dyDescent="0.25">
      <c r="A14" s="476" t="s">
        <v>317</v>
      </c>
      <c r="B14" s="476" t="s">
        <v>237</v>
      </c>
      <c r="C14" s="477" t="s">
        <v>18</v>
      </c>
      <c r="D14" s="478">
        <f t="shared" si="4"/>
        <v>200303</v>
      </c>
      <c r="E14" s="479" t="str">
        <f t="shared" si="0"/>
        <v>NH</v>
      </c>
      <c r="F14" s="480">
        <f t="shared" si="5"/>
        <v>0</v>
      </c>
      <c r="G14" s="480">
        <f>SUM('Q1 2026:Q4 2026'!F13)+SUM('Q1 2027:Q4 2027'!F13)+SUM('Q1 2028:Q4 2028'!F13)+SUM('Q1 2029:Q4 2029'!F13)+SUM('Q1 2030:Q4 2030'!F13)</f>
        <v>0</v>
      </c>
      <c r="H14" s="480">
        <f>SUM('Q1 2026:Q4 2026'!G13)+SUM('Q1 2027:Q4 2027'!G13)+SUM('Q1 2028:Q4 2028'!G13)+SUM('Q1 2029:Q4 2029'!G13)+SUM('Q1 2030:Q4 2030'!G13)</f>
        <v>0</v>
      </c>
      <c r="I14" s="480">
        <f>SUM('Q1 2026:Q4 2026'!H13)+SUM('Q1 2027:Q4 2027'!H13)+SUM('Q1 2028:Q4 2028'!H13)+SUM('Q1 2029:Q4 2029'!H13)+SUM('Q1 2030:Q4 2030'!H13)</f>
        <v>0</v>
      </c>
      <c r="J14" s="480">
        <f>SUM('Q1 2026:Q4 2026'!I13)+SUM('Q1 2027:Q4 2027'!I13)+SUM('Q1 2028:Q4 2028'!I13)+SUM('Q1 2029:Q4 2029'!I13)+SUM('Q1 2030:Q4 2030'!I13)</f>
        <v>0</v>
      </c>
      <c r="K14" s="480">
        <f>SUM('Q1 2026:Q4 2026'!L13)+SUM('Q1 2027:Q4 2027'!L13)+SUM('Q1 2028:Q4 2028'!L13)+SUM('Q1 2029:Q4 2029'!L13)+SUM('Q1 2030:Q4 2030'!L13)</f>
        <v>0</v>
      </c>
      <c r="L14" s="480">
        <f>SUM('Q1 2026:Q4 2026'!M13)+SUM('Q1 2027:Q4 2027'!M13)+SUM('Q1 2028:Q4 2028'!M13)+SUM('Q1 2029:Q4 2029'!M13)+SUM('Q1 2030:Q4 2030'!M13)</f>
        <v>0</v>
      </c>
      <c r="O14" s="209" t="s">
        <v>133</v>
      </c>
      <c r="P14" s="196">
        <v>160504</v>
      </c>
      <c r="Q14" s="218" t="s">
        <v>126</v>
      </c>
      <c r="R14" s="245">
        <f t="shared" ref="R14:W14" si="9">SUM(S134:S136)</f>
        <v>0</v>
      </c>
      <c r="S14" s="245">
        <f t="shared" si="9"/>
        <v>0</v>
      </c>
      <c r="T14" s="245">
        <f t="shared" si="9"/>
        <v>0</v>
      </c>
      <c r="U14" s="245">
        <f t="shared" si="9"/>
        <v>0</v>
      </c>
      <c r="V14" s="245">
        <f t="shared" si="9"/>
        <v>0</v>
      </c>
      <c r="W14" s="245">
        <f t="shared" si="9"/>
        <v>0</v>
      </c>
      <c r="X14" s="245">
        <f t="shared" si="2"/>
        <v>0</v>
      </c>
      <c r="Y14" s="246">
        <f t="shared" si="3"/>
        <v>0</v>
      </c>
    </row>
    <row r="15" spans="1:25" s="469" customFormat="1" ht="26.7" customHeight="1" x14ac:dyDescent="0.25">
      <c r="A15" s="476" t="s">
        <v>318</v>
      </c>
      <c r="B15" s="476" t="s">
        <v>237</v>
      </c>
      <c r="C15" s="477" t="s">
        <v>18</v>
      </c>
      <c r="D15" s="478">
        <f t="shared" si="4"/>
        <v>161001</v>
      </c>
      <c r="E15" s="479" t="str">
        <f t="shared" si="0"/>
        <v>H</v>
      </c>
      <c r="F15" s="480">
        <f t="shared" si="5"/>
        <v>0</v>
      </c>
      <c r="G15" s="480">
        <f>SUM('Q1 2026:Q4 2026'!F14)+SUM('Q1 2027:Q4 2027'!F14)+SUM('Q1 2028:Q4 2028'!F14)+SUM('Q1 2029:Q4 2029'!F14)+SUM('Q1 2030:Q4 2030'!F14)</f>
        <v>0</v>
      </c>
      <c r="H15" s="480">
        <f>SUM('Q1 2026:Q4 2026'!G14)+SUM('Q1 2027:Q4 2027'!G14)+SUM('Q1 2028:Q4 2028'!G14)+SUM('Q1 2029:Q4 2029'!G14)+SUM('Q1 2030:Q4 2030'!G14)</f>
        <v>0</v>
      </c>
      <c r="I15" s="480">
        <f>SUM('Q1 2026:Q4 2026'!H14)+SUM('Q1 2027:Q4 2027'!H14)+SUM('Q1 2028:Q4 2028'!H14)+SUM('Q1 2029:Q4 2029'!H14)+SUM('Q1 2030:Q4 2030'!H14)</f>
        <v>0</v>
      </c>
      <c r="J15" s="480">
        <f>SUM('Q1 2026:Q4 2026'!I14)+SUM('Q1 2027:Q4 2027'!I14)+SUM('Q1 2028:Q4 2028'!I14)+SUM('Q1 2029:Q4 2029'!I14)+SUM('Q1 2030:Q4 2030'!I14)</f>
        <v>0</v>
      </c>
      <c r="K15" s="480">
        <f>SUM('Q1 2026:Q4 2026'!L14)+SUM('Q1 2027:Q4 2027'!L14)+SUM('Q1 2028:Q4 2028'!L14)+SUM('Q1 2029:Q4 2029'!L14)+SUM('Q1 2030:Q4 2030'!L14)</f>
        <v>0</v>
      </c>
      <c r="L15" s="480">
        <f>SUM('Q1 2026:Q4 2026'!M14)+SUM('Q1 2027:Q4 2027'!M14)+SUM('Q1 2028:Q4 2028'!M14)+SUM('Q1 2029:Q4 2029'!M14)+SUM('Q1 2030:Q4 2030'!M14)</f>
        <v>0</v>
      </c>
      <c r="O15" s="209" t="s">
        <v>134</v>
      </c>
      <c r="P15" s="196">
        <v>160604</v>
      </c>
      <c r="Q15" s="218" t="s">
        <v>123</v>
      </c>
      <c r="R15" s="245">
        <f t="shared" ref="R15:W15" si="10">SUM(S137:S139)</f>
        <v>0</v>
      </c>
      <c r="S15" s="245">
        <f t="shared" si="10"/>
        <v>0</v>
      </c>
      <c r="T15" s="245">
        <f t="shared" si="10"/>
        <v>0</v>
      </c>
      <c r="U15" s="245">
        <f t="shared" si="10"/>
        <v>0</v>
      </c>
      <c r="V15" s="245">
        <f t="shared" si="10"/>
        <v>0</v>
      </c>
      <c r="W15" s="245">
        <f t="shared" si="10"/>
        <v>0</v>
      </c>
      <c r="X15" s="245">
        <f t="shared" si="2"/>
        <v>0</v>
      </c>
      <c r="Y15" s="246">
        <f t="shared" si="3"/>
        <v>0</v>
      </c>
    </row>
    <row r="16" spans="1:25" s="469" customFormat="1" ht="26.7" customHeight="1" x14ac:dyDescent="0.25">
      <c r="A16" s="476" t="s">
        <v>131</v>
      </c>
      <c r="B16" s="476" t="s">
        <v>235</v>
      </c>
      <c r="C16" s="477" t="s">
        <v>18</v>
      </c>
      <c r="D16" s="478">
        <f t="shared" si="4"/>
        <v>170605</v>
      </c>
      <c r="E16" s="479" t="str">
        <f t="shared" si="0"/>
        <v>H</v>
      </c>
      <c r="F16" s="480">
        <f t="shared" si="5"/>
        <v>0</v>
      </c>
      <c r="G16" s="480">
        <f>SUM('Q1 2026:Q4 2026'!F15)+SUM('Q1 2027:Q4 2027'!F15)+SUM('Q1 2028:Q4 2028'!F15)+SUM('Q1 2029:Q4 2029'!F15)+SUM('Q1 2030:Q4 2030'!F15)</f>
        <v>0</v>
      </c>
      <c r="H16" s="480">
        <f>SUM('Q1 2026:Q4 2026'!G15)+SUM('Q1 2027:Q4 2027'!G15)+SUM('Q1 2028:Q4 2028'!G15)+SUM('Q1 2029:Q4 2029'!G15)+SUM('Q1 2030:Q4 2030'!G15)</f>
        <v>0</v>
      </c>
      <c r="I16" s="480">
        <f>SUM('Q1 2026:Q4 2026'!H15)+SUM('Q1 2027:Q4 2027'!H15)+SUM('Q1 2028:Q4 2028'!H15)+SUM('Q1 2029:Q4 2029'!H15)+SUM('Q1 2030:Q4 2030'!H15)</f>
        <v>0</v>
      </c>
      <c r="J16" s="480">
        <f>SUM('Q1 2026:Q4 2026'!I15)+SUM('Q1 2027:Q4 2027'!I15)+SUM('Q1 2028:Q4 2028'!I15)+SUM('Q1 2029:Q4 2029'!I15)+SUM('Q1 2030:Q4 2030'!I15)</f>
        <v>0</v>
      </c>
      <c r="K16" s="480">
        <f>SUM('Q1 2026:Q4 2026'!L15)+SUM('Q1 2027:Q4 2027'!L15)+SUM('Q1 2028:Q4 2028'!L15)+SUM('Q1 2029:Q4 2029'!L15)+SUM('Q1 2030:Q4 2030'!L15)</f>
        <v>0</v>
      </c>
      <c r="L16" s="480">
        <f>SUM('Q1 2026:Q4 2026'!M15)+SUM('Q1 2027:Q4 2027'!M15)+SUM('Q1 2028:Q4 2028'!M15)+SUM('Q1 2029:Q4 2029'!M15)+SUM('Q1 2030:Q4 2030'!M15)</f>
        <v>0</v>
      </c>
      <c r="O16" s="209" t="s">
        <v>135</v>
      </c>
      <c r="P16" s="196">
        <v>160603</v>
      </c>
      <c r="Q16" s="218" t="s">
        <v>126</v>
      </c>
      <c r="R16" s="245">
        <f t="shared" ref="R16:W16" si="11">SUM(S140:S142)</f>
        <v>0</v>
      </c>
      <c r="S16" s="245">
        <f t="shared" si="11"/>
        <v>0</v>
      </c>
      <c r="T16" s="245">
        <f t="shared" si="11"/>
        <v>0</v>
      </c>
      <c r="U16" s="245">
        <f t="shared" si="11"/>
        <v>0</v>
      </c>
      <c r="V16" s="245">
        <f t="shared" si="11"/>
        <v>0</v>
      </c>
      <c r="W16" s="245">
        <f t="shared" si="11"/>
        <v>0</v>
      </c>
      <c r="X16" s="245">
        <f t="shared" si="2"/>
        <v>0</v>
      </c>
      <c r="Y16" s="246">
        <f t="shared" si="3"/>
        <v>0</v>
      </c>
    </row>
    <row r="17" spans="1:25" s="469" customFormat="1" ht="26.7" customHeight="1" x14ac:dyDescent="0.25">
      <c r="A17" s="476" t="s">
        <v>124</v>
      </c>
      <c r="B17" s="476" t="s">
        <v>235</v>
      </c>
      <c r="C17" s="477" t="s">
        <v>18</v>
      </c>
      <c r="D17" s="478">
        <f t="shared" si="4"/>
        <v>170107</v>
      </c>
      <c r="E17" s="479" t="str">
        <f t="shared" si="0"/>
        <v>NH</v>
      </c>
      <c r="F17" s="480">
        <f t="shared" si="5"/>
        <v>0</v>
      </c>
      <c r="G17" s="480">
        <f>SUM('Q1 2026:Q4 2026'!F16)+SUM('Q1 2027:Q4 2027'!F16)+SUM('Q1 2028:Q4 2028'!F16)+SUM('Q1 2029:Q4 2029'!F16)+SUM('Q1 2030:Q4 2030'!F16)</f>
        <v>0</v>
      </c>
      <c r="H17" s="480">
        <f>SUM('Q1 2026:Q4 2026'!G16)+SUM('Q1 2027:Q4 2027'!G16)+SUM('Q1 2028:Q4 2028'!G16)+SUM('Q1 2029:Q4 2029'!G16)+SUM('Q1 2030:Q4 2030'!G16)</f>
        <v>0</v>
      </c>
      <c r="I17" s="480">
        <f>SUM('Q1 2026:Q4 2026'!H16)+SUM('Q1 2027:Q4 2027'!H16)+SUM('Q1 2028:Q4 2028'!H16)+SUM('Q1 2029:Q4 2029'!H16)+SUM('Q1 2030:Q4 2030'!H16)</f>
        <v>0</v>
      </c>
      <c r="J17" s="480">
        <f>SUM('Q1 2026:Q4 2026'!I16)+SUM('Q1 2027:Q4 2027'!I16)+SUM('Q1 2028:Q4 2028'!I16)+SUM('Q1 2029:Q4 2029'!I16)+SUM('Q1 2030:Q4 2030'!I16)</f>
        <v>0</v>
      </c>
      <c r="K17" s="480">
        <f>SUM('Q1 2026:Q4 2026'!L16)+SUM('Q1 2027:Q4 2027'!L16)+SUM('Q1 2028:Q4 2028'!L16)+SUM('Q1 2029:Q4 2029'!L16)+SUM('Q1 2030:Q4 2030'!L16)</f>
        <v>0</v>
      </c>
      <c r="L17" s="480">
        <f>SUM('Q1 2026:Q4 2026'!M16)+SUM('Q1 2027:Q4 2027'!M16)+SUM('Q1 2028:Q4 2028'!M16)+SUM('Q1 2029:Q4 2029'!M16)+SUM('Q1 2030:Q4 2030'!M16)</f>
        <v>0</v>
      </c>
      <c r="O17" s="209" t="s">
        <v>136</v>
      </c>
      <c r="P17" s="196">
        <v>160602</v>
      </c>
      <c r="Q17" s="218" t="s">
        <v>126</v>
      </c>
      <c r="R17" s="245">
        <f t="shared" ref="R17:W17" si="12">SUM(S143:S145)</f>
        <v>0</v>
      </c>
      <c r="S17" s="245">
        <f t="shared" si="12"/>
        <v>0</v>
      </c>
      <c r="T17" s="245">
        <f t="shared" si="12"/>
        <v>0</v>
      </c>
      <c r="U17" s="245">
        <f t="shared" si="12"/>
        <v>0</v>
      </c>
      <c r="V17" s="245">
        <f t="shared" si="12"/>
        <v>0</v>
      </c>
      <c r="W17" s="245">
        <f t="shared" si="12"/>
        <v>0</v>
      </c>
      <c r="X17" s="245">
        <f t="shared" si="2"/>
        <v>0</v>
      </c>
      <c r="Y17" s="246">
        <f t="shared" si="3"/>
        <v>0</v>
      </c>
    </row>
    <row r="18" spans="1:25" s="469" customFormat="1" ht="26.7" customHeight="1" x14ac:dyDescent="0.25">
      <c r="A18" s="476" t="s">
        <v>177</v>
      </c>
      <c r="B18" s="476" t="s">
        <v>235</v>
      </c>
      <c r="C18" s="477" t="s">
        <v>18</v>
      </c>
      <c r="D18" s="478">
        <f t="shared" si="4"/>
        <v>170405</v>
      </c>
      <c r="E18" s="479" t="str">
        <f t="shared" si="0"/>
        <v>NH</v>
      </c>
      <c r="F18" s="480">
        <f t="shared" si="5"/>
        <v>0</v>
      </c>
      <c r="G18" s="480">
        <f>SUM('Q1 2026:Q4 2026'!F17)+SUM('Q1 2027:Q4 2027'!F17)+SUM('Q1 2028:Q4 2028'!F17)+SUM('Q1 2029:Q4 2029'!F17)+SUM('Q1 2030:Q4 2030'!F17)</f>
        <v>0</v>
      </c>
      <c r="H18" s="480">
        <f>SUM('Q1 2026:Q4 2026'!G17)+SUM('Q1 2027:Q4 2027'!G17)+SUM('Q1 2028:Q4 2028'!G17)+SUM('Q1 2029:Q4 2029'!G17)+SUM('Q1 2030:Q4 2030'!G17)</f>
        <v>0</v>
      </c>
      <c r="I18" s="480">
        <f>SUM('Q1 2026:Q4 2026'!H17)+SUM('Q1 2027:Q4 2027'!H17)+SUM('Q1 2028:Q4 2028'!H17)+SUM('Q1 2029:Q4 2029'!H17)+SUM('Q1 2030:Q4 2030'!H17)</f>
        <v>0</v>
      </c>
      <c r="J18" s="480">
        <f>SUM('Q1 2026:Q4 2026'!I17)+SUM('Q1 2027:Q4 2027'!I17)+SUM('Q1 2028:Q4 2028'!I17)+SUM('Q1 2029:Q4 2029'!I17)+SUM('Q1 2030:Q4 2030'!I17)</f>
        <v>0</v>
      </c>
      <c r="K18" s="480">
        <f>SUM('Q1 2026:Q4 2026'!L17)+SUM('Q1 2027:Q4 2027'!L17)+SUM('Q1 2028:Q4 2028'!L17)+SUM('Q1 2029:Q4 2029'!L17)+SUM('Q1 2030:Q4 2030'!L17)</f>
        <v>0</v>
      </c>
      <c r="L18" s="480">
        <f>SUM('Q1 2026:Q4 2026'!M17)+SUM('Q1 2027:Q4 2027'!M17)+SUM('Q1 2028:Q4 2028'!M17)+SUM('Q1 2029:Q4 2029'!M17)+SUM('Q1 2030:Q4 2030'!M17)</f>
        <v>0</v>
      </c>
      <c r="O18" s="209" t="s">
        <v>137</v>
      </c>
      <c r="P18" s="196">
        <v>160601</v>
      </c>
      <c r="Q18" s="218" t="s">
        <v>126</v>
      </c>
      <c r="R18" s="245">
        <f t="shared" ref="R18:W18" si="13">SUM(S146:S148)</f>
        <v>0</v>
      </c>
      <c r="S18" s="245">
        <f t="shared" si="13"/>
        <v>0</v>
      </c>
      <c r="T18" s="245">
        <f t="shared" si="13"/>
        <v>0</v>
      </c>
      <c r="U18" s="245">
        <f t="shared" si="13"/>
        <v>0</v>
      </c>
      <c r="V18" s="245">
        <f t="shared" si="13"/>
        <v>0</v>
      </c>
      <c r="W18" s="245">
        <f t="shared" si="13"/>
        <v>0</v>
      </c>
      <c r="X18" s="245">
        <f t="shared" si="2"/>
        <v>0</v>
      </c>
      <c r="Y18" s="246">
        <f t="shared" si="3"/>
        <v>0</v>
      </c>
    </row>
    <row r="19" spans="1:25" s="469" customFormat="1" ht="26.7" customHeight="1" x14ac:dyDescent="0.25">
      <c r="A19" s="476"/>
      <c r="B19" s="476"/>
      <c r="C19" s="477"/>
      <c r="D19" s="478" t="str">
        <f t="shared" si="4"/>
        <v/>
      </c>
      <c r="E19" s="479" t="str">
        <f t="shared" si="0"/>
        <v/>
      </c>
      <c r="F19" s="480" t="str">
        <f t="shared" si="5"/>
        <v/>
      </c>
      <c r="G19" s="480">
        <f>SUM('Q1 2026:Q4 2026'!F18)+SUM('Q1 2027:Q4 2027'!F18)+SUM('Q1 2028:Q4 2028'!F18)+SUM('Q1 2029:Q4 2029'!F18)+SUM('Q1 2030:Q4 2030'!F18)</f>
        <v>0</v>
      </c>
      <c r="H19" s="480">
        <f>SUM('Q1 2026:Q4 2026'!G18)+SUM('Q1 2027:Q4 2027'!G18)+SUM('Q1 2028:Q4 2028'!G18)+SUM('Q1 2029:Q4 2029'!G18)+SUM('Q1 2030:Q4 2030'!G18)</f>
        <v>0</v>
      </c>
      <c r="I19" s="480">
        <f>SUM('Q1 2026:Q4 2026'!H18)+SUM('Q1 2027:Q4 2027'!H18)+SUM('Q1 2028:Q4 2028'!H18)+SUM('Q1 2029:Q4 2029'!H18)+SUM('Q1 2030:Q4 2030'!H18)</f>
        <v>0</v>
      </c>
      <c r="J19" s="480">
        <f>SUM('Q1 2026:Q4 2026'!I18)+SUM('Q1 2027:Q4 2027'!I18)+SUM('Q1 2028:Q4 2028'!I18)+SUM('Q1 2029:Q4 2029'!I18)+SUM('Q1 2030:Q4 2030'!I18)</f>
        <v>0</v>
      </c>
      <c r="K19" s="480">
        <f>SUM('Q1 2026:Q4 2026'!L18)+SUM('Q1 2027:Q4 2027'!L18)+SUM('Q1 2028:Q4 2028'!L18)+SUM('Q1 2029:Q4 2029'!L18)+SUM('Q1 2030:Q4 2030'!L18)</f>
        <v>0</v>
      </c>
      <c r="L19" s="480">
        <f>SUM('Q1 2026:Q4 2026'!M18)+SUM('Q1 2027:Q4 2027'!M18)+SUM('Q1 2028:Q4 2028'!M18)+SUM('Q1 2029:Q4 2029'!M18)+SUM('Q1 2030:Q4 2030'!M18)</f>
        <v>0</v>
      </c>
      <c r="O19" s="209" t="s">
        <v>138</v>
      </c>
      <c r="P19" s="196">
        <v>130802</v>
      </c>
      <c r="Q19" s="218" t="s">
        <v>126</v>
      </c>
      <c r="R19" s="245">
        <f t="shared" ref="R19:W19" si="14">SUM(S149:S151)</f>
        <v>0</v>
      </c>
      <c r="S19" s="245">
        <f t="shared" si="14"/>
        <v>0</v>
      </c>
      <c r="T19" s="245">
        <f t="shared" si="14"/>
        <v>0</v>
      </c>
      <c r="U19" s="245">
        <f t="shared" si="14"/>
        <v>0</v>
      </c>
      <c r="V19" s="245">
        <f t="shared" si="14"/>
        <v>0</v>
      </c>
      <c r="W19" s="245">
        <f t="shared" si="14"/>
        <v>0</v>
      </c>
      <c r="X19" s="245">
        <f t="shared" si="2"/>
        <v>0</v>
      </c>
      <c r="Y19" s="246">
        <f t="shared" si="3"/>
        <v>0</v>
      </c>
    </row>
    <row r="20" spans="1:25" s="469" customFormat="1" ht="26.7" customHeight="1" x14ac:dyDescent="0.25">
      <c r="A20" s="476"/>
      <c r="B20" s="476"/>
      <c r="C20" s="477"/>
      <c r="D20" s="478" t="str">
        <f t="shared" si="4"/>
        <v/>
      </c>
      <c r="E20" s="479" t="str">
        <f t="shared" si="0"/>
        <v/>
      </c>
      <c r="F20" s="480" t="str">
        <f t="shared" si="5"/>
        <v/>
      </c>
      <c r="G20" s="480">
        <f>SUM('Q1 2026:Q4 2026'!F19)+SUM('Q1 2027:Q4 2027'!F19)+SUM('Q1 2028:Q4 2028'!F19)+SUM('Q1 2029:Q4 2029'!F19)+SUM('Q1 2030:Q4 2030'!F19)</f>
        <v>0</v>
      </c>
      <c r="H20" s="480">
        <f>SUM('Q1 2026:Q4 2026'!G19)+SUM('Q1 2027:Q4 2027'!G19)+SUM('Q1 2028:Q4 2028'!G19)+SUM('Q1 2029:Q4 2029'!G19)+SUM('Q1 2030:Q4 2030'!G19)</f>
        <v>0</v>
      </c>
      <c r="I20" s="480">
        <f>SUM('Q1 2026:Q4 2026'!H19)+SUM('Q1 2027:Q4 2027'!H19)+SUM('Q1 2028:Q4 2028'!H19)+SUM('Q1 2029:Q4 2029'!H19)+SUM('Q1 2030:Q4 2030'!H19)</f>
        <v>0</v>
      </c>
      <c r="J20" s="480">
        <f>SUM('Q1 2026:Q4 2026'!I19)+SUM('Q1 2027:Q4 2027'!I19)+SUM('Q1 2028:Q4 2028'!I19)+SUM('Q1 2029:Q4 2029'!I19)+SUM('Q1 2030:Q4 2030'!I19)</f>
        <v>0</v>
      </c>
      <c r="K20" s="480">
        <f>SUM('Q1 2026:Q4 2026'!L19)+SUM('Q1 2027:Q4 2027'!L19)+SUM('Q1 2028:Q4 2028'!L19)+SUM('Q1 2029:Q4 2029'!L19)+SUM('Q1 2030:Q4 2030'!L19)</f>
        <v>0</v>
      </c>
      <c r="L20" s="480">
        <f>SUM('Q1 2026:Q4 2026'!M19)+SUM('Q1 2027:Q4 2027'!M19)+SUM('Q1 2028:Q4 2028'!M19)+SUM('Q1 2029:Q4 2029'!M19)+SUM('Q1 2030:Q4 2030'!M19)</f>
        <v>0</v>
      </c>
      <c r="O20" s="209" t="s">
        <v>139</v>
      </c>
      <c r="P20" s="196">
        <v>170301</v>
      </c>
      <c r="Q20" s="218" t="s">
        <v>126</v>
      </c>
      <c r="R20" s="245">
        <f t="shared" ref="R20:W20" si="15">SUM(S152:S154)</f>
        <v>0</v>
      </c>
      <c r="S20" s="245">
        <f t="shared" si="15"/>
        <v>0</v>
      </c>
      <c r="T20" s="245">
        <f t="shared" si="15"/>
        <v>0</v>
      </c>
      <c r="U20" s="245">
        <f t="shared" si="15"/>
        <v>0</v>
      </c>
      <c r="V20" s="245">
        <f t="shared" si="15"/>
        <v>0</v>
      </c>
      <c r="W20" s="245">
        <f t="shared" si="15"/>
        <v>0</v>
      </c>
      <c r="X20" s="245">
        <f t="shared" si="2"/>
        <v>0</v>
      </c>
      <c r="Y20" s="246">
        <f t="shared" si="3"/>
        <v>0</v>
      </c>
    </row>
    <row r="21" spans="1:25" s="481" customFormat="1" ht="26.7" customHeight="1" x14ac:dyDescent="0.25">
      <c r="A21" s="476"/>
      <c r="B21" s="476"/>
      <c r="C21" s="477"/>
      <c r="D21" s="478" t="str">
        <f t="shared" si="4"/>
        <v/>
      </c>
      <c r="E21" s="479" t="str">
        <f t="shared" si="0"/>
        <v/>
      </c>
      <c r="F21" s="480" t="str">
        <f t="shared" si="5"/>
        <v/>
      </c>
      <c r="G21" s="480">
        <f>SUM('Q1 2026:Q4 2026'!F20)+SUM('Q1 2027:Q4 2027'!F20)+SUM('Q1 2028:Q4 2028'!F20)+SUM('Q1 2029:Q4 2029'!F20)+SUM('Q1 2030:Q4 2030'!F20)</f>
        <v>0</v>
      </c>
      <c r="H21" s="480">
        <f>SUM('Q1 2026:Q4 2026'!G20)+SUM('Q1 2027:Q4 2027'!G20)+SUM('Q1 2028:Q4 2028'!G20)+SUM('Q1 2029:Q4 2029'!G20)+SUM('Q1 2030:Q4 2030'!G20)</f>
        <v>0</v>
      </c>
      <c r="I21" s="480">
        <f>SUM('Q1 2026:Q4 2026'!H20)+SUM('Q1 2027:Q4 2027'!H20)+SUM('Q1 2028:Q4 2028'!H20)+SUM('Q1 2029:Q4 2029'!H20)+SUM('Q1 2030:Q4 2030'!H20)</f>
        <v>0</v>
      </c>
      <c r="J21" s="480">
        <f>SUM('Q1 2026:Q4 2026'!I20)+SUM('Q1 2027:Q4 2027'!I20)+SUM('Q1 2028:Q4 2028'!I20)+SUM('Q1 2029:Q4 2029'!I20)+SUM('Q1 2030:Q4 2030'!I20)</f>
        <v>0</v>
      </c>
      <c r="K21" s="480">
        <f>SUM('Q1 2026:Q4 2026'!L20)+SUM('Q1 2027:Q4 2027'!L20)+SUM('Q1 2028:Q4 2028'!L20)+SUM('Q1 2029:Q4 2029'!L20)+SUM('Q1 2030:Q4 2030'!L20)</f>
        <v>0</v>
      </c>
      <c r="L21" s="480">
        <f>SUM('Q1 2026:Q4 2026'!M20)+SUM('Q1 2027:Q4 2027'!M20)+SUM('Q1 2028:Q4 2028'!M20)+SUM('Q1 2029:Q4 2029'!M20)+SUM('Q1 2030:Q4 2030'!M20)</f>
        <v>0</v>
      </c>
      <c r="O21" s="209" t="s">
        <v>129</v>
      </c>
      <c r="P21" s="196">
        <v>170302</v>
      </c>
      <c r="Q21" s="218" t="s">
        <v>123</v>
      </c>
      <c r="R21" s="245">
        <f t="shared" ref="R21:W21" si="16">SUM(S155:S157)</f>
        <v>0</v>
      </c>
      <c r="S21" s="245">
        <f t="shared" si="16"/>
        <v>0</v>
      </c>
      <c r="T21" s="245">
        <f t="shared" si="16"/>
        <v>0</v>
      </c>
      <c r="U21" s="245">
        <f t="shared" si="16"/>
        <v>0</v>
      </c>
      <c r="V21" s="245">
        <f t="shared" si="16"/>
        <v>0</v>
      </c>
      <c r="W21" s="245">
        <f t="shared" si="16"/>
        <v>0</v>
      </c>
      <c r="X21" s="245">
        <f t="shared" si="2"/>
        <v>0</v>
      </c>
      <c r="Y21" s="246">
        <f t="shared" si="3"/>
        <v>0</v>
      </c>
    </row>
    <row r="22" spans="1:25" s="481" customFormat="1" ht="26.7" customHeight="1" x14ac:dyDescent="0.25">
      <c r="A22" s="476"/>
      <c r="B22" s="476"/>
      <c r="C22" s="477"/>
      <c r="D22" s="478" t="str">
        <f t="shared" si="4"/>
        <v/>
      </c>
      <c r="E22" s="479" t="str">
        <f t="shared" si="0"/>
        <v/>
      </c>
      <c r="F22" s="480" t="str">
        <f t="shared" si="5"/>
        <v/>
      </c>
      <c r="G22" s="480">
        <f>SUM('Q1 2026:Q4 2026'!F21)+SUM('Q1 2027:Q4 2027'!F21)+SUM('Q1 2028:Q4 2028'!F21)+SUM('Q1 2029:Q4 2029'!F21)+SUM('Q1 2030:Q4 2030'!F21)</f>
        <v>0</v>
      </c>
      <c r="H22" s="480">
        <f>SUM('Q1 2026:Q4 2026'!G21)+SUM('Q1 2027:Q4 2027'!G21)+SUM('Q1 2028:Q4 2028'!G21)+SUM('Q1 2029:Q4 2029'!G21)+SUM('Q1 2030:Q4 2030'!G21)</f>
        <v>0</v>
      </c>
      <c r="I22" s="480">
        <f>SUM('Q1 2026:Q4 2026'!H21)+SUM('Q1 2027:Q4 2027'!H21)+SUM('Q1 2028:Q4 2028'!H21)+SUM('Q1 2029:Q4 2029'!H21)+SUM('Q1 2030:Q4 2030'!H21)</f>
        <v>0</v>
      </c>
      <c r="J22" s="480">
        <f>SUM('Q1 2026:Q4 2026'!I21)+SUM('Q1 2027:Q4 2027'!I21)+SUM('Q1 2028:Q4 2028'!I21)+SUM('Q1 2029:Q4 2029'!I21)+SUM('Q1 2030:Q4 2030'!I21)</f>
        <v>0</v>
      </c>
      <c r="K22" s="480">
        <f>SUM('Q1 2026:Q4 2026'!L21)+SUM('Q1 2027:Q4 2027'!L21)+SUM('Q1 2028:Q4 2028'!L21)+SUM('Q1 2029:Q4 2029'!L21)+SUM('Q1 2030:Q4 2030'!L21)</f>
        <v>0</v>
      </c>
      <c r="L22" s="480">
        <f>SUM('Q1 2026:Q4 2026'!M21)+SUM('Q1 2027:Q4 2027'!M21)+SUM('Q1 2028:Q4 2028'!M21)+SUM('Q1 2029:Q4 2029'!M21)+SUM('Q1 2030:Q4 2030'!M21)</f>
        <v>0</v>
      </c>
      <c r="O22" s="209" t="s">
        <v>140</v>
      </c>
      <c r="P22" s="196">
        <v>170102</v>
      </c>
      <c r="Q22" s="218" t="s">
        <v>141</v>
      </c>
      <c r="R22" s="245">
        <f t="shared" ref="R22:W22" si="17">SUM(S158:S160)</f>
        <v>0</v>
      </c>
      <c r="S22" s="245">
        <f t="shared" si="17"/>
        <v>0</v>
      </c>
      <c r="T22" s="245">
        <f t="shared" si="17"/>
        <v>0</v>
      </c>
      <c r="U22" s="245">
        <f t="shared" si="17"/>
        <v>0</v>
      </c>
      <c r="V22" s="245">
        <f t="shared" si="17"/>
        <v>0</v>
      </c>
      <c r="W22" s="245">
        <f t="shared" si="17"/>
        <v>0</v>
      </c>
      <c r="X22" s="245">
        <f t="shared" si="2"/>
        <v>0</v>
      </c>
      <c r="Y22" s="246">
        <f t="shared" si="3"/>
        <v>0</v>
      </c>
    </row>
    <row r="23" spans="1:25" s="481" customFormat="1" ht="26.7" customHeight="1" x14ac:dyDescent="0.25">
      <c r="A23" s="476"/>
      <c r="B23" s="476"/>
      <c r="C23" s="477"/>
      <c r="D23" s="478" t="str">
        <f t="shared" si="4"/>
        <v/>
      </c>
      <c r="E23" s="479" t="str">
        <f t="shared" si="0"/>
        <v/>
      </c>
      <c r="F23" s="480" t="str">
        <f t="shared" si="5"/>
        <v/>
      </c>
      <c r="G23" s="480">
        <f>SUM('Q1 2026:Q4 2026'!F22)+SUM('Q1 2027:Q4 2027'!F22)+SUM('Q1 2028:Q4 2028'!F22)+SUM('Q1 2029:Q4 2029'!F22)+SUM('Q1 2030:Q4 2030'!F22)</f>
        <v>0</v>
      </c>
      <c r="H23" s="480">
        <f>SUM('Q1 2026:Q4 2026'!G22)+SUM('Q1 2027:Q4 2027'!G22)+SUM('Q1 2028:Q4 2028'!G22)+SUM('Q1 2029:Q4 2029'!G22)+SUM('Q1 2030:Q4 2030'!G22)</f>
        <v>0</v>
      </c>
      <c r="I23" s="480">
        <f>SUM('Q1 2026:Q4 2026'!H22)+SUM('Q1 2027:Q4 2027'!H22)+SUM('Q1 2028:Q4 2028'!H22)+SUM('Q1 2029:Q4 2029'!H22)+SUM('Q1 2030:Q4 2030'!H22)</f>
        <v>0</v>
      </c>
      <c r="J23" s="480">
        <f>SUM('Q1 2026:Q4 2026'!I22)+SUM('Q1 2027:Q4 2027'!I22)+SUM('Q1 2028:Q4 2028'!I22)+SUM('Q1 2029:Q4 2029'!I22)+SUM('Q1 2030:Q4 2030'!I22)</f>
        <v>0</v>
      </c>
      <c r="K23" s="480">
        <f>SUM('Q1 2026:Q4 2026'!L22)+SUM('Q1 2027:Q4 2027'!L22)+SUM('Q1 2028:Q4 2028'!L22)+SUM('Q1 2029:Q4 2029'!L22)+SUM('Q1 2030:Q4 2030'!L22)</f>
        <v>0</v>
      </c>
      <c r="L23" s="480">
        <f>SUM('Q1 2026:Q4 2026'!M22)+SUM('Q1 2027:Q4 2027'!M22)+SUM('Q1 2028:Q4 2028'!M22)+SUM('Q1 2029:Q4 2029'!M22)+SUM('Q1 2030:Q4 2030'!M22)</f>
        <v>0</v>
      </c>
      <c r="O23" s="209" t="s">
        <v>142</v>
      </c>
      <c r="P23" s="196">
        <v>170411</v>
      </c>
      <c r="Q23" s="218" t="s">
        <v>123</v>
      </c>
      <c r="R23" s="245">
        <f t="shared" ref="R23:W23" si="18">SUM(S161:S163)</f>
        <v>0</v>
      </c>
      <c r="S23" s="245">
        <f t="shared" si="18"/>
        <v>0</v>
      </c>
      <c r="T23" s="245">
        <f t="shared" si="18"/>
        <v>0</v>
      </c>
      <c r="U23" s="245">
        <f t="shared" si="18"/>
        <v>0</v>
      </c>
      <c r="V23" s="245">
        <f t="shared" si="18"/>
        <v>0</v>
      </c>
      <c r="W23" s="245">
        <f t="shared" si="18"/>
        <v>0</v>
      </c>
      <c r="X23" s="245">
        <f t="shared" si="2"/>
        <v>0</v>
      </c>
      <c r="Y23" s="246">
        <f t="shared" si="3"/>
        <v>0</v>
      </c>
    </row>
    <row r="24" spans="1:25" s="481" customFormat="1" ht="26.7" customHeight="1" x14ac:dyDescent="0.25">
      <c r="A24" s="476"/>
      <c r="B24" s="476"/>
      <c r="C24" s="477"/>
      <c r="D24" s="478" t="str">
        <f t="shared" si="4"/>
        <v/>
      </c>
      <c r="E24" s="479" t="str">
        <f t="shared" si="0"/>
        <v/>
      </c>
      <c r="F24" s="480" t="str">
        <f t="shared" si="5"/>
        <v/>
      </c>
      <c r="G24" s="480">
        <f>SUM('Q1 2026:Q4 2026'!F23)+SUM('Q1 2027:Q4 2027'!F23)+SUM('Q1 2028:Q4 2028'!F23)+SUM('Q1 2029:Q4 2029'!F23)+SUM('Q1 2030:Q4 2030'!F23)</f>
        <v>0</v>
      </c>
      <c r="H24" s="480">
        <f>SUM('Q1 2026:Q4 2026'!G23)+SUM('Q1 2027:Q4 2027'!G23)+SUM('Q1 2028:Q4 2028'!G23)+SUM('Q1 2029:Q4 2029'!G23)+SUM('Q1 2030:Q4 2030'!G23)</f>
        <v>0</v>
      </c>
      <c r="I24" s="480">
        <f>SUM('Q1 2026:Q4 2026'!H23)+SUM('Q1 2027:Q4 2027'!H23)+SUM('Q1 2028:Q4 2028'!H23)+SUM('Q1 2029:Q4 2029'!H23)+SUM('Q1 2030:Q4 2030'!H23)</f>
        <v>0</v>
      </c>
      <c r="J24" s="480">
        <f>SUM('Q1 2026:Q4 2026'!I23)+SUM('Q1 2027:Q4 2027'!I23)+SUM('Q1 2028:Q4 2028'!I23)+SUM('Q1 2029:Q4 2029'!I23)+SUM('Q1 2030:Q4 2030'!I23)</f>
        <v>0</v>
      </c>
      <c r="K24" s="480">
        <f>SUM('Q1 2026:Q4 2026'!L23)+SUM('Q1 2027:Q4 2027'!L23)+SUM('Q1 2028:Q4 2028'!L23)+SUM('Q1 2029:Q4 2029'!L23)+SUM('Q1 2030:Q4 2030'!L23)</f>
        <v>0</v>
      </c>
      <c r="L24" s="480">
        <f>SUM('Q1 2026:Q4 2026'!M23)+SUM('Q1 2027:Q4 2027'!M23)+SUM('Q1 2028:Q4 2028'!M23)+SUM('Q1 2029:Q4 2029'!M23)+SUM('Q1 2030:Q4 2030'!M23)</f>
        <v>0</v>
      </c>
      <c r="O24" s="209" t="s">
        <v>143</v>
      </c>
      <c r="P24" s="196">
        <v>170410</v>
      </c>
      <c r="Q24" s="218" t="s">
        <v>126</v>
      </c>
      <c r="R24" s="245">
        <f t="shared" ref="R24:W24" si="19">SUM(S164:S166)</f>
        <v>0</v>
      </c>
      <c r="S24" s="245">
        <f t="shared" si="19"/>
        <v>0</v>
      </c>
      <c r="T24" s="245">
        <f t="shared" si="19"/>
        <v>0</v>
      </c>
      <c r="U24" s="245">
        <f t="shared" si="19"/>
        <v>0</v>
      </c>
      <c r="V24" s="245">
        <f t="shared" si="19"/>
        <v>0</v>
      </c>
      <c r="W24" s="245">
        <f t="shared" si="19"/>
        <v>0</v>
      </c>
      <c r="X24" s="245">
        <f t="shared" si="2"/>
        <v>0</v>
      </c>
      <c r="Y24" s="246">
        <f t="shared" si="3"/>
        <v>0</v>
      </c>
    </row>
    <row r="25" spans="1:25" s="481" customFormat="1" ht="26.7" customHeight="1" x14ac:dyDescent="0.25">
      <c r="A25" s="476"/>
      <c r="B25" s="476"/>
      <c r="C25" s="477"/>
      <c r="D25" s="478" t="str">
        <f t="shared" si="4"/>
        <v/>
      </c>
      <c r="E25" s="479" t="str">
        <f t="shared" si="0"/>
        <v/>
      </c>
      <c r="F25" s="480" t="str">
        <f t="shared" si="5"/>
        <v/>
      </c>
      <c r="G25" s="480">
        <f>SUM('Q1 2026:Q4 2026'!F24)+SUM('Q1 2027:Q4 2027'!F24)+SUM('Q1 2028:Q4 2028'!F24)+SUM('Q1 2029:Q4 2029'!F24)+SUM('Q1 2030:Q4 2030'!F24)</f>
        <v>0</v>
      </c>
      <c r="H25" s="480">
        <f>SUM('Q1 2026:Q4 2026'!G24)+SUM('Q1 2027:Q4 2027'!G24)+SUM('Q1 2028:Q4 2028'!G24)+SUM('Q1 2029:Q4 2029'!G24)+SUM('Q1 2030:Q4 2030'!G24)</f>
        <v>0</v>
      </c>
      <c r="I25" s="480">
        <f>SUM('Q1 2026:Q4 2026'!H24)+SUM('Q1 2027:Q4 2027'!H24)+SUM('Q1 2028:Q4 2028'!H24)+SUM('Q1 2029:Q4 2029'!H24)+SUM('Q1 2030:Q4 2030'!H24)</f>
        <v>0</v>
      </c>
      <c r="J25" s="480">
        <f>SUM('Q1 2026:Q4 2026'!I24)+SUM('Q1 2027:Q4 2027'!I24)+SUM('Q1 2028:Q4 2028'!I24)+SUM('Q1 2029:Q4 2029'!I24)+SUM('Q1 2030:Q4 2030'!I24)</f>
        <v>0</v>
      </c>
      <c r="K25" s="480">
        <f>SUM('Q1 2026:Q4 2026'!L24)+SUM('Q1 2027:Q4 2027'!L24)+SUM('Q1 2028:Q4 2028'!L24)+SUM('Q1 2029:Q4 2029'!L24)+SUM('Q1 2030:Q4 2030'!L24)</f>
        <v>0</v>
      </c>
      <c r="L25" s="480">
        <f>SUM('Q1 2026:Q4 2026'!M24)+SUM('Q1 2027:Q4 2027'!M24)+SUM('Q1 2028:Q4 2028'!M24)+SUM('Q1 2029:Q4 2029'!M24)+SUM('Q1 2030:Q4 2030'!M24)</f>
        <v>0</v>
      </c>
      <c r="O25" s="209" t="s">
        <v>144</v>
      </c>
      <c r="P25" s="196">
        <v>170303</v>
      </c>
      <c r="Q25" s="218" t="s">
        <v>126</v>
      </c>
      <c r="R25" s="245">
        <f t="shared" ref="R25:W25" si="20">SUM(S167:S169)</f>
        <v>0</v>
      </c>
      <c r="S25" s="245">
        <f t="shared" si="20"/>
        <v>0</v>
      </c>
      <c r="T25" s="245">
        <f t="shared" si="20"/>
        <v>0</v>
      </c>
      <c r="U25" s="245">
        <f t="shared" si="20"/>
        <v>0</v>
      </c>
      <c r="V25" s="245">
        <f t="shared" si="20"/>
        <v>0</v>
      </c>
      <c r="W25" s="245">
        <f t="shared" si="20"/>
        <v>0</v>
      </c>
      <c r="X25" s="245">
        <f t="shared" si="2"/>
        <v>0</v>
      </c>
      <c r="Y25" s="246">
        <f t="shared" si="3"/>
        <v>0</v>
      </c>
    </row>
    <row r="26" spans="1:25" s="481" customFormat="1" ht="26.7" customHeight="1" x14ac:dyDescent="0.25">
      <c r="A26" s="476"/>
      <c r="B26" s="476"/>
      <c r="C26" s="477"/>
      <c r="D26" s="478" t="str">
        <f t="shared" si="4"/>
        <v/>
      </c>
      <c r="E26" s="479" t="str">
        <f t="shared" si="0"/>
        <v/>
      </c>
      <c r="F26" s="480" t="str">
        <f t="shared" si="5"/>
        <v/>
      </c>
      <c r="G26" s="480">
        <f>SUM('Q1 2026:Q4 2026'!F25)+SUM('Q1 2027:Q4 2027'!F25)+SUM('Q1 2028:Q4 2028'!F25)+SUM('Q1 2029:Q4 2029'!F25)+SUM('Q1 2030:Q4 2030'!F25)</f>
        <v>0</v>
      </c>
      <c r="H26" s="480">
        <f>SUM('Q1 2026:Q4 2026'!G25)+SUM('Q1 2027:Q4 2027'!G25)+SUM('Q1 2028:Q4 2028'!G25)+SUM('Q1 2029:Q4 2029'!G25)+SUM('Q1 2030:Q4 2030'!G25)</f>
        <v>0</v>
      </c>
      <c r="I26" s="480">
        <f>SUM('Q1 2026:Q4 2026'!H25)+SUM('Q1 2027:Q4 2027'!H25)+SUM('Q1 2028:Q4 2028'!H25)+SUM('Q1 2029:Q4 2029'!H25)+SUM('Q1 2030:Q4 2030'!H25)</f>
        <v>0</v>
      </c>
      <c r="J26" s="480">
        <f>SUM('Q1 2026:Q4 2026'!I25)+SUM('Q1 2027:Q4 2027'!I25)+SUM('Q1 2028:Q4 2028'!I25)+SUM('Q1 2029:Q4 2029'!I25)+SUM('Q1 2030:Q4 2030'!I25)</f>
        <v>0</v>
      </c>
      <c r="K26" s="480">
        <f>SUM('Q1 2026:Q4 2026'!L25)+SUM('Q1 2027:Q4 2027'!L25)+SUM('Q1 2028:Q4 2028'!L25)+SUM('Q1 2029:Q4 2029'!L25)+SUM('Q1 2030:Q4 2030'!L25)</f>
        <v>0</v>
      </c>
      <c r="L26" s="480">
        <f>SUM('Q1 2026:Q4 2026'!M25)+SUM('Q1 2027:Q4 2027'!M25)+SUM('Q1 2028:Q4 2028'!M25)+SUM('Q1 2029:Q4 2029'!M25)+SUM('Q1 2030:Q4 2030'!M25)</f>
        <v>0</v>
      </c>
      <c r="O26" s="209" t="s">
        <v>145</v>
      </c>
      <c r="P26" s="196">
        <v>170101</v>
      </c>
      <c r="Q26" s="218" t="s">
        <v>141</v>
      </c>
      <c r="R26" s="245">
        <f t="shared" ref="R26:W26" si="21">SUM(S170:S172)</f>
        <v>0</v>
      </c>
      <c r="S26" s="245">
        <f t="shared" si="21"/>
        <v>0</v>
      </c>
      <c r="T26" s="245">
        <f t="shared" si="21"/>
        <v>0</v>
      </c>
      <c r="U26" s="245">
        <f t="shared" si="21"/>
        <v>0</v>
      </c>
      <c r="V26" s="245">
        <f t="shared" si="21"/>
        <v>0</v>
      </c>
      <c r="W26" s="245">
        <f t="shared" si="21"/>
        <v>0</v>
      </c>
      <c r="X26" s="245">
        <f t="shared" si="2"/>
        <v>0</v>
      </c>
      <c r="Y26" s="246">
        <f t="shared" si="3"/>
        <v>0</v>
      </c>
    </row>
    <row r="27" spans="1:25" s="481" customFormat="1" ht="26.7" customHeight="1" x14ac:dyDescent="0.25">
      <c r="A27" s="476"/>
      <c r="B27" s="476"/>
      <c r="C27" s="477"/>
      <c r="D27" s="478" t="str">
        <f t="shared" si="4"/>
        <v/>
      </c>
      <c r="E27" s="479" t="str">
        <f t="shared" si="0"/>
        <v/>
      </c>
      <c r="F27" s="480" t="str">
        <f t="shared" si="5"/>
        <v/>
      </c>
      <c r="G27" s="480">
        <f>SUM('Q1 2026:Q4 2026'!F26)+SUM('Q1 2027:Q4 2027'!F26)+SUM('Q1 2028:Q4 2028'!F26)+SUM('Q1 2029:Q4 2029'!F26)+SUM('Q1 2030:Q4 2030'!F26)</f>
        <v>0</v>
      </c>
      <c r="H27" s="480">
        <f>SUM('Q1 2026:Q4 2026'!G26)+SUM('Q1 2027:Q4 2027'!G26)+SUM('Q1 2028:Q4 2028'!G26)+SUM('Q1 2029:Q4 2029'!G26)+SUM('Q1 2030:Q4 2030'!G26)</f>
        <v>0</v>
      </c>
      <c r="I27" s="480">
        <f>SUM('Q1 2026:Q4 2026'!H26)+SUM('Q1 2027:Q4 2027'!H26)+SUM('Q1 2028:Q4 2028'!H26)+SUM('Q1 2029:Q4 2029'!H26)+SUM('Q1 2030:Q4 2030'!H26)</f>
        <v>0</v>
      </c>
      <c r="J27" s="480">
        <f>SUM('Q1 2026:Q4 2026'!I26)+SUM('Q1 2027:Q4 2027'!I26)+SUM('Q1 2028:Q4 2028'!I26)+SUM('Q1 2029:Q4 2029'!I26)+SUM('Q1 2030:Q4 2030'!I26)</f>
        <v>0</v>
      </c>
      <c r="K27" s="480">
        <f>SUM('Q1 2026:Q4 2026'!L26)+SUM('Q1 2027:Q4 2027'!L26)+SUM('Q1 2028:Q4 2028'!L26)+SUM('Q1 2029:Q4 2029'!L26)+SUM('Q1 2030:Q4 2030'!L26)</f>
        <v>0</v>
      </c>
      <c r="L27" s="480">
        <f>SUM('Q1 2026:Q4 2026'!M26)+SUM('Q1 2027:Q4 2027'!M26)+SUM('Q1 2028:Q4 2028'!M26)+SUM('Q1 2029:Q4 2029'!M26)+SUM('Q1 2030:Q4 2030'!M26)</f>
        <v>0</v>
      </c>
      <c r="O27" s="209" t="s">
        <v>146</v>
      </c>
      <c r="P27" s="196">
        <v>170106</v>
      </c>
      <c r="Q27" s="218" t="s">
        <v>126</v>
      </c>
      <c r="R27" s="245">
        <f t="shared" ref="R27:W27" si="22">SUM(S173:S175)</f>
        <v>0</v>
      </c>
      <c r="S27" s="245">
        <f t="shared" si="22"/>
        <v>0</v>
      </c>
      <c r="T27" s="245">
        <f t="shared" si="22"/>
        <v>0</v>
      </c>
      <c r="U27" s="245">
        <f t="shared" si="22"/>
        <v>0</v>
      </c>
      <c r="V27" s="245">
        <f t="shared" si="22"/>
        <v>0</v>
      </c>
      <c r="W27" s="245">
        <f t="shared" si="22"/>
        <v>0</v>
      </c>
      <c r="X27" s="245">
        <f t="shared" si="2"/>
        <v>0</v>
      </c>
      <c r="Y27" s="246">
        <f t="shared" si="3"/>
        <v>0</v>
      </c>
    </row>
    <row r="28" spans="1:25" s="481" customFormat="1" ht="26.7" customHeight="1" x14ac:dyDescent="0.25">
      <c r="A28" s="476"/>
      <c r="B28" s="476"/>
      <c r="C28" s="477"/>
      <c r="D28" s="478" t="str">
        <f t="shared" si="4"/>
        <v/>
      </c>
      <c r="E28" s="479" t="str">
        <f t="shared" si="0"/>
        <v/>
      </c>
      <c r="F28" s="480" t="str">
        <f t="shared" si="5"/>
        <v/>
      </c>
      <c r="G28" s="480">
        <f>SUM('Q1 2026:Q4 2026'!F27)+SUM('Q1 2027:Q4 2027'!F27)+SUM('Q1 2028:Q4 2028'!F27)+SUM('Q1 2029:Q4 2029'!F27)+SUM('Q1 2030:Q4 2030'!F27)</f>
        <v>0</v>
      </c>
      <c r="H28" s="480">
        <f>SUM('Q1 2026:Q4 2026'!G27)+SUM('Q1 2027:Q4 2027'!G27)+SUM('Q1 2028:Q4 2028'!G27)+SUM('Q1 2029:Q4 2029'!G27)+SUM('Q1 2030:Q4 2030'!G27)</f>
        <v>0</v>
      </c>
      <c r="I28" s="480">
        <f>SUM('Q1 2026:Q4 2026'!H27)+SUM('Q1 2027:Q4 2027'!H27)+SUM('Q1 2028:Q4 2028'!H27)+SUM('Q1 2029:Q4 2029'!H27)+SUM('Q1 2030:Q4 2030'!H27)</f>
        <v>0</v>
      </c>
      <c r="J28" s="480">
        <f>SUM('Q1 2026:Q4 2026'!I27)+SUM('Q1 2027:Q4 2027'!I27)+SUM('Q1 2028:Q4 2028'!I27)+SUM('Q1 2029:Q4 2029'!I27)+SUM('Q1 2030:Q4 2030'!I27)</f>
        <v>0</v>
      </c>
      <c r="K28" s="480">
        <f>SUM('Q1 2026:Q4 2026'!L27)+SUM('Q1 2027:Q4 2027'!L27)+SUM('Q1 2028:Q4 2028'!L27)+SUM('Q1 2029:Q4 2029'!L27)+SUM('Q1 2030:Q4 2030'!L27)</f>
        <v>0</v>
      </c>
      <c r="L28" s="480">
        <f>SUM('Q1 2026:Q4 2026'!M27)+SUM('Q1 2027:Q4 2027'!M27)+SUM('Q1 2028:Q4 2028'!M27)+SUM('Q1 2029:Q4 2029'!M27)+SUM('Q1 2030:Q4 2030'!M27)</f>
        <v>0</v>
      </c>
      <c r="O28" s="209" t="s">
        <v>124</v>
      </c>
      <c r="P28" s="196">
        <v>170107</v>
      </c>
      <c r="Q28" s="218" t="s">
        <v>123</v>
      </c>
      <c r="R28" s="245">
        <f t="shared" ref="R28:W28" si="23">SUM(S176:S178)</f>
        <v>0</v>
      </c>
      <c r="S28" s="245">
        <f t="shared" si="23"/>
        <v>0</v>
      </c>
      <c r="T28" s="245">
        <f t="shared" si="23"/>
        <v>0</v>
      </c>
      <c r="U28" s="245">
        <f t="shared" si="23"/>
        <v>0</v>
      </c>
      <c r="V28" s="245">
        <f t="shared" si="23"/>
        <v>0</v>
      </c>
      <c r="W28" s="245">
        <f t="shared" si="23"/>
        <v>0</v>
      </c>
      <c r="X28" s="245">
        <f t="shared" si="2"/>
        <v>0</v>
      </c>
      <c r="Y28" s="246">
        <f t="shared" si="3"/>
        <v>0</v>
      </c>
    </row>
    <row r="29" spans="1:25" s="481" customFormat="1" ht="26.7" customHeight="1" x14ac:dyDescent="0.25">
      <c r="A29" s="476"/>
      <c r="B29" s="476"/>
      <c r="C29" s="477"/>
      <c r="D29" s="478" t="str">
        <f t="shared" si="4"/>
        <v/>
      </c>
      <c r="E29" s="479" t="str">
        <f t="shared" si="0"/>
        <v/>
      </c>
      <c r="F29" s="480" t="str">
        <f t="shared" si="5"/>
        <v/>
      </c>
      <c r="G29" s="480">
        <f>SUM('Q1 2026:Q4 2026'!F28)+SUM('Q1 2027:Q4 2027'!F28)+SUM('Q1 2028:Q4 2028'!F28)+SUM('Q1 2029:Q4 2029'!F28)+SUM('Q1 2030:Q4 2030'!F28)</f>
        <v>0</v>
      </c>
      <c r="H29" s="480">
        <f>SUM('Q1 2026:Q4 2026'!G28)+SUM('Q1 2027:Q4 2027'!G28)+SUM('Q1 2028:Q4 2028'!G28)+SUM('Q1 2029:Q4 2029'!G28)+SUM('Q1 2030:Q4 2030'!G28)</f>
        <v>0</v>
      </c>
      <c r="I29" s="480">
        <f>SUM('Q1 2026:Q4 2026'!H28)+SUM('Q1 2027:Q4 2027'!H28)+SUM('Q1 2028:Q4 2028'!H28)+SUM('Q1 2029:Q4 2029'!H28)+SUM('Q1 2030:Q4 2030'!H28)</f>
        <v>0</v>
      </c>
      <c r="J29" s="480">
        <f>SUM('Q1 2026:Q4 2026'!I28)+SUM('Q1 2027:Q4 2027'!I28)+SUM('Q1 2028:Q4 2028'!I28)+SUM('Q1 2029:Q4 2029'!I28)+SUM('Q1 2030:Q4 2030'!I28)</f>
        <v>0</v>
      </c>
      <c r="K29" s="480">
        <f>SUM('Q1 2026:Q4 2026'!L28)+SUM('Q1 2027:Q4 2027'!L28)+SUM('Q1 2028:Q4 2028'!L28)+SUM('Q1 2029:Q4 2029'!L28)+SUM('Q1 2030:Q4 2030'!L28)</f>
        <v>0</v>
      </c>
      <c r="L29" s="480">
        <f>SUM('Q1 2026:Q4 2026'!M28)+SUM('Q1 2027:Q4 2027'!M28)+SUM('Q1 2028:Q4 2028'!M28)+SUM('Q1 2029:Q4 2029'!M28)+SUM('Q1 2030:Q4 2030'!M28)</f>
        <v>0</v>
      </c>
      <c r="O29" s="209" t="s">
        <v>147</v>
      </c>
      <c r="P29" s="196">
        <v>170903</v>
      </c>
      <c r="Q29" s="218" t="s">
        <v>126</v>
      </c>
      <c r="R29" s="245">
        <f t="shared" ref="R29:W29" si="24">SUM(S179:S181)</f>
        <v>0</v>
      </c>
      <c r="S29" s="245">
        <f t="shared" si="24"/>
        <v>0</v>
      </c>
      <c r="T29" s="245">
        <f t="shared" si="24"/>
        <v>0</v>
      </c>
      <c r="U29" s="245">
        <f t="shared" si="24"/>
        <v>0</v>
      </c>
      <c r="V29" s="245">
        <f t="shared" si="24"/>
        <v>0</v>
      </c>
      <c r="W29" s="245">
        <f t="shared" si="24"/>
        <v>0</v>
      </c>
      <c r="X29" s="245">
        <f t="shared" si="2"/>
        <v>0</v>
      </c>
      <c r="Y29" s="246">
        <f t="shared" si="3"/>
        <v>0</v>
      </c>
    </row>
    <row r="30" spans="1:25" s="481" customFormat="1" ht="26.7" customHeight="1" x14ac:dyDescent="0.25">
      <c r="A30" s="476"/>
      <c r="B30" s="476"/>
      <c r="C30" s="654"/>
      <c r="D30" s="478" t="str">
        <f t="shared" si="4"/>
        <v/>
      </c>
      <c r="E30" s="479" t="str">
        <f t="shared" si="0"/>
        <v/>
      </c>
      <c r="F30" s="480" t="str">
        <f t="shared" si="5"/>
        <v/>
      </c>
      <c r="G30" s="480">
        <f>SUM('Q1 2026:Q4 2026'!F29)+SUM('Q1 2027:Q4 2027'!F29)+SUM('Q1 2028:Q4 2028'!F29)+SUM('Q1 2029:Q4 2029'!F29)+SUM('Q1 2030:Q4 2030'!F29)</f>
        <v>0</v>
      </c>
      <c r="H30" s="480">
        <f>SUM('Q1 2026:Q4 2026'!G29)+SUM('Q1 2027:Q4 2027'!G29)+SUM('Q1 2028:Q4 2028'!G29)+SUM('Q1 2029:Q4 2029'!G29)+SUM('Q1 2030:Q4 2030'!G29)</f>
        <v>0</v>
      </c>
      <c r="I30" s="480">
        <f>SUM('Q1 2026:Q4 2026'!H29)+SUM('Q1 2027:Q4 2027'!H29)+SUM('Q1 2028:Q4 2028'!H29)+SUM('Q1 2029:Q4 2029'!H29)+SUM('Q1 2030:Q4 2030'!H29)</f>
        <v>0</v>
      </c>
      <c r="J30" s="480">
        <f>SUM('Q1 2026:Q4 2026'!I29)+SUM('Q1 2027:Q4 2027'!I29)+SUM('Q1 2028:Q4 2028'!I29)+SUM('Q1 2029:Q4 2029'!I29)+SUM('Q1 2030:Q4 2030'!I29)</f>
        <v>0</v>
      </c>
      <c r="K30" s="480">
        <f>SUM('Q1 2026:Q4 2026'!L29)+SUM('Q1 2027:Q4 2027'!L29)+SUM('Q1 2028:Q4 2028'!L29)+SUM('Q1 2029:Q4 2029'!L29)+SUM('Q1 2030:Q4 2030'!L29)</f>
        <v>0</v>
      </c>
      <c r="L30" s="480">
        <f>SUM('Q1 2026:Q4 2026'!M29)+SUM('Q1 2027:Q4 2027'!M29)+SUM('Q1 2028:Q4 2028'!M29)+SUM('Q1 2029:Q4 2029'!M29)+SUM('Q1 2030:Q4 2030'!M29)</f>
        <v>0</v>
      </c>
      <c r="O30" s="209" t="s">
        <v>148</v>
      </c>
      <c r="P30" s="196">
        <v>170904</v>
      </c>
      <c r="Q30" s="218" t="s">
        <v>123</v>
      </c>
      <c r="R30" s="245">
        <f t="shared" ref="R30:W30" si="25">SUM(S182:S184)</f>
        <v>0</v>
      </c>
      <c r="S30" s="245">
        <f t="shared" si="25"/>
        <v>0</v>
      </c>
      <c r="T30" s="245">
        <f t="shared" si="25"/>
        <v>0</v>
      </c>
      <c r="U30" s="245">
        <f t="shared" si="25"/>
        <v>0</v>
      </c>
      <c r="V30" s="245">
        <f t="shared" si="25"/>
        <v>0</v>
      </c>
      <c r="W30" s="245">
        <f t="shared" si="25"/>
        <v>0</v>
      </c>
      <c r="X30" s="245">
        <f t="shared" si="2"/>
        <v>0</v>
      </c>
      <c r="Y30" s="246">
        <f t="shared" si="3"/>
        <v>0</v>
      </c>
    </row>
    <row r="31" spans="1:25" s="481" customFormat="1" ht="26.7" customHeight="1" x14ac:dyDescent="0.25">
      <c r="A31" s="476"/>
      <c r="B31" s="476"/>
      <c r="C31" s="654"/>
      <c r="D31" s="478" t="str">
        <f t="shared" si="4"/>
        <v/>
      </c>
      <c r="E31" s="479" t="str">
        <f t="shared" si="0"/>
        <v/>
      </c>
      <c r="F31" s="480" t="str">
        <f t="shared" si="5"/>
        <v/>
      </c>
      <c r="G31" s="480">
        <f>SUM('Q1 2026:Q4 2026'!F30)+SUM('Q1 2027:Q4 2027'!F30)+SUM('Q1 2028:Q4 2028'!F30)+SUM('Q1 2029:Q4 2029'!F30)+SUM('Q1 2030:Q4 2030'!F30)</f>
        <v>0</v>
      </c>
      <c r="H31" s="480">
        <f>SUM('Q1 2026:Q4 2026'!G30)+SUM('Q1 2027:Q4 2027'!G30)+SUM('Q1 2028:Q4 2028'!G30)+SUM('Q1 2029:Q4 2029'!G30)+SUM('Q1 2030:Q4 2030'!G30)</f>
        <v>0</v>
      </c>
      <c r="I31" s="480">
        <f>SUM('Q1 2026:Q4 2026'!H30)+SUM('Q1 2027:Q4 2027'!H30)+SUM('Q1 2028:Q4 2028'!H30)+SUM('Q1 2029:Q4 2029'!H30)+SUM('Q1 2030:Q4 2030'!H30)</f>
        <v>0</v>
      </c>
      <c r="J31" s="480">
        <f>SUM('Q1 2026:Q4 2026'!I30)+SUM('Q1 2027:Q4 2027'!I30)+SUM('Q1 2028:Q4 2028'!I30)+SUM('Q1 2029:Q4 2029'!I30)+SUM('Q1 2030:Q4 2030'!I30)</f>
        <v>0</v>
      </c>
      <c r="K31" s="480">
        <f>SUM('Q1 2026:Q4 2026'!L30)+SUM('Q1 2027:Q4 2027'!L30)+SUM('Q1 2028:Q4 2028'!L30)+SUM('Q1 2029:Q4 2029'!L30)+SUM('Q1 2030:Q4 2030'!L30)</f>
        <v>0</v>
      </c>
      <c r="L31" s="480">
        <f>SUM('Q1 2026:Q4 2026'!M30)+SUM('Q1 2027:Q4 2027'!M30)+SUM('Q1 2028:Q4 2028'!M30)+SUM('Q1 2029:Q4 2029'!M30)+SUM('Q1 2030:Q4 2030'!M30)</f>
        <v>0</v>
      </c>
      <c r="O31" s="209" t="s">
        <v>149</v>
      </c>
      <c r="P31" s="196">
        <v>170901</v>
      </c>
      <c r="Q31" s="218" t="s">
        <v>126</v>
      </c>
      <c r="R31" s="245">
        <f t="shared" ref="R31:W31" si="26">SUM(S185:S187)</f>
        <v>0</v>
      </c>
      <c r="S31" s="245">
        <f t="shared" si="26"/>
        <v>0</v>
      </c>
      <c r="T31" s="245">
        <f t="shared" si="26"/>
        <v>0</v>
      </c>
      <c r="U31" s="245">
        <f t="shared" si="26"/>
        <v>0</v>
      </c>
      <c r="V31" s="245">
        <f t="shared" si="26"/>
        <v>0</v>
      </c>
      <c r="W31" s="245">
        <f t="shared" si="26"/>
        <v>0</v>
      </c>
      <c r="X31" s="245">
        <f t="shared" si="2"/>
        <v>0</v>
      </c>
      <c r="Y31" s="246">
        <f t="shared" si="3"/>
        <v>0</v>
      </c>
    </row>
    <row r="32" spans="1:25" s="481" customFormat="1" ht="26.7" customHeight="1" x14ac:dyDescent="0.25">
      <c r="A32" s="476"/>
      <c r="B32" s="476"/>
      <c r="C32" s="654"/>
      <c r="D32" s="478" t="str">
        <f t="shared" si="4"/>
        <v/>
      </c>
      <c r="E32" s="479" t="str">
        <f t="shared" si="0"/>
        <v/>
      </c>
      <c r="F32" s="480" t="str">
        <f t="shared" si="5"/>
        <v/>
      </c>
      <c r="G32" s="480">
        <f>SUM('Q1 2026:Q4 2026'!F31)+SUM('Q1 2027:Q4 2027'!F31)+SUM('Q1 2028:Q4 2028'!F31)+SUM('Q1 2029:Q4 2029'!F31)+SUM('Q1 2030:Q4 2030'!F31)</f>
        <v>0</v>
      </c>
      <c r="H32" s="480">
        <f>SUM('Q1 2026:Q4 2026'!G31)+SUM('Q1 2027:Q4 2027'!G31)+SUM('Q1 2028:Q4 2028'!G31)+SUM('Q1 2029:Q4 2029'!G31)+SUM('Q1 2030:Q4 2030'!G31)</f>
        <v>0</v>
      </c>
      <c r="I32" s="480">
        <f>SUM('Q1 2026:Q4 2026'!H31)+SUM('Q1 2027:Q4 2027'!H31)+SUM('Q1 2028:Q4 2028'!H31)+SUM('Q1 2029:Q4 2029'!H31)+SUM('Q1 2030:Q4 2030'!H31)</f>
        <v>0</v>
      </c>
      <c r="J32" s="480">
        <f>SUM('Q1 2026:Q4 2026'!I31)+SUM('Q1 2027:Q4 2027'!I31)+SUM('Q1 2028:Q4 2028'!I31)+SUM('Q1 2029:Q4 2029'!I31)+SUM('Q1 2030:Q4 2030'!I31)</f>
        <v>0</v>
      </c>
      <c r="K32" s="480">
        <f>SUM('Q1 2026:Q4 2026'!L31)+SUM('Q1 2027:Q4 2027'!L31)+SUM('Q1 2028:Q4 2028'!L31)+SUM('Q1 2029:Q4 2029'!L31)+SUM('Q1 2030:Q4 2030'!L31)</f>
        <v>0</v>
      </c>
      <c r="L32" s="480">
        <f>SUM('Q1 2026:Q4 2026'!M31)+SUM('Q1 2027:Q4 2027'!M31)+SUM('Q1 2028:Q4 2028'!M31)+SUM('Q1 2029:Q4 2029'!M31)+SUM('Q1 2030:Q4 2030'!M31)</f>
        <v>0</v>
      </c>
      <c r="O32" s="209" t="s">
        <v>150</v>
      </c>
      <c r="P32" s="196">
        <v>170902</v>
      </c>
      <c r="Q32" s="218" t="s">
        <v>126</v>
      </c>
      <c r="R32" s="245">
        <f t="shared" ref="R32:W32" si="27">SUM(S188:S190)</f>
        <v>0</v>
      </c>
      <c r="S32" s="245">
        <f t="shared" si="27"/>
        <v>0</v>
      </c>
      <c r="T32" s="245">
        <f t="shared" si="27"/>
        <v>0</v>
      </c>
      <c r="U32" s="245">
        <f t="shared" si="27"/>
        <v>0</v>
      </c>
      <c r="V32" s="245">
        <f t="shared" si="27"/>
        <v>0</v>
      </c>
      <c r="W32" s="245">
        <f t="shared" si="27"/>
        <v>0</v>
      </c>
      <c r="X32" s="245">
        <f t="shared" si="2"/>
        <v>0</v>
      </c>
      <c r="Y32" s="246">
        <f t="shared" si="3"/>
        <v>0</v>
      </c>
    </row>
    <row r="33" spans="1:25" s="481" customFormat="1" ht="26.7" customHeight="1" x14ac:dyDescent="0.25">
      <c r="A33" s="476"/>
      <c r="B33" s="476"/>
      <c r="C33" s="654"/>
      <c r="D33" s="478" t="str">
        <f t="shared" si="4"/>
        <v/>
      </c>
      <c r="E33" s="479" t="str">
        <f t="shared" si="0"/>
        <v/>
      </c>
      <c r="F33" s="480" t="str">
        <f t="shared" si="5"/>
        <v/>
      </c>
      <c r="G33" s="480">
        <f>SUM('Q1 2026:Q4 2026'!F32)+SUM('Q1 2027:Q4 2027'!F32)+SUM('Q1 2028:Q4 2028'!F32)+SUM('Q1 2029:Q4 2029'!F32)+SUM('Q1 2030:Q4 2030'!F32)</f>
        <v>0</v>
      </c>
      <c r="H33" s="480">
        <f>SUM('Q1 2026:Q4 2026'!G32)+SUM('Q1 2027:Q4 2027'!G32)+SUM('Q1 2028:Q4 2028'!G32)+SUM('Q1 2029:Q4 2029'!G32)+SUM('Q1 2030:Q4 2030'!G32)</f>
        <v>0</v>
      </c>
      <c r="I33" s="480">
        <f>SUM('Q1 2026:Q4 2026'!H32)+SUM('Q1 2027:Q4 2027'!H32)+SUM('Q1 2028:Q4 2028'!H32)+SUM('Q1 2029:Q4 2029'!H32)+SUM('Q1 2030:Q4 2030'!H32)</f>
        <v>0</v>
      </c>
      <c r="J33" s="480">
        <f>SUM('Q1 2026:Q4 2026'!I32)+SUM('Q1 2027:Q4 2027'!I32)+SUM('Q1 2028:Q4 2028'!I32)+SUM('Q1 2029:Q4 2029'!I32)+SUM('Q1 2030:Q4 2030'!I32)</f>
        <v>0</v>
      </c>
      <c r="K33" s="480">
        <f>SUM('Q1 2026:Q4 2026'!L32)+SUM('Q1 2027:Q4 2027'!L32)+SUM('Q1 2028:Q4 2028'!L32)+SUM('Q1 2029:Q4 2029'!L32)+SUM('Q1 2030:Q4 2030'!L32)</f>
        <v>0</v>
      </c>
      <c r="L33" s="480">
        <f>SUM('Q1 2026:Q4 2026'!M32)+SUM('Q1 2027:Q4 2027'!M32)+SUM('Q1 2028:Q4 2028'!M32)+SUM('Q1 2029:Q4 2029'!M32)+SUM('Q1 2030:Q4 2030'!M32)</f>
        <v>0</v>
      </c>
      <c r="O33" s="209" t="s">
        <v>131</v>
      </c>
      <c r="P33" s="196">
        <v>170605</v>
      </c>
      <c r="Q33" s="218" t="s">
        <v>126</v>
      </c>
      <c r="R33" s="245">
        <f t="shared" ref="R33:W33" si="28">SUM(S191:S193)</f>
        <v>0</v>
      </c>
      <c r="S33" s="245">
        <f t="shared" si="28"/>
        <v>0</v>
      </c>
      <c r="T33" s="245">
        <f t="shared" si="28"/>
        <v>0</v>
      </c>
      <c r="U33" s="245">
        <f t="shared" si="28"/>
        <v>0</v>
      </c>
      <c r="V33" s="245">
        <f t="shared" si="28"/>
        <v>0</v>
      </c>
      <c r="W33" s="245">
        <f t="shared" si="28"/>
        <v>0</v>
      </c>
      <c r="X33" s="245">
        <f t="shared" si="2"/>
        <v>0</v>
      </c>
      <c r="Y33" s="246">
        <f t="shared" si="3"/>
        <v>0</v>
      </c>
    </row>
    <row r="34" spans="1:25" s="481" customFormat="1" ht="26.7" customHeight="1" x14ac:dyDescent="0.25">
      <c r="A34" s="476"/>
      <c r="B34" s="476"/>
      <c r="C34" s="654"/>
      <c r="D34" s="478" t="str">
        <f t="shared" si="4"/>
        <v/>
      </c>
      <c r="E34" s="479" t="str">
        <f t="shared" si="0"/>
        <v/>
      </c>
      <c r="F34" s="480" t="str">
        <f t="shared" si="5"/>
        <v/>
      </c>
      <c r="G34" s="480">
        <f>SUM('Q1 2026:Q4 2026'!F33)+SUM('Q1 2027:Q4 2027'!F33)+SUM('Q1 2028:Q4 2028'!F33)+SUM('Q1 2029:Q4 2029'!F33)+SUM('Q1 2030:Q4 2030'!F33)</f>
        <v>0</v>
      </c>
      <c r="H34" s="480">
        <f>SUM('Q1 2026:Q4 2026'!G33)+SUM('Q1 2027:Q4 2027'!G33)+SUM('Q1 2028:Q4 2028'!G33)+SUM('Q1 2029:Q4 2029'!G33)+SUM('Q1 2030:Q4 2030'!G33)</f>
        <v>0</v>
      </c>
      <c r="I34" s="480">
        <f>SUM('Q1 2026:Q4 2026'!H33)+SUM('Q1 2027:Q4 2027'!H33)+SUM('Q1 2028:Q4 2028'!H33)+SUM('Q1 2029:Q4 2029'!H33)+SUM('Q1 2030:Q4 2030'!H33)</f>
        <v>0</v>
      </c>
      <c r="J34" s="480">
        <f>SUM('Q1 2026:Q4 2026'!I33)+SUM('Q1 2027:Q4 2027'!I33)+SUM('Q1 2028:Q4 2028'!I33)+SUM('Q1 2029:Q4 2029'!I33)+SUM('Q1 2030:Q4 2030'!I33)</f>
        <v>0</v>
      </c>
      <c r="K34" s="480">
        <f>SUM('Q1 2026:Q4 2026'!L33)+SUM('Q1 2027:Q4 2027'!L33)+SUM('Q1 2028:Q4 2028'!L33)+SUM('Q1 2029:Q4 2029'!L33)+SUM('Q1 2030:Q4 2030'!L33)</f>
        <v>0</v>
      </c>
      <c r="L34" s="480">
        <f>SUM('Q1 2026:Q4 2026'!M33)+SUM('Q1 2027:Q4 2027'!M33)+SUM('Q1 2028:Q4 2028'!M33)+SUM('Q1 2029:Q4 2029'!M33)+SUM('Q1 2030:Q4 2030'!M33)</f>
        <v>0</v>
      </c>
      <c r="O34" s="209" t="s">
        <v>151</v>
      </c>
      <c r="P34" s="196">
        <v>170506</v>
      </c>
      <c r="Q34" s="218" t="s">
        <v>123</v>
      </c>
      <c r="R34" s="245">
        <f t="shared" ref="R34:W34" si="29">SUM(S194:S196)</f>
        <v>0</v>
      </c>
      <c r="S34" s="245">
        <f t="shared" si="29"/>
        <v>0</v>
      </c>
      <c r="T34" s="245">
        <f t="shared" si="29"/>
        <v>0</v>
      </c>
      <c r="U34" s="245">
        <f t="shared" si="29"/>
        <v>0</v>
      </c>
      <c r="V34" s="245">
        <f t="shared" si="29"/>
        <v>0</v>
      </c>
      <c r="W34" s="245">
        <f t="shared" si="29"/>
        <v>0</v>
      </c>
      <c r="X34" s="245">
        <f t="shared" si="2"/>
        <v>0</v>
      </c>
      <c r="Y34" s="246">
        <f t="shared" si="3"/>
        <v>0</v>
      </c>
    </row>
    <row r="35" spans="1:25" s="481" customFormat="1" ht="26.7" customHeight="1" thickBot="1" x14ac:dyDescent="0.3">
      <c r="A35" s="482" t="s">
        <v>652</v>
      </c>
      <c r="B35" s="483"/>
      <c r="C35" s="483"/>
      <c r="D35" s="484"/>
      <c r="E35" s="484"/>
      <c r="F35" s="485">
        <f t="shared" ref="F35:L35" si="30">SUM(F10:F34)</f>
        <v>0</v>
      </c>
      <c r="G35" s="486">
        <f t="shared" si="30"/>
        <v>0</v>
      </c>
      <c r="H35" s="486">
        <f t="shared" si="30"/>
        <v>0</v>
      </c>
      <c r="I35" s="486">
        <f t="shared" si="30"/>
        <v>0</v>
      </c>
      <c r="J35" s="486">
        <f t="shared" si="30"/>
        <v>0</v>
      </c>
      <c r="K35" s="486">
        <f t="shared" si="30"/>
        <v>0</v>
      </c>
      <c r="L35" s="486">
        <f t="shared" si="30"/>
        <v>0</v>
      </c>
      <c r="O35" s="209" t="s">
        <v>152</v>
      </c>
      <c r="P35" s="196">
        <v>170505</v>
      </c>
      <c r="Q35" s="218" t="s">
        <v>126</v>
      </c>
      <c r="R35" s="245">
        <f t="shared" ref="R35:W35" si="31">SUM(S197:S199)</f>
        <v>0</v>
      </c>
      <c r="S35" s="245">
        <f t="shared" si="31"/>
        <v>0</v>
      </c>
      <c r="T35" s="245">
        <f t="shared" si="31"/>
        <v>0</v>
      </c>
      <c r="U35" s="245">
        <f t="shared" si="31"/>
        <v>0</v>
      </c>
      <c r="V35" s="245">
        <f t="shared" si="31"/>
        <v>0</v>
      </c>
      <c r="W35" s="245">
        <f t="shared" si="31"/>
        <v>0</v>
      </c>
      <c r="X35" s="245">
        <f t="shared" si="2"/>
        <v>0</v>
      </c>
      <c r="Y35" s="246">
        <f t="shared" si="3"/>
        <v>0</v>
      </c>
    </row>
    <row r="36" spans="1:25" s="481" customFormat="1" ht="26.7" customHeight="1" thickTop="1" x14ac:dyDescent="0.25">
      <c r="A36" s="259"/>
      <c r="B36" s="259"/>
      <c r="C36" s="259"/>
      <c r="D36" s="259"/>
      <c r="E36" s="259"/>
      <c r="F36" s="259"/>
      <c r="G36" s="259"/>
      <c r="H36" s="259"/>
      <c r="I36" s="259"/>
      <c r="J36" s="259"/>
      <c r="K36" s="259"/>
      <c r="O36" s="209" t="s">
        <v>153</v>
      </c>
      <c r="P36" s="196">
        <v>160214</v>
      </c>
      <c r="Q36" s="218" t="s">
        <v>123</v>
      </c>
      <c r="R36" s="245">
        <f t="shared" ref="R36:W36" si="32">SUM(S200:S202)</f>
        <v>0</v>
      </c>
      <c r="S36" s="245">
        <f t="shared" si="32"/>
        <v>0</v>
      </c>
      <c r="T36" s="245">
        <f t="shared" si="32"/>
        <v>0</v>
      </c>
      <c r="U36" s="245">
        <f t="shared" si="32"/>
        <v>0</v>
      </c>
      <c r="V36" s="245">
        <f t="shared" si="32"/>
        <v>0</v>
      </c>
      <c r="W36" s="245">
        <f t="shared" si="32"/>
        <v>0</v>
      </c>
      <c r="X36" s="245">
        <f t="shared" si="2"/>
        <v>0</v>
      </c>
      <c r="Y36" s="246">
        <f t="shared" si="3"/>
        <v>0</v>
      </c>
    </row>
    <row r="37" spans="1:25" s="481" customFormat="1" ht="26.7" customHeight="1" x14ac:dyDescent="0.3">
      <c r="A37" s="259"/>
      <c r="B37" s="259"/>
      <c r="C37" s="259"/>
      <c r="D37" s="259"/>
      <c r="E37" s="259"/>
      <c r="F37" s="487"/>
      <c r="G37" s="1094"/>
      <c r="H37" s="1095"/>
      <c r="I37" s="489"/>
      <c r="J37" s="259"/>
      <c r="K37" s="259"/>
      <c r="O37" s="209" t="s">
        <v>154</v>
      </c>
      <c r="P37" s="196">
        <v>160211</v>
      </c>
      <c r="Q37" s="218" t="s">
        <v>126</v>
      </c>
      <c r="R37" s="245">
        <f t="shared" ref="R37:W37" si="33">SUM(S203:S205)</f>
        <v>0</v>
      </c>
      <c r="S37" s="245">
        <f t="shared" si="33"/>
        <v>0</v>
      </c>
      <c r="T37" s="245">
        <f t="shared" si="33"/>
        <v>0</v>
      </c>
      <c r="U37" s="245">
        <f t="shared" si="33"/>
        <v>0</v>
      </c>
      <c r="V37" s="245">
        <f t="shared" si="33"/>
        <v>0</v>
      </c>
      <c r="W37" s="245">
        <f t="shared" si="33"/>
        <v>0</v>
      </c>
      <c r="X37" s="245">
        <f t="shared" si="2"/>
        <v>0</v>
      </c>
      <c r="Y37" s="246">
        <f t="shared" si="3"/>
        <v>0</v>
      </c>
    </row>
    <row r="38" spans="1:25" s="481" customFormat="1" ht="26.7" customHeight="1" x14ac:dyDescent="0.25">
      <c r="A38" s="259"/>
      <c r="B38" s="259"/>
      <c r="C38" s="259"/>
      <c r="D38" s="259"/>
      <c r="E38" s="259"/>
      <c r="F38" s="259"/>
      <c r="G38" s="1094"/>
      <c r="H38" s="1096"/>
      <c r="I38" s="489"/>
      <c r="J38" s="259"/>
      <c r="K38" s="488"/>
      <c r="O38" s="209" t="s">
        <v>155</v>
      </c>
      <c r="P38" s="196">
        <v>160213</v>
      </c>
      <c r="Q38" s="218" t="s">
        <v>126</v>
      </c>
      <c r="R38" s="245">
        <f t="shared" ref="R38:W38" si="34">SUM(S206:S208)</f>
        <v>0</v>
      </c>
      <c r="S38" s="245">
        <f t="shared" si="34"/>
        <v>0</v>
      </c>
      <c r="T38" s="245">
        <f t="shared" si="34"/>
        <v>0</v>
      </c>
      <c r="U38" s="245">
        <f t="shared" si="34"/>
        <v>0</v>
      </c>
      <c r="V38" s="245">
        <f t="shared" si="34"/>
        <v>0</v>
      </c>
      <c r="W38" s="245">
        <f t="shared" si="34"/>
        <v>0</v>
      </c>
      <c r="X38" s="245">
        <f t="shared" si="2"/>
        <v>0</v>
      </c>
      <c r="Y38" s="246">
        <f t="shared" si="3"/>
        <v>0</v>
      </c>
    </row>
    <row r="39" spans="1:25" s="481" customFormat="1" ht="26.7" customHeight="1" x14ac:dyDescent="0.25">
      <c r="A39" s="259"/>
      <c r="B39" s="259"/>
      <c r="C39" s="259"/>
      <c r="D39" s="259"/>
      <c r="E39" s="259"/>
      <c r="F39" s="259"/>
      <c r="G39" s="48"/>
      <c r="H39" s="48"/>
      <c r="I39" s="48"/>
      <c r="J39" s="48"/>
      <c r="K39" s="48"/>
      <c r="L39" s="48"/>
      <c r="O39" s="209" t="s">
        <v>156</v>
      </c>
      <c r="P39" s="196">
        <v>160210</v>
      </c>
      <c r="Q39" s="218" t="s">
        <v>126</v>
      </c>
      <c r="R39" s="245">
        <f t="shared" ref="R39:W39" si="35">SUM(S209:S211)</f>
        <v>0</v>
      </c>
      <c r="S39" s="245">
        <f t="shared" si="35"/>
        <v>0</v>
      </c>
      <c r="T39" s="245">
        <f t="shared" si="35"/>
        <v>0</v>
      </c>
      <c r="U39" s="245">
        <f t="shared" si="35"/>
        <v>0</v>
      </c>
      <c r="V39" s="245">
        <f t="shared" si="35"/>
        <v>0</v>
      </c>
      <c r="W39" s="245">
        <f t="shared" si="35"/>
        <v>0</v>
      </c>
      <c r="X39" s="245">
        <f t="shared" si="2"/>
        <v>0</v>
      </c>
      <c r="Y39" s="246">
        <f t="shared" si="3"/>
        <v>0</v>
      </c>
    </row>
    <row r="40" spans="1:25" s="481" customFormat="1" ht="26.7" customHeight="1" x14ac:dyDescent="0.3">
      <c r="A40" s="259"/>
      <c r="B40" s="259"/>
      <c r="C40" s="259"/>
      <c r="D40" s="259"/>
      <c r="E40" s="259"/>
      <c r="F40" s="259"/>
      <c r="G40" s="488"/>
      <c r="H40" s="490"/>
      <c r="I40" s="489"/>
      <c r="J40" s="259"/>
      <c r="K40" s="259"/>
      <c r="O40" s="209" t="s">
        <v>157</v>
      </c>
      <c r="P40" s="196">
        <v>200199</v>
      </c>
      <c r="Q40" s="218" t="s">
        <v>123</v>
      </c>
      <c r="R40" s="245">
        <f t="shared" ref="R40:W40" si="36">SUM(S212:S214)</f>
        <v>0</v>
      </c>
      <c r="S40" s="245">
        <f t="shared" si="36"/>
        <v>0</v>
      </c>
      <c r="T40" s="245">
        <f t="shared" si="36"/>
        <v>0</v>
      </c>
      <c r="U40" s="245">
        <f t="shared" si="36"/>
        <v>0</v>
      </c>
      <c r="V40" s="245">
        <f t="shared" si="36"/>
        <v>0</v>
      </c>
      <c r="W40" s="245">
        <f t="shared" si="36"/>
        <v>0</v>
      </c>
      <c r="X40" s="245">
        <f t="shared" si="2"/>
        <v>0</v>
      </c>
      <c r="Y40" s="246">
        <f t="shared" si="3"/>
        <v>0</v>
      </c>
    </row>
    <row r="41" spans="1:25" s="481" customFormat="1" ht="26.7" customHeight="1" x14ac:dyDescent="0.3">
      <c r="A41" s="259"/>
      <c r="B41" s="259"/>
      <c r="C41" s="259"/>
      <c r="D41" s="259"/>
      <c r="E41" s="259"/>
      <c r="F41" s="259"/>
      <c r="G41" s="488"/>
      <c r="H41" s="490"/>
      <c r="I41" s="489"/>
      <c r="J41" s="259"/>
      <c r="K41" s="259"/>
      <c r="O41" s="209" t="s">
        <v>158</v>
      </c>
      <c r="P41" s="196">
        <v>200121</v>
      </c>
      <c r="Q41" s="218" t="s">
        <v>126</v>
      </c>
      <c r="R41" s="245">
        <f t="shared" ref="R41:W41" si="37">SUM(S215:S217)</f>
        <v>0</v>
      </c>
      <c r="S41" s="245">
        <f t="shared" si="37"/>
        <v>0</v>
      </c>
      <c r="T41" s="245">
        <f t="shared" si="37"/>
        <v>0</v>
      </c>
      <c r="U41" s="245">
        <f t="shared" si="37"/>
        <v>0</v>
      </c>
      <c r="V41" s="245">
        <f t="shared" si="37"/>
        <v>0</v>
      </c>
      <c r="W41" s="245">
        <f t="shared" si="37"/>
        <v>0</v>
      </c>
      <c r="X41" s="245">
        <f t="shared" si="2"/>
        <v>0</v>
      </c>
      <c r="Y41" s="246">
        <f t="shared" si="3"/>
        <v>0</v>
      </c>
    </row>
    <row r="42" spans="1:25" s="481" customFormat="1" ht="26.7" customHeight="1" x14ac:dyDescent="0.3">
      <c r="A42" s="259"/>
      <c r="B42" s="259"/>
      <c r="C42" s="259"/>
      <c r="D42" s="259"/>
      <c r="E42" s="259"/>
      <c r="F42" s="259"/>
      <c r="G42" s="488"/>
      <c r="H42" s="490"/>
      <c r="I42" s="489"/>
      <c r="J42" s="259"/>
      <c r="K42" s="259"/>
      <c r="O42" s="209" t="s">
        <v>159</v>
      </c>
      <c r="P42" s="196">
        <v>200123</v>
      </c>
      <c r="Q42" s="218" t="s">
        <v>126</v>
      </c>
      <c r="R42" s="245">
        <f t="shared" ref="R42:W42" si="38">SUM(S218:S220)</f>
        <v>0</v>
      </c>
      <c r="S42" s="245">
        <f t="shared" si="38"/>
        <v>0</v>
      </c>
      <c r="T42" s="245">
        <f t="shared" si="38"/>
        <v>0</v>
      </c>
      <c r="U42" s="245">
        <f t="shared" si="38"/>
        <v>0</v>
      </c>
      <c r="V42" s="245">
        <f t="shared" si="38"/>
        <v>0</v>
      </c>
      <c r="W42" s="245">
        <f t="shared" si="38"/>
        <v>0</v>
      </c>
      <c r="X42" s="245">
        <f t="shared" si="2"/>
        <v>0</v>
      </c>
      <c r="Y42" s="246">
        <f t="shared" si="3"/>
        <v>0</v>
      </c>
    </row>
    <row r="43" spans="1:25" s="481" customFormat="1" ht="26.7" customHeight="1" x14ac:dyDescent="0.25">
      <c r="A43" s="259"/>
      <c r="B43" s="259"/>
      <c r="C43" s="259"/>
      <c r="D43" s="259"/>
      <c r="E43" s="259"/>
      <c r="F43" s="259"/>
      <c r="G43" s="1094"/>
      <c r="H43" s="1094"/>
      <c r="I43" s="487"/>
      <c r="J43" s="259"/>
      <c r="K43" s="259"/>
      <c r="O43" s="209" t="s">
        <v>160</v>
      </c>
      <c r="P43" s="196">
        <v>130703</v>
      </c>
      <c r="Q43" s="218" t="s">
        <v>126</v>
      </c>
      <c r="R43" s="245">
        <f t="shared" ref="R43:W43" si="39">SUM(S221:S223)</f>
        <v>0</v>
      </c>
      <c r="S43" s="245">
        <f t="shared" si="39"/>
        <v>0</v>
      </c>
      <c r="T43" s="245">
        <f t="shared" si="39"/>
        <v>0</v>
      </c>
      <c r="U43" s="245">
        <f t="shared" si="39"/>
        <v>0</v>
      </c>
      <c r="V43" s="245">
        <f t="shared" si="39"/>
        <v>0</v>
      </c>
      <c r="W43" s="245">
        <f t="shared" si="39"/>
        <v>0</v>
      </c>
      <c r="X43" s="245">
        <f t="shared" si="2"/>
        <v>0</v>
      </c>
      <c r="Y43" s="246">
        <f t="shared" si="3"/>
        <v>0</v>
      </c>
    </row>
    <row r="44" spans="1:25" ht="26.7" customHeight="1" x14ac:dyDescent="0.25">
      <c r="O44" s="209" t="s">
        <v>161</v>
      </c>
      <c r="P44" s="196">
        <v>130702</v>
      </c>
      <c r="Q44" s="218" t="s">
        <v>126</v>
      </c>
      <c r="R44" s="245">
        <f t="shared" ref="R44:W44" si="40">SUM(S224:S226)</f>
        <v>0</v>
      </c>
      <c r="S44" s="245">
        <f t="shared" si="40"/>
        <v>0</v>
      </c>
      <c r="T44" s="245">
        <f t="shared" si="40"/>
        <v>0</v>
      </c>
      <c r="U44" s="245">
        <f t="shared" si="40"/>
        <v>0</v>
      </c>
      <c r="V44" s="245">
        <f t="shared" si="40"/>
        <v>0</v>
      </c>
      <c r="W44" s="245">
        <f t="shared" si="40"/>
        <v>0</v>
      </c>
      <c r="X44" s="245">
        <f t="shared" si="2"/>
        <v>0</v>
      </c>
      <c r="Y44" s="246">
        <f t="shared" si="3"/>
        <v>0</v>
      </c>
    </row>
    <row r="45" spans="1:25" ht="26.7" customHeight="1" x14ac:dyDescent="0.25">
      <c r="O45" s="209" t="s">
        <v>162</v>
      </c>
      <c r="P45" s="196">
        <v>130701</v>
      </c>
      <c r="Q45" s="218" t="s">
        <v>126</v>
      </c>
      <c r="R45" s="245">
        <f t="shared" ref="R45:W45" si="41">SUM(S227:S229)</f>
        <v>0</v>
      </c>
      <c r="S45" s="245">
        <f t="shared" si="41"/>
        <v>0</v>
      </c>
      <c r="T45" s="245">
        <f t="shared" si="41"/>
        <v>0</v>
      </c>
      <c r="U45" s="245">
        <f t="shared" si="41"/>
        <v>0</v>
      </c>
      <c r="V45" s="245">
        <f t="shared" si="41"/>
        <v>0</v>
      </c>
      <c r="W45" s="245">
        <f t="shared" si="41"/>
        <v>0</v>
      </c>
      <c r="X45" s="245">
        <f t="shared" si="2"/>
        <v>0</v>
      </c>
      <c r="Y45" s="246">
        <f t="shared" si="3"/>
        <v>0</v>
      </c>
    </row>
    <row r="46" spans="1:25" ht="26.7" customHeight="1" x14ac:dyDescent="0.25">
      <c r="O46" s="209" t="s">
        <v>163</v>
      </c>
      <c r="P46" s="196">
        <v>170202</v>
      </c>
      <c r="Q46" s="218" t="s">
        <v>141</v>
      </c>
      <c r="R46" s="245">
        <f t="shared" ref="R46:W46" si="42">SUM(S230:S232)</f>
        <v>0</v>
      </c>
      <c r="S46" s="245">
        <f t="shared" si="42"/>
        <v>0</v>
      </c>
      <c r="T46" s="245">
        <f t="shared" si="42"/>
        <v>0</v>
      </c>
      <c r="U46" s="245">
        <f t="shared" si="42"/>
        <v>0</v>
      </c>
      <c r="V46" s="245">
        <f t="shared" si="42"/>
        <v>0</v>
      </c>
      <c r="W46" s="245">
        <f t="shared" si="42"/>
        <v>0</v>
      </c>
      <c r="X46" s="245">
        <f t="shared" si="2"/>
        <v>0</v>
      </c>
      <c r="Y46" s="246">
        <f t="shared" si="3"/>
        <v>0</v>
      </c>
    </row>
    <row r="47" spans="1:25" ht="26.25" customHeight="1" x14ac:dyDescent="0.25">
      <c r="O47" s="209" t="s">
        <v>164</v>
      </c>
      <c r="P47" s="196">
        <v>170204</v>
      </c>
      <c r="Q47" s="218" t="s">
        <v>126</v>
      </c>
      <c r="R47" s="245">
        <f t="shared" ref="R47:W47" si="43">SUM(S233:S235)</f>
        <v>0</v>
      </c>
      <c r="S47" s="245">
        <f t="shared" si="43"/>
        <v>0</v>
      </c>
      <c r="T47" s="245">
        <f t="shared" si="43"/>
        <v>0</v>
      </c>
      <c r="U47" s="245">
        <f t="shared" si="43"/>
        <v>0</v>
      </c>
      <c r="V47" s="245">
        <f t="shared" si="43"/>
        <v>0</v>
      </c>
      <c r="W47" s="245">
        <f t="shared" si="43"/>
        <v>0</v>
      </c>
      <c r="X47" s="245">
        <f t="shared" si="2"/>
        <v>0</v>
      </c>
      <c r="Y47" s="246">
        <f t="shared" si="3"/>
        <v>0</v>
      </c>
    </row>
    <row r="48" spans="1:25" ht="26.25" customHeight="1" x14ac:dyDescent="0.25">
      <c r="O48" s="209" t="s">
        <v>165</v>
      </c>
      <c r="P48" s="196">
        <v>120117</v>
      </c>
      <c r="Q48" s="218" t="s">
        <v>123</v>
      </c>
      <c r="R48" s="245">
        <f t="shared" ref="R48:W48" si="44">SUM(S236:S238)</f>
        <v>0</v>
      </c>
      <c r="S48" s="245">
        <f t="shared" si="44"/>
        <v>0</v>
      </c>
      <c r="T48" s="245">
        <f t="shared" si="44"/>
        <v>0</v>
      </c>
      <c r="U48" s="245">
        <f t="shared" si="44"/>
        <v>0</v>
      </c>
      <c r="V48" s="245">
        <f t="shared" si="44"/>
        <v>0</v>
      </c>
      <c r="W48" s="245">
        <f t="shared" si="44"/>
        <v>0</v>
      </c>
      <c r="X48" s="245">
        <f t="shared" si="2"/>
        <v>0</v>
      </c>
      <c r="Y48" s="246">
        <f t="shared" si="3"/>
        <v>0</v>
      </c>
    </row>
    <row r="49" spans="15:25" ht="26.25" customHeight="1" x14ac:dyDescent="0.25">
      <c r="O49" s="209" t="s">
        <v>166</v>
      </c>
      <c r="P49" s="196">
        <v>120116</v>
      </c>
      <c r="Q49" s="218" t="s">
        <v>126</v>
      </c>
      <c r="R49" s="245">
        <f t="shared" ref="R49:W49" si="45">SUM(S239:S241)</f>
        <v>0</v>
      </c>
      <c r="S49" s="245">
        <f t="shared" si="45"/>
        <v>0</v>
      </c>
      <c r="T49" s="245">
        <f t="shared" si="45"/>
        <v>0</v>
      </c>
      <c r="U49" s="245">
        <f t="shared" si="45"/>
        <v>0</v>
      </c>
      <c r="V49" s="245">
        <f t="shared" si="45"/>
        <v>0</v>
      </c>
      <c r="W49" s="245">
        <f t="shared" si="45"/>
        <v>0</v>
      </c>
      <c r="X49" s="245">
        <f t="shared" si="2"/>
        <v>0</v>
      </c>
      <c r="Y49" s="246">
        <f t="shared" si="3"/>
        <v>0</v>
      </c>
    </row>
    <row r="50" spans="15:25" ht="26.25" customHeight="1" x14ac:dyDescent="0.25">
      <c r="O50" s="209" t="s">
        <v>167</v>
      </c>
      <c r="P50" s="196">
        <v>130508</v>
      </c>
      <c r="Q50" s="218" t="s">
        <v>126</v>
      </c>
      <c r="R50" s="245">
        <f t="shared" ref="R50:W50" si="46">SUM(S242:S244)</f>
        <v>0</v>
      </c>
      <c r="S50" s="245">
        <f t="shared" si="46"/>
        <v>0</v>
      </c>
      <c r="T50" s="245">
        <f t="shared" si="46"/>
        <v>0</v>
      </c>
      <c r="U50" s="245">
        <f t="shared" si="46"/>
        <v>0</v>
      </c>
      <c r="V50" s="245">
        <f t="shared" si="46"/>
        <v>0</v>
      </c>
      <c r="W50" s="245">
        <f t="shared" si="46"/>
        <v>0</v>
      </c>
      <c r="X50" s="245">
        <f t="shared" si="2"/>
        <v>0</v>
      </c>
      <c r="Y50" s="246">
        <f t="shared" si="3"/>
        <v>0</v>
      </c>
    </row>
    <row r="51" spans="15:25" ht="26.25" customHeight="1" x14ac:dyDescent="0.25">
      <c r="O51" s="209" t="s">
        <v>168</v>
      </c>
      <c r="P51" s="196">
        <v>200303</v>
      </c>
      <c r="Q51" s="218" t="s">
        <v>123</v>
      </c>
      <c r="R51" s="245">
        <f t="shared" ref="R51:W51" si="47">SUM(S245:S247)</f>
        <v>0</v>
      </c>
      <c r="S51" s="245">
        <f t="shared" si="47"/>
        <v>0</v>
      </c>
      <c r="T51" s="245">
        <f t="shared" si="47"/>
        <v>0</v>
      </c>
      <c r="U51" s="245">
        <f t="shared" si="47"/>
        <v>0</v>
      </c>
      <c r="V51" s="245">
        <f t="shared" si="47"/>
        <v>0</v>
      </c>
      <c r="W51" s="245">
        <f t="shared" si="47"/>
        <v>0</v>
      </c>
      <c r="X51" s="245">
        <f t="shared" si="2"/>
        <v>0</v>
      </c>
      <c r="Y51" s="246">
        <f t="shared" si="3"/>
        <v>0</v>
      </c>
    </row>
    <row r="52" spans="15:25" ht="26.25" customHeight="1" x14ac:dyDescent="0.25">
      <c r="O52" s="209" t="s">
        <v>169</v>
      </c>
      <c r="P52" s="196">
        <v>170802</v>
      </c>
      <c r="Q52" s="218" t="s">
        <v>123</v>
      </c>
      <c r="R52" s="245">
        <f t="shared" ref="R52:W52" si="48">SUM(S248:S250)</f>
        <v>0</v>
      </c>
      <c r="S52" s="245">
        <f t="shared" si="48"/>
        <v>0</v>
      </c>
      <c r="T52" s="245">
        <f t="shared" si="48"/>
        <v>0</v>
      </c>
      <c r="U52" s="245">
        <f t="shared" si="48"/>
        <v>0</v>
      </c>
      <c r="V52" s="245">
        <f t="shared" si="48"/>
        <v>0</v>
      </c>
      <c r="W52" s="245">
        <f t="shared" si="48"/>
        <v>0</v>
      </c>
      <c r="X52" s="245">
        <f t="shared" si="2"/>
        <v>0</v>
      </c>
      <c r="Y52" s="246">
        <f t="shared" si="3"/>
        <v>0</v>
      </c>
    </row>
    <row r="53" spans="15:25" ht="26.25" customHeight="1" x14ac:dyDescent="0.25">
      <c r="O53" s="209" t="s">
        <v>170</v>
      </c>
      <c r="P53" s="196">
        <v>170801</v>
      </c>
      <c r="Q53" s="218" t="s">
        <v>126</v>
      </c>
      <c r="R53" s="245">
        <f t="shared" ref="R53:W53" si="49">SUM(S251:S253)</f>
        <v>0</v>
      </c>
      <c r="S53" s="245">
        <f t="shared" si="49"/>
        <v>0</v>
      </c>
      <c r="T53" s="245">
        <f t="shared" si="49"/>
        <v>0</v>
      </c>
      <c r="U53" s="245">
        <f t="shared" si="49"/>
        <v>0</v>
      </c>
      <c r="V53" s="245">
        <f t="shared" si="49"/>
        <v>0</v>
      </c>
      <c r="W53" s="245">
        <f t="shared" si="49"/>
        <v>0</v>
      </c>
      <c r="X53" s="245">
        <f t="shared" si="2"/>
        <v>0</v>
      </c>
      <c r="Y53" s="246">
        <f t="shared" si="3"/>
        <v>0</v>
      </c>
    </row>
    <row r="54" spans="15:25" ht="26.25" customHeight="1" x14ac:dyDescent="0.25">
      <c r="O54" s="209" t="s">
        <v>171</v>
      </c>
      <c r="P54" s="196">
        <v>170604</v>
      </c>
      <c r="Q54" s="218" t="s">
        <v>123</v>
      </c>
      <c r="R54" s="245">
        <f t="shared" ref="R54:W54" si="50">SUM(S254:S256)</f>
        <v>0</v>
      </c>
      <c r="S54" s="245">
        <f t="shared" si="50"/>
        <v>0</v>
      </c>
      <c r="T54" s="245">
        <f t="shared" si="50"/>
        <v>0</v>
      </c>
      <c r="U54" s="245">
        <f t="shared" si="50"/>
        <v>0</v>
      </c>
      <c r="V54" s="245">
        <f t="shared" si="50"/>
        <v>0</v>
      </c>
      <c r="W54" s="245">
        <f t="shared" si="50"/>
        <v>0</v>
      </c>
      <c r="X54" s="245">
        <f t="shared" si="2"/>
        <v>0</v>
      </c>
      <c r="Y54" s="246">
        <f t="shared" si="3"/>
        <v>0</v>
      </c>
    </row>
    <row r="55" spans="15:25" ht="26.25" customHeight="1" x14ac:dyDescent="0.25">
      <c r="O55" s="209" t="s">
        <v>172</v>
      </c>
      <c r="P55" s="196">
        <v>170603</v>
      </c>
      <c r="Q55" s="218" t="s">
        <v>126</v>
      </c>
      <c r="R55" s="245">
        <f t="shared" ref="R55:W55" si="51">SUM(S257:S259)</f>
        <v>0</v>
      </c>
      <c r="S55" s="245">
        <f t="shared" si="51"/>
        <v>0</v>
      </c>
      <c r="T55" s="245">
        <f t="shared" si="51"/>
        <v>0</v>
      </c>
      <c r="U55" s="245">
        <f t="shared" si="51"/>
        <v>0</v>
      </c>
      <c r="V55" s="245">
        <f t="shared" si="51"/>
        <v>0</v>
      </c>
      <c r="W55" s="245">
        <f t="shared" si="51"/>
        <v>0</v>
      </c>
      <c r="X55" s="245">
        <f t="shared" si="2"/>
        <v>0</v>
      </c>
      <c r="Y55" s="246">
        <f t="shared" si="3"/>
        <v>0</v>
      </c>
    </row>
    <row r="56" spans="15:25" ht="26.25" customHeight="1" x14ac:dyDescent="0.25">
      <c r="O56" s="209" t="s">
        <v>173</v>
      </c>
      <c r="P56" s="196">
        <v>170601</v>
      </c>
      <c r="Q56" s="218" t="s">
        <v>126</v>
      </c>
      <c r="R56" s="245">
        <f t="shared" ref="R56:W56" si="52">SUM(S260:S262)</f>
        <v>0</v>
      </c>
      <c r="S56" s="245">
        <f t="shared" si="52"/>
        <v>0</v>
      </c>
      <c r="T56" s="245">
        <f t="shared" si="52"/>
        <v>0</v>
      </c>
      <c r="U56" s="245">
        <f t="shared" si="52"/>
        <v>0</v>
      </c>
      <c r="V56" s="245">
        <f t="shared" si="52"/>
        <v>0</v>
      </c>
      <c r="W56" s="245">
        <f t="shared" si="52"/>
        <v>0</v>
      </c>
      <c r="X56" s="245">
        <f t="shared" si="2"/>
        <v>0</v>
      </c>
      <c r="Y56" s="246">
        <f t="shared" si="3"/>
        <v>0</v>
      </c>
    </row>
    <row r="57" spans="15:25" ht="26.25" customHeight="1" x14ac:dyDescent="0.25">
      <c r="O57" s="209" t="s">
        <v>174</v>
      </c>
      <c r="P57" s="205">
        <v>130503</v>
      </c>
      <c r="Q57" s="218" t="s">
        <v>123</v>
      </c>
      <c r="R57" s="245">
        <f t="shared" ref="R57:W57" si="53">SUM(S263:S265)</f>
        <v>0</v>
      </c>
      <c r="S57" s="245">
        <f t="shared" si="53"/>
        <v>0</v>
      </c>
      <c r="T57" s="245">
        <f t="shared" si="53"/>
        <v>0</v>
      </c>
      <c r="U57" s="245">
        <f t="shared" si="53"/>
        <v>0</v>
      </c>
      <c r="V57" s="245">
        <f t="shared" si="53"/>
        <v>0</v>
      </c>
      <c r="W57" s="245">
        <f t="shared" si="53"/>
        <v>0</v>
      </c>
      <c r="X57" s="245">
        <f t="shared" si="2"/>
        <v>0</v>
      </c>
      <c r="Y57" s="246">
        <f t="shared" si="3"/>
        <v>0</v>
      </c>
    </row>
    <row r="58" spans="15:25" ht="26.25" customHeight="1" x14ac:dyDescent="0.25">
      <c r="O58" s="209" t="s">
        <v>175</v>
      </c>
      <c r="P58" s="196">
        <v>170402</v>
      </c>
      <c r="Q58" s="218" t="s">
        <v>123</v>
      </c>
      <c r="R58" s="245">
        <f t="shared" ref="R58:W58" si="54">SUM(S266:S268)</f>
        <v>0</v>
      </c>
      <c r="S58" s="245">
        <f t="shared" si="54"/>
        <v>0</v>
      </c>
      <c r="T58" s="245">
        <f t="shared" si="54"/>
        <v>0</v>
      </c>
      <c r="U58" s="245">
        <f t="shared" si="54"/>
        <v>0</v>
      </c>
      <c r="V58" s="245">
        <f t="shared" si="54"/>
        <v>0</v>
      </c>
      <c r="W58" s="245">
        <f t="shared" si="54"/>
        <v>0</v>
      </c>
      <c r="X58" s="245">
        <f t="shared" si="2"/>
        <v>0</v>
      </c>
      <c r="Y58" s="246">
        <f t="shared" si="3"/>
        <v>0</v>
      </c>
    </row>
    <row r="59" spans="15:25" ht="26.25" customHeight="1" x14ac:dyDescent="0.25">
      <c r="O59" s="209" t="s">
        <v>176</v>
      </c>
      <c r="P59" s="196">
        <v>170401</v>
      </c>
      <c r="Q59" s="218" t="s">
        <v>123</v>
      </c>
      <c r="R59" s="245">
        <f t="shared" ref="R59:W59" si="55">SUM(S269:S271)</f>
        <v>0</v>
      </c>
      <c r="S59" s="245">
        <f t="shared" si="55"/>
        <v>0</v>
      </c>
      <c r="T59" s="245">
        <f t="shared" si="55"/>
        <v>0</v>
      </c>
      <c r="U59" s="245">
        <f t="shared" si="55"/>
        <v>0</v>
      </c>
      <c r="V59" s="245">
        <f t="shared" si="55"/>
        <v>0</v>
      </c>
      <c r="W59" s="245">
        <f t="shared" si="55"/>
        <v>0</v>
      </c>
      <c r="X59" s="245">
        <f t="shared" si="2"/>
        <v>0</v>
      </c>
      <c r="Y59" s="246">
        <f t="shared" si="3"/>
        <v>0</v>
      </c>
    </row>
    <row r="60" spans="15:25" ht="26.25" customHeight="1" x14ac:dyDescent="0.25">
      <c r="O60" s="209" t="s">
        <v>177</v>
      </c>
      <c r="P60" s="196">
        <v>170405</v>
      </c>
      <c r="Q60" s="218" t="s">
        <v>123</v>
      </c>
      <c r="R60" s="245">
        <f t="shared" ref="R60:W60" si="56">SUM(S272:S274)</f>
        <v>0</v>
      </c>
      <c r="S60" s="245">
        <f t="shared" si="56"/>
        <v>0</v>
      </c>
      <c r="T60" s="245">
        <f t="shared" si="56"/>
        <v>0</v>
      </c>
      <c r="U60" s="245">
        <f t="shared" si="56"/>
        <v>0</v>
      </c>
      <c r="V60" s="245">
        <f t="shared" si="56"/>
        <v>0</v>
      </c>
      <c r="W60" s="245">
        <f t="shared" si="56"/>
        <v>0</v>
      </c>
      <c r="X60" s="245">
        <f t="shared" si="2"/>
        <v>0</v>
      </c>
      <c r="Y60" s="246">
        <f t="shared" si="3"/>
        <v>0</v>
      </c>
    </row>
    <row r="61" spans="15:25" ht="26.25" customHeight="1" x14ac:dyDescent="0.25">
      <c r="O61" s="209" t="s">
        <v>178</v>
      </c>
      <c r="P61" s="205">
        <v>170403</v>
      </c>
      <c r="Q61" s="218" t="s">
        <v>123</v>
      </c>
      <c r="R61" s="245">
        <f t="shared" ref="R61:W61" si="57">SUM(S275:S277)</f>
        <v>0</v>
      </c>
      <c r="S61" s="245">
        <f t="shared" si="57"/>
        <v>0</v>
      </c>
      <c r="T61" s="245">
        <f t="shared" si="57"/>
        <v>0</v>
      </c>
      <c r="U61" s="245">
        <f t="shared" si="57"/>
        <v>0</v>
      </c>
      <c r="V61" s="245">
        <f t="shared" si="57"/>
        <v>0</v>
      </c>
      <c r="W61" s="245">
        <f t="shared" si="57"/>
        <v>0</v>
      </c>
      <c r="X61" s="245">
        <f t="shared" si="2"/>
        <v>0</v>
      </c>
      <c r="Y61" s="246">
        <f t="shared" si="3"/>
        <v>0</v>
      </c>
    </row>
    <row r="62" spans="15:25" ht="26.25" customHeight="1" x14ac:dyDescent="0.25">
      <c r="O62" s="209" t="s">
        <v>179</v>
      </c>
      <c r="P62" s="196">
        <v>170407</v>
      </c>
      <c r="Q62" s="218" t="s">
        <v>123</v>
      </c>
      <c r="R62" s="245">
        <f t="shared" ref="R62:W62" si="58">SUM(S278:S280)</f>
        <v>0</v>
      </c>
      <c r="S62" s="245">
        <f t="shared" si="58"/>
        <v>0</v>
      </c>
      <c r="T62" s="245">
        <f t="shared" si="58"/>
        <v>0</v>
      </c>
      <c r="U62" s="245">
        <f t="shared" si="58"/>
        <v>0</v>
      </c>
      <c r="V62" s="245">
        <f t="shared" si="58"/>
        <v>0</v>
      </c>
      <c r="W62" s="245">
        <f t="shared" si="58"/>
        <v>0</v>
      </c>
      <c r="X62" s="245">
        <f t="shared" si="2"/>
        <v>0</v>
      </c>
      <c r="Y62" s="246">
        <f t="shared" si="3"/>
        <v>0</v>
      </c>
    </row>
    <row r="63" spans="15:25" ht="26.25" customHeight="1" x14ac:dyDescent="0.25">
      <c r="O63" s="209" t="s">
        <v>180</v>
      </c>
      <c r="P63" s="196">
        <v>170409</v>
      </c>
      <c r="Q63" s="218" t="s">
        <v>126</v>
      </c>
      <c r="R63" s="245">
        <f t="shared" ref="R63:W63" si="59">SUM(S281:S283)</f>
        <v>0</v>
      </c>
      <c r="S63" s="245">
        <f t="shared" si="59"/>
        <v>0</v>
      </c>
      <c r="T63" s="245">
        <f t="shared" si="59"/>
        <v>0</v>
      </c>
      <c r="U63" s="245">
        <f t="shared" si="59"/>
        <v>0</v>
      </c>
      <c r="V63" s="245">
        <f t="shared" si="59"/>
        <v>0</v>
      </c>
      <c r="W63" s="245">
        <f t="shared" si="59"/>
        <v>0</v>
      </c>
      <c r="X63" s="245">
        <f t="shared" si="2"/>
        <v>0</v>
      </c>
      <c r="Y63" s="246">
        <f t="shared" si="3"/>
        <v>0</v>
      </c>
    </row>
    <row r="64" spans="15:25" ht="26.25" customHeight="1" x14ac:dyDescent="0.25">
      <c r="O64" s="209" t="s">
        <v>181</v>
      </c>
      <c r="P64" s="196">
        <v>170406</v>
      </c>
      <c r="Q64" s="218" t="s">
        <v>123</v>
      </c>
      <c r="R64" s="245">
        <f t="shared" ref="R64:W64" si="60">SUM(S284:S286)</f>
        <v>0</v>
      </c>
      <c r="S64" s="245">
        <f t="shared" si="60"/>
        <v>0</v>
      </c>
      <c r="T64" s="245">
        <f t="shared" si="60"/>
        <v>0</v>
      </c>
      <c r="U64" s="245">
        <f t="shared" si="60"/>
        <v>0</v>
      </c>
      <c r="V64" s="245">
        <f t="shared" si="60"/>
        <v>0</v>
      </c>
      <c r="W64" s="245">
        <f t="shared" si="60"/>
        <v>0</v>
      </c>
      <c r="X64" s="245">
        <f t="shared" si="2"/>
        <v>0</v>
      </c>
      <c r="Y64" s="246">
        <f t="shared" si="3"/>
        <v>0</v>
      </c>
    </row>
    <row r="65" spans="15:25" ht="26.25" customHeight="1" x14ac:dyDescent="0.25">
      <c r="O65" s="209" t="s">
        <v>182</v>
      </c>
      <c r="P65" s="196">
        <v>170404</v>
      </c>
      <c r="Q65" s="218" t="s">
        <v>123</v>
      </c>
      <c r="R65" s="245">
        <f t="shared" ref="R65:W65" si="61">SUM(S287:S289)</f>
        <v>0</v>
      </c>
      <c r="S65" s="245">
        <f t="shared" si="61"/>
        <v>0</v>
      </c>
      <c r="T65" s="245">
        <f t="shared" si="61"/>
        <v>0</v>
      </c>
      <c r="U65" s="245">
        <f t="shared" si="61"/>
        <v>0</v>
      </c>
      <c r="V65" s="245">
        <f t="shared" si="61"/>
        <v>0</v>
      </c>
      <c r="W65" s="245">
        <f t="shared" si="61"/>
        <v>0</v>
      </c>
      <c r="X65" s="245">
        <f t="shared" si="2"/>
        <v>0</v>
      </c>
      <c r="Y65" s="246">
        <f t="shared" si="3"/>
        <v>0</v>
      </c>
    </row>
    <row r="66" spans="15:25" ht="26.25" customHeight="1" x14ac:dyDescent="0.25">
      <c r="O66" s="209" t="s">
        <v>183</v>
      </c>
      <c r="P66" s="196">
        <v>130205</v>
      </c>
      <c r="Q66" s="218" t="s">
        <v>126</v>
      </c>
      <c r="R66" s="245">
        <f t="shared" ref="R66:W66" si="62">SUM(S290:S292)</f>
        <v>0</v>
      </c>
      <c r="S66" s="245">
        <f t="shared" si="62"/>
        <v>0</v>
      </c>
      <c r="T66" s="245">
        <f t="shared" si="62"/>
        <v>0</v>
      </c>
      <c r="U66" s="245">
        <f t="shared" si="62"/>
        <v>0</v>
      </c>
      <c r="V66" s="245">
        <f t="shared" si="62"/>
        <v>0</v>
      </c>
      <c r="W66" s="245">
        <f t="shared" si="62"/>
        <v>0</v>
      </c>
      <c r="X66" s="245">
        <f t="shared" si="2"/>
        <v>0</v>
      </c>
      <c r="Y66" s="246">
        <f t="shared" si="3"/>
        <v>0</v>
      </c>
    </row>
    <row r="67" spans="15:25" ht="26.25" customHeight="1" x14ac:dyDescent="0.25">
      <c r="O67" s="209" t="s">
        <v>184</v>
      </c>
      <c r="P67" s="196">
        <v>130112</v>
      </c>
      <c r="Q67" s="218" t="s">
        <v>126</v>
      </c>
      <c r="R67" s="245">
        <f t="shared" ref="R67:W67" si="63">SUM(S293:S295)</f>
        <v>0</v>
      </c>
      <c r="S67" s="245">
        <f t="shared" si="63"/>
        <v>0</v>
      </c>
      <c r="T67" s="245">
        <f t="shared" si="63"/>
        <v>0</v>
      </c>
      <c r="U67" s="245">
        <f t="shared" si="63"/>
        <v>0</v>
      </c>
      <c r="V67" s="245">
        <f t="shared" si="63"/>
        <v>0</v>
      </c>
      <c r="W67" s="245">
        <f t="shared" si="63"/>
        <v>0</v>
      </c>
      <c r="X67" s="245">
        <f t="shared" si="2"/>
        <v>0</v>
      </c>
      <c r="Y67" s="246">
        <f t="shared" si="3"/>
        <v>0</v>
      </c>
    </row>
    <row r="68" spans="15:25" ht="26.25" customHeight="1" x14ac:dyDescent="0.25">
      <c r="O68" s="209" t="s">
        <v>185</v>
      </c>
      <c r="P68" s="196">
        <v>130111</v>
      </c>
      <c r="Q68" s="218" t="s">
        <v>126</v>
      </c>
      <c r="R68" s="245">
        <f t="shared" ref="R68:W68" si="64">SUM(S296:S298)</f>
        <v>0</v>
      </c>
      <c r="S68" s="245">
        <f t="shared" si="64"/>
        <v>0</v>
      </c>
      <c r="T68" s="245">
        <f t="shared" si="64"/>
        <v>0</v>
      </c>
      <c r="U68" s="245">
        <f t="shared" si="64"/>
        <v>0</v>
      </c>
      <c r="V68" s="245">
        <f t="shared" si="64"/>
        <v>0</v>
      </c>
      <c r="W68" s="245">
        <f t="shared" si="64"/>
        <v>0</v>
      </c>
      <c r="X68" s="245">
        <f t="shared" si="2"/>
        <v>0</v>
      </c>
      <c r="Y68" s="246">
        <f t="shared" si="3"/>
        <v>0</v>
      </c>
    </row>
    <row r="69" spans="15:25" ht="26.25" customHeight="1" x14ac:dyDescent="0.25">
      <c r="O69" s="209" t="s">
        <v>186</v>
      </c>
      <c r="P69" s="196">
        <v>130207</v>
      </c>
      <c r="Q69" s="218" t="s">
        <v>126</v>
      </c>
      <c r="R69" s="245">
        <f t="shared" ref="R69:W69" si="65">SUM(S299:S301)</f>
        <v>0</v>
      </c>
      <c r="S69" s="245">
        <f t="shared" si="65"/>
        <v>0</v>
      </c>
      <c r="T69" s="245">
        <f t="shared" si="65"/>
        <v>0</v>
      </c>
      <c r="U69" s="245">
        <f t="shared" si="65"/>
        <v>0</v>
      </c>
      <c r="V69" s="245">
        <f t="shared" si="65"/>
        <v>0</v>
      </c>
      <c r="W69" s="245">
        <f t="shared" si="65"/>
        <v>0</v>
      </c>
      <c r="X69" s="245">
        <f t="shared" si="2"/>
        <v>0</v>
      </c>
      <c r="Y69" s="246">
        <f t="shared" si="3"/>
        <v>0</v>
      </c>
    </row>
    <row r="70" spans="15:25" ht="26.25" customHeight="1" x14ac:dyDescent="0.25">
      <c r="O70" s="209" t="s">
        <v>187</v>
      </c>
      <c r="P70" s="196">
        <v>130206</v>
      </c>
      <c r="Q70" s="218" t="s">
        <v>126</v>
      </c>
      <c r="R70" s="245">
        <f t="shared" ref="R70:W70" si="66">SUM(S302:S304)</f>
        <v>0</v>
      </c>
      <c r="S70" s="245">
        <f t="shared" si="66"/>
        <v>0</v>
      </c>
      <c r="T70" s="245">
        <f t="shared" si="66"/>
        <v>0</v>
      </c>
      <c r="U70" s="245">
        <f t="shared" si="66"/>
        <v>0</v>
      </c>
      <c r="V70" s="245">
        <f t="shared" si="66"/>
        <v>0</v>
      </c>
      <c r="W70" s="245">
        <f t="shared" si="66"/>
        <v>0</v>
      </c>
      <c r="X70" s="245">
        <f t="shared" si="2"/>
        <v>0</v>
      </c>
      <c r="Y70" s="246">
        <f t="shared" si="3"/>
        <v>0</v>
      </c>
    </row>
    <row r="71" spans="15:25" ht="26.25" customHeight="1" x14ac:dyDescent="0.25">
      <c r="O71" s="209" t="s">
        <v>188</v>
      </c>
      <c r="P71" s="196">
        <v>160107</v>
      </c>
      <c r="Q71" s="218" t="s">
        <v>126</v>
      </c>
      <c r="R71" s="245">
        <f t="shared" ref="R71:W71" si="67">SUM(S305:S307)</f>
        <v>0</v>
      </c>
      <c r="S71" s="245">
        <f t="shared" si="67"/>
        <v>0</v>
      </c>
      <c r="T71" s="245">
        <f t="shared" si="67"/>
        <v>0</v>
      </c>
      <c r="U71" s="245">
        <f t="shared" si="67"/>
        <v>0</v>
      </c>
      <c r="V71" s="245">
        <f t="shared" si="67"/>
        <v>0</v>
      </c>
      <c r="W71" s="245">
        <f t="shared" si="67"/>
        <v>0</v>
      </c>
      <c r="X71" s="245">
        <f t="shared" si="2"/>
        <v>0</v>
      </c>
      <c r="Y71" s="246">
        <f t="shared" si="3"/>
        <v>0</v>
      </c>
    </row>
    <row r="72" spans="15:25" ht="26.25" customHeight="1" x14ac:dyDescent="0.25">
      <c r="O72" s="209" t="s">
        <v>189</v>
      </c>
      <c r="P72" s="196">
        <v>130506</v>
      </c>
      <c r="Q72" s="218" t="s">
        <v>126</v>
      </c>
      <c r="R72" s="245">
        <f t="shared" ref="R72:W72" si="68">SUM(S308:S310)</f>
        <v>0</v>
      </c>
      <c r="S72" s="245">
        <f t="shared" si="68"/>
        <v>0</v>
      </c>
      <c r="T72" s="245">
        <f t="shared" si="68"/>
        <v>0</v>
      </c>
      <c r="U72" s="245">
        <f t="shared" si="68"/>
        <v>0</v>
      </c>
      <c r="V72" s="245">
        <f t="shared" si="68"/>
        <v>0</v>
      </c>
      <c r="W72" s="245">
        <f t="shared" si="68"/>
        <v>0</v>
      </c>
      <c r="X72" s="245">
        <f t="shared" si="2"/>
        <v>0</v>
      </c>
      <c r="Y72" s="246">
        <f t="shared" si="3"/>
        <v>0</v>
      </c>
    </row>
    <row r="73" spans="15:25" ht="26.25" customHeight="1" x14ac:dyDescent="0.25">
      <c r="O73" s="209" t="s">
        <v>190</v>
      </c>
      <c r="P73" s="196">
        <v>130507</v>
      </c>
      <c r="Q73" s="218" t="s">
        <v>126</v>
      </c>
      <c r="R73" s="245">
        <f t="shared" ref="R73:W73" si="69">SUM(S311:S313)</f>
        <v>0</v>
      </c>
      <c r="S73" s="245">
        <f t="shared" si="69"/>
        <v>0</v>
      </c>
      <c r="T73" s="245">
        <f t="shared" si="69"/>
        <v>0</v>
      </c>
      <c r="U73" s="245">
        <f t="shared" si="69"/>
        <v>0</v>
      </c>
      <c r="V73" s="245">
        <f t="shared" si="69"/>
        <v>0</v>
      </c>
      <c r="W73" s="245">
        <f t="shared" si="69"/>
        <v>0</v>
      </c>
      <c r="X73" s="245">
        <f t="shared" si="2"/>
        <v>0</v>
      </c>
      <c r="Y73" s="246">
        <f t="shared" si="3"/>
        <v>0</v>
      </c>
    </row>
    <row r="74" spans="15:25" ht="26.25" customHeight="1" x14ac:dyDescent="0.25">
      <c r="O74" s="209" t="s">
        <v>191</v>
      </c>
      <c r="P74" s="205">
        <v>150107</v>
      </c>
      <c r="Q74" s="218" t="s">
        <v>141</v>
      </c>
      <c r="R74" s="245">
        <f t="shared" ref="R74:W74" si="70">SUM(S314:S316)</f>
        <v>0</v>
      </c>
      <c r="S74" s="245">
        <f t="shared" si="70"/>
        <v>0</v>
      </c>
      <c r="T74" s="245">
        <f t="shared" si="70"/>
        <v>0</v>
      </c>
      <c r="U74" s="245">
        <f t="shared" si="70"/>
        <v>0</v>
      </c>
      <c r="V74" s="245">
        <f t="shared" si="70"/>
        <v>0</v>
      </c>
      <c r="W74" s="245">
        <f t="shared" si="70"/>
        <v>0</v>
      </c>
      <c r="X74" s="245">
        <f t="shared" ref="X74:X114" si="71">R74+S74+T74+U74+W74</f>
        <v>0</v>
      </c>
      <c r="Y74" s="246">
        <f t="shared" ref="Y74:Y114" si="72">S74+U74+W74</f>
        <v>0</v>
      </c>
    </row>
    <row r="75" spans="15:25" ht="26.25" customHeight="1" x14ac:dyDescent="0.25">
      <c r="O75" s="209" t="s">
        <v>192</v>
      </c>
      <c r="P75" s="205">
        <v>150104</v>
      </c>
      <c r="Q75" s="218" t="s">
        <v>123</v>
      </c>
      <c r="R75" s="245">
        <f t="shared" ref="R75:W75" si="73">SUM(S317:S319)</f>
        <v>0</v>
      </c>
      <c r="S75" s="245">
        <f t="shared" si="73"/>
        <v>0</v>
      </c>
      <c r="T75" s="245">
        <f t="shared" si="73"/>
        <v>0</v>
      </c>
      <c r="U75" s="245">
        <f t="shared" si="73"/>
        <v>0</v>
      </c>
      <c r="V75" s="245">
        <f t="shared" si="73"/>
        <v>0</v>
      </c>
      <c r="W75" s="245">
        <f t="shared" si="73"/>
        <v>0</v>
      </c>
      <c r="X75" s="245">
        <f t="shared" si="71"/>
        <v>0</v>
      </c>
      <c r="Y75" s="246">
        <f t="shared" si="72"/>
        <v>0</v>
      </c>
    </row>
    <row r="76" spans="15:25" ht="26.25" customHeight="1" x14ac:dyDescent="0.25">
      <c r="O76" s="209" t="s">
        <v>193</v>
      </c>
      <c r="P76" s="205">
        <v>150106</v>
      </c>
      <c r="Q76" s="218" t="s">
        <v>123</v>
      </c>
      <c r="R76" s="245">
        <f t="shared" ref="R76:W76" si="74">SUM(S320:S322)</f>
        <v>0</v>
      </c>
      <c r="S76" s="245">
        <f t="shared" si="74"/>
        <v>0</v>
      </c>
      <c r="T76" s="245">
        <f t="shared" si="74"/>
        <v>0</v>
      </c>
      <c r="U76" s="245">
        <f t="shared" si="74"/>
        <v>0</v>
      </c>
      <c r="V76" s="245">
        <f t="shared" si="74"/>
        <v>0</v>
      </c>
      <c r="W76" s="245">
        <f t="shared" si="74"/>
        <v>0</v>
      </c>
      <c r="X76" s="245">
        <f t="shared" si="71"/>
        <v>0</v>
      </c>
      <c r="Y76" s="246">
        <f t="shared" si="72"/>
        <v>0</v>
      </c>
    </row>
    <row r="77" spans="15:25" ht="26.25" customHeight="1" x14ac:dyDescent="0.25">
      <c r="O77" s="209" t="s">
        <v>194</v>
      </c>
      <c r="P77" s="205">
        <v>150102</v>
      </c>
      <c r="Q77" s="218" t="s">
        <v>123</v>
      </c>
      <c r="R77" s="245">
        <f t="shared" ref="R77:W77" si="75">SUM(S323:S325)</f>
        <v>0</v>
      </c>
      <c r="S77" s="245">
        <f t="shared" si="75"/>
        <v>0</v>
      </c>
      <c r="T77" s="245">
        <f t="shared" si="75"/>
        <v>0</v>
      </c>
      <c r="U77" s="245">
        <f t="shared" si="75"/>
        <v>0</v>
      </c>
      <c r="V77" s="245">
        <f t="shared" si="75"/>
        <v>0</v>
      </c>
      <c r="W77" s="245">
        <f t="shared" si="75"/>
        <v>0</v>
      </c>
      <c r="X77" s="245">
        <f t="shared" si="71"/>
        <v>0</v>
      </c>
      <c r="Y77" s="246">
        <f t="shared" si="72"/>
        <v>0</v>
      </c>
    </row>
    <row r="78" spans="15:25" ht="26.25" customHeight="1" x14ac:dyDescent="0.25">
      <c r="O78" s="209" t="s">
        <v>195</v>
      </c>
      <c r="P78" s="205">
        <v>150103</v>
      </c>
      <c r="Q78" s="218" t="s">
        <v>123</v>
      </c>
      <c r="R78" s="245">
        <f t="shared" ref="R78:W78" si="76">SUM(S326:S328)</f>
        <v>0</v>
      </c>
      <c r="S78" s="245">
        <f t="shared" si="76"/>
        <v>0</v>
      </c>
      <c r="T78" s="245">
        <f t="shared" si="76"/>
        <v>0</v>
      </c>
      <c r="U78" s="245">
        <f t="shared" si="76"/>
        <v>0</v>
      </c>
      <c r="V78" s="245">
        <f t="shared" si="76"/>
        <v>0</v>
      </c>
      <c r="W78" s="245">
        <f t="shared" si="76"/>
        <v>0</v>
      </c>
      <c r="X78" s="245">
        <f t="shared" si="71"/>
        <v>0</v>
      </c>
      <c r="Y78" s="246">
        <f t="shared" si="72"/>
        <v>0</v>
      </c>
    </row>
    <row r="79" spans="15:25" ht="26.25" customHeight="1" x14ac:dyDescent="0.25">
      <c r="O79" s="209" t="s">
        <v>196</v>
      </c>
      <c r="P79" s="196">
        <v>80112</v>
      </c>
      <c r="Q79" s="218" t="s">
        <v>123</v>
      </c>
      <c r="R79" s="245">
        <f t="shared" ref="R79:W79" si="77">SUM(S329:S331)</f>
        <v>0</v>
      </c>
      <c r="S79" s="245">
        <f t="shared" si="77"/>
        <v>0</v>
      </c>
      <c r="T79" s="245">
        <f t="shared" si="77"/>
        <v>0</v>
      </c>
      <c r="U79" s="245">
        <f t="shared" si="77"/>
        <v>0</v>
      </c>
      <c r="V79" s="245">
        <f t="shared" si="77"/>
        <v>0</v>
      </c>
      <c r="W79" s="245">
        <f t="shared" si="77"/>
        <v>0</v>
      </c>
      <c r="X79" s="245">
        <f t="shared" si="71"/>
        <v>0</v>
      </c>
      <c r="Y79" s="246">
        <f t="shared" si="72"/>
        <v>0</v>
      </c>
    </row>
    <row r="80" spans="15:25" ht="26.25" customHeight="1" x14ac:dyDescent="0.25">
      <c r="O80" s="209" t="s">
        <v>197</v>
      </c>
      <c r="P80" s="196">
        <v>80111</v>
      </c>
      <c r="Q80" s="218" t="s">
        <v>126</v>
      </c>
      <c r="R80" s="245">
        <f t="shared" ref="R80:W80" si="78">SUM(S332:S334)</f>
        <v>0</v>
      </c>
      <c r="S80" s="245">
        <f t="shared" si="78"/>
        <v>0</v>
      </c>
      <c r="T80" s="245">
        <f t="shared" si="78"/>
        <v>0</v>
      </c>
      <c r="U80" s="245">
        <f t="shared" si="78"/>
        <v>0</v>
      </c>
      <c r="V80" s="245">
        <f t="shared" si="78"/>
        <v>0</v>
      </c>
      <c r="W80" s="245">
        <f t="shared" si="78"/>
        <v>0</v>
      </c>
      <c r="X80" s="245">
        <f t="shared" si="71"/>
        <v>0</v>
      </c>
      <c r="Y80" s="246">
        <f t="shared" si="72"/>
        <v>0</v>
      </c>
    </row>
    <row r="81" spans="15:25" ht="26.25" customHeight="1" x14ac:dyDescent="0.25">
      <c r="O81" s="209" t="s">
        <v>198</v>
      </c>
      <c r="P81" s="196">
        <v>80118</v>
      </c>
      <c r="Q81" s="218" t="s">
        <v>123</v>
      </c>
      <c r="R81" s="245">
        <f t="shared" ref="R81:W81" si="79">SUM(S335:S337)</f>
        <v>0</v>
      </c>
      <c r="S81" s="245">
        <f t="shared" si="79"/>
        <v>0</v>
      </c>
      <c r="T81" s="245">
        <f t="shared" si="79"/>
        <v>0</v>
      </c>
      <c r="U81" s="245">
        <f t="shared" si="79"/>
        <v>0</v>
      </c>
      <c r="V81" s="245">
        <f t="shared" si="79"/>
        <v>0</v>
      </c>
      <c r="W81" s="245">
        <f t="shared" si="79"/>
        <v>0</v>
      </c>
      <c r="X81" s="245">
        <f t="shared" si="71"/>
        <v>0</v>
      </c>
      <c r="Y81" s="246">
        <f t="shared" si="72"/>
        <v>0</v>
      </c>
    </row>
    <row r="82" spans="15:25" ht="26.25" customHeight="1" x14ac:dyDescent="0.25">
      <c r="O82" s="209" t="s">
        <v>199</v>
      </c>
      <c r="P82" s="196">
        <v>80117</v>
      </c>
      <c r="Q82" s="218" t="s">
        <v>126</v>
      </c>
      <c r="R82" s="245">
        <f t="shared" ref="R82:W82" si="80">SUM(S338:S340)</f>
        <v>0</v>
      </c>
      <c r="S82" s="245">
        <f t="shared" si="80"/>
        <v>0</v>
      </c>
      <c r="T82" s="245">
        <f t="shared" si="80"/>
        <v>0</v>
      </c>
      <c r="U82" s="245">
        <f t="shared" si="80"/>
        <v>0</v>
      </c>
      <c r="V82" s="245">
        <f t="shared" si="80"/>
        <v>0</v>
      </c>
      <c r="W82" s="245">
        <f t="shared" si="80"/>
        <v>0</v>
      </c>
      <c r="X82" s="245">
        <f t="shared" si="71"/>
        <v>0</v>
      </c>
      <c r="Y82" s="246">
        <f t="shared" si="72"/>
        <v>0</v>
      </c>
    </row>
    <row r="83" spans="15:25" ht="26.25" customHeight="1" x14ac:dyDescent="0.25">
      <c r="O83" s="209" t="s">
        <v>200</v>
      </c>
      <c r="P83" s="196">
        <v>200101</v>
      </c>
      <c r="Q83" s="218" t="s">
        <v>123</v>
      </c>
      <c r="R83" s="245">
        <f t="shared" ref="R83:W83" si="81">SUM(S341:S343)</f>
        <v>0</v>
      </c>
      <c r="S83" s="245">
        <f t="shared" si="81"/>
        <v>0</v>
      </c>
      <c r="T83" s="245">
        <f t="shared" si="81"/>
        <v>0</v>
      </c>
      <c r="U83" s="245">
        <f t="shared" si="81"/>
        <v>0</v>
      </c>
      <c r="V83" s="245">
        <f t="shared" si="81"/>
        <v>0</v>
      </c>
      <c r="W83" s="245">
        <f t="shared" si="81"/>
        <v>0</v>
      </c>
      <c r="X83" s="245">
        <f t="shared" si="71"/>
        <v>0</v>
      </c>
      <c r="Y83" s="246">
        <f t="shared" si="72"/>
        <v>0</v>
      </c>
    </row>
    <row r="84" spans="15:25" ht="26.25" customHeight="1" x14ac:dyDescent="0.25">
      <c r="O84" s="209" t="s">
        <v>201</v>
      </c>
      <c r="P84" s="196">
        <v>150101</v>
      </c>
      <c r="Q84" s="218" t="s">
        <v>123</v>
      </c>
      <c r="R84" s="245">
        <f t="shared" ref="R84:W84" si="82">SUM(S344:S346)</f>
        <v>0</v>
      </c>
      <c r="S84" s="245">
        <f t="shared" si="82"/>
        <v>0</v>
      </c>
      <c r="T84" s="245">
        <f t="shared" si="82"/>
        <v>0</v>
      </c>
      <c r="U84" s="245">
        <f t="shared" si="82"/>
        <v>0</v>
      </c>
      <c r="V84" s="245">
        <f t="shared" si="82"/>
        <v>0</v>
      </c>
      <c r="W84" s="245">
        <f t="shared" si="82"/>
        <v>0</v>
      </c>
      <c r="X84" s="245">
        <f t="shared" si="71"/>
        <v>0</v>
      </c>
      <c r="Y84" s="246">
        <f t="shared" si="72"/>
        <v>0</v>
      </c>
    </row>
    <row r="85" spans="15:25" ht="26.25" customHeight="1" x14ac:dyDescent="0.25">
      <c r="O85" s="209" t="s">
        <v>202</v>
      </c>
      <c r="P85" s="196">
        <v>170203</v>
      </c>
      <c r="Q85" s="218" t="s">
        <v>123</v>
      </c>
      <c r="R85" s="245">
        <f t="shared" ref="R85:W85" si="83">SUM(S347:S349)</f>
        <v>0</v>
      </c>
      <c r="S85" s="245">
        <f t="shared" si="83"/>
        <v>0</v>
      </c>
      <c r="T85" s="245">
        <f t="shared" si="83"/>
        <v>0</v>
      </c>
      <c r="U85" s="245">
        <f t="shared" si="83"/>
        <v>0</v>
      </c>
      <c r="V85" s="245">
        <f t="shared" si="83"/>
        <v>0</v>
      </c>
      <c r="W85" s="245">
        <f t="shared" si="83"/>
        <v>0</v>
      </c>
      <c r="X85" s="245">
        <f t="shared" si="71"/>
        <v>0</v>
      </c>
      <c r="Y85" s="246">
        <f t="shared" si="72"/>
        <v>0</v>
      </c>
    </row>
    <row r="86" spans="15:25" ht="26.25" customHeight="1" x14ac:dyDescent="0.25">
      <c r="O86" s="209" t="s">
        <v>203</v>
      </c>
      <c r="P86" s="196">
        <v>80318</v>
      </c>
      <c r="Q86" s="218" t="s">
        <v>123</v>
      </c>
      <c r="R86" s="245">
        <f t="shared" ref="R86:W86" si="84">SUM(S350:S352)</f>
        <v>0</v>
      </c>
      <c r="S86" s="245">
        <f t="shared" si="84"/>
        <v>0</v>
      </c>
      <c r="T86" s="245">
        <f t="shared" si="84"/>
        <v>0</v>
      </c>
      <c r="U86" s="245">
        <f t="shared" si="84"/>
        <v>0</v>
      </c>
      <c r="V86" s="245">
        <f t="shared" si="84"/>
        <v>0</v>
      </c>
      <c r="W86" s="245">
        <f t="shared" si="84"/>
        <v>0</v>
      </c>
      <c r="X86" s="245">
        <f t="shared" si="71"/>
        <v>0</v>
      </c>
      <c r="Y86" s="246">
        <f t="shared" si="72"/>
        <v>0</v>
      </c>
    </row>
    <row r="87" spans="15:25" ht="26.25" customHeight="1" x14ac:dyDescent="0.25">
      <c r="O87" s="209" t="s">
        <v>204</v>
      </c>
      <c r="P87" s="196">
        <v>80317</v>
      </c>
      <c r="Q87" s="218" t="s">
        <v>126</v>
      </c>
      <c r="R87" s="245">
        <f t="shared" ref="R87:W87" si="85">SUM(S353:S355)</f>
        <v>0</v>
      </c>
      <c r="S87" s="245">
        <f t="shared" si="85"/>
        <v>0</v>
      </c>
      <c r="T87" s="245">
        <f t="shared" si="85"/>
        <v>0</v>
      </c>
      <c r="U87" s="245">
        <f t="shared" si="85"/>
        <v>0</v>
      </c>
      <c r="V87" s="245">
        <f t="shared" si="85"/>
        <v>0</v>
      </c>
      <c r="W87" s="245">
        <f t="shared" si="85"/>
        <v>0</v>
      </c>
      <c r="X87" s="245">
        <f t="shared" si="71"/>
        <v>0</v>
      </c>
      <c r="Y87" s="246">
        <f t="shared" si="72"/>
        <v>0</v>
      </c>
    </row>
    <row r="88" spans="15:25" ht="26.25" customHeight="1" x14ac:dyDescent="0.25">
      <c r="O88" s="209" t="s">
        <v>205</v>
      </c>
      <c r="P88" s="196">
        <v>200304</v>
      </c>
      <c r="Q88" s="218" t="s">
        <v>123</v>
      </c>
      <c r="R88" s="245">
        <f t="shared" ref="R88:W88" si="86">SUM(S356:S358)</f>
        <v>0</v>
      </c>
      <c r="S88" s="245">
        <f t="shared" si="86"/>
        <v>0</v>
      </c>
      <c r="T88" s="245">
        <f t="shared" si="86"/>
        <v>0</v>
      </c>
      <c r="U88" s="245">
        <f t="shared" si="86"/>
        <v>0</v>
      </c>
      <c r="V88" s="245">
        <f t="shared" si="86"/>
        <v>0</v>
      </c>
      <c r="W88" s="245">
        <f t="shared" si="86"/>
        <v>0</v>
      </c>
      <c r="X88" s="245">
        <f t="shared" si="71"/>
        <v>0</v>
      </c>
      <c r="Y88" s="246">
        <f t="shared" si="72"/>
        <v>0</v>
      </c>
    </row>
    <row r="89" spans="15:25" ht="26.25" customHeight="1" x14ac:dyDescent="0.25">
      <c r="O89" s="209" t="s">
        <v>653</v>
      </c>
      <c r="P89" s="196">
        <v>161002</v>
      </c>
      <c r="Q89" s="218" t="s">
        <v>123</v>
      </c>
      <c r="R89" s="245">
        <f t="shared" ref="R89:W89" si="87">SUM(S359:S361)</f>
        <v>0</v>
      </c>
      <c r="S89" s="245">
        <f t="shared" si="87"/>
        <v>0</v>
      </c>
      <c r="T89" s="245">
        <f t="shared" si="87"/>
        <v>0</v>
      </c>
      <c r="U89" s="245">
        <f t="shared" si="87"/>
        <v>0</v>
      </c>
      <c r="V89" s="245">
        <f t="shared" si="87"/>
        <v>0</v>
      </c>
      <c r="W89" s="245">
        <f t="shared" si="87"/>
        <v>0</v>
      </c>
      <c r="X89" s="245">
        <f t="shared" si="71"/>
        <v>0</v>
      </c>
      <c r="Y89" s="246">
        <f t="shared" si="72"/>
        <v>0</v>
      </c>
    </row>
    <row r="90" spans="15:25" ht="26.25" customHeight="1" x14ac:dyDescent="0.25">
      <c r="O90" s="209" t="s">
        <v>207</v>
      </c>
      <c r="P90" s="196">
        <v>200301</v>
      </c>
      <c r="Q90" s="218" t="s">
        <v>123</v>
      </c>
      <c r="R90" s="245">
        <f t="shared" ref="R90:W90" si="88">SUM(S362:S364)</f>
        <v>0</v>
      </c>
      <c r="S90" s="245">
        <f t="shared" si="88"/>
        <v>0</v>
      </c>
      <c r="T90" s="245">
        <f t="shared" si="88"/>
        <v>0</v>
      </c>
      <c r="U90" s="245">
        <f t="shared" si="88"/>
        <v>0</v>
      </c>
      <c r="V90" s="245">
        <f t="shared" si="88"/>
        <v>0</v>
      </c>
      <c r="W90" s="245">
        <f t="shared" si="88"/>
        <v>0</v>
      </c>
      <c r="X90" s="245">
        <f>R90+S90+T90+U90+W90</f>
        <v>0</v>
      </c>
      <c r="Y90" s="246">
        <f>S90+U90+W90</f>
        <v>0</v>
      </c>
    </row>
    <row r="91" spans="15:25" ht="26.25" customHeight="1" x14ac:dyDescent="0.25">
      <c r="O91" s="209" t="s">
        <v>208</v>
      </c>
      <c r="P91" s="196">
        <v>170503</v>
      </c>
      <c r="Q91" s="218" t="s">
        <v>126</v>
      </c>
      <c r="R91" s="245">
        <f t="shared" ref="R91:W91" si="89">SUM(S365:S367)</f>
        <v>0</v>
      </c>
      <c r="S91" s="245">
        <f t="shared" si="89"/>
        <v>0</v>
      </c>
      <c r="T91" s="245">
        <f t="shared" si="89"/>
        <v>0</v>
      </c>
      <c r="U91" s="245">
        <f t="shared" si="89"/>
        <v>0</v>
      </c>
      <c r="V91" s="245">
        <f t="shared" si="89"/>
        <v>0</v>
      </c>
      <c r="W91" s="245">
        <f t="shared" si="89"/>
        <v>0</v>
      </c>
      <c r="X91" s="245">
        <f t="shared" si="71"/>
        <v>0</v>
      </c>
      <c r="Y91" s="246">
        <f t="shared" si="72"/>
        <v>0</v>
      </c>
    </row>
    <row r="92" spans="15:25" ht="26.25" customHeight="1" x14ac:dyDescent="0.25">
      <c r="O92" s="209" t="s">
        <v>239</v>
      </c>
      <c r="P92" s="196">
        <v>170504</v>
      </c>
      <c r="Q92" s="218" t="s">
        <v>141</v>
      </c>
      <c r="R92" s="245">
        <f t="shared" ref="R92:W92" si="90">SUM(S368:S370)</f>
        <v>0</v>
      </c>
      <c r="S92" s="245">
        <f t="shared" si="90"/>
        <v>0</v>
      </c>
      <c r="T92" s="245">
        <f t="shared" si="90"/>
        <v>0</v>
      </c>
      <c r="U92" s="245">
        <f t="shared" si="90"/>
        <v>0</v>
      </c>
      <c r="V92" s="245">
        <f t="shared" si="90"/>
        <v>0</v>
      </c>
      <c r="W92" s="245">
        <f t="shared" si="90"/>
        <v>0</v>
      </c>
      <c r="X92" s="245">
        <f t="shared" si="71"/>
        <v>0</v>
      </c>
      <c r="Y92" s="246">
        <f t="shared" si="72"/>
        <v>0</v>
      </c>
    </row>
    <row r="93" spans="15:25" ht="26.25" customHeight="1" x14ac:dyDescent="0.25">
      <c r="O93" s="209" t="s">
        <v>210</v>
      </c>
      <c r="P93" s="196">
        <v>150202</v>
      </c>
      <c r="Q93" s="218" t="s">
        <v>126</v>
      </c>
      <c r="R93" s="245">
        <f t="shared" ref="R93:W93" si="91">SUM(S371:S373)</f>
        <v>0</v>
      </c>
      <c r="S93" s="245">
        <f t="shared" si="91"/>
        <v>0</v>
      </c>
      <c r="T93" s="245">
        <f t="shared" si="91"/>
        <v>0</v>
      </c>
      <c r="U93" s="245">
        <f t="shared" si="91"/>
        <v>0</v>
      </c>
      <c r="V93" s="245">
        <f t="shared" si="91"/>
        <v>0</v>
      </c>
      <c r="W93" s="245">
        <f t="shared" si="91"/>
        <v>0</v>
      </c>
      <c r="X93" s="245">
        <f t="shared" si="71"/>
        <v>0</v>
      </c>
      <c r="Y93" s="246">
        <f t="shared" si="72"/>
        <v>0</v>
      </c>
    </row>
    <row r="94" spans="15:25" ht="26.25" customHeight="1" x14ac:dyDescent="0.25">
      <c r="O94" s="209" t="s">
        <v>211</v>
      </c>
      <c r="P94" s="196">
        <v>170103</v>
      </c>
      <c r="Q94" s="218" t="s">
        <v>141</v>
      </c>
      <c r="R94" s="245">
        <f t="shared" ref="R94:W94" si="92">SUM(S374:S376)</f>
        <v>0</v>
      </c>
      <c r="S94" s="245">
        <f t="shared" si="92"/>
        <v>0</v>
      </c>
      <c r="T94" s="245">
        <f t="shared" si="92"/>
        <v>0</v>
      </c>
      <c r="U94" s="245">
        <f t="shared" si="92"/>
        <v>0</v>
      </c>
      <c r="V94" s="245">
        <f t="shared" si="92"/>
        <v>0</v>
      </c>
      <c r="W94" s="245">
        <f t="shared" si="92"/>
        <v>0</v>
      </c>
      <c r="X94" s="245">
        <f t="shared" si="71"/>
        <v>0</v>
      </c>
      <c r="Y94" s="246">
        <f t="shared" si="72"/>
        <v>0</v>
      </c>
    </row>
    <row r="95" spans="15:25" ht="26.25" customHeight="1" x14ac:dyDescent="0.25">
      <c r="O95" s="209" t="s">
        <v>212</v>
      </c>
      <c r="P95" s="196">
        <v>170508</v>
      </c>
      <c r="Q95" s="218" t="s">
        <v>141</v>
      </c>
      <c r="R95" s="245">
        <f t="shared" ref="R95:W95" si="93">SUM(S377:S379)</f>
        <v>0</v>
      </c>
      <c r="S95" s="245">
        <f t="shared" si="93"/>
        <v>0</v>
      </c>
      <c r="T95" s="245">
        <f t="shared" si="93"/>
        <v>0</v>
      </c>
      <c r="U95" s="245">
        <f t="shared" si="93"/>
        <v>0</v>
      </c>
      <c r="V95" s="245">
        <f t="shared" si="93"/>
        <v>0</v>
      </c>
      <c r="W95" s="245">
        <f t="shared" si="93"/>
        <v>0</v>
      </c>
      <c r="X95" s="245">
        <f t="shared" si="71"/>
        <v>0</v>
      </c>
      <c r="Y95" s="246">
        <f t="shared" si="72"/>
        <v>0</v>
      </c>
    </row>
    <row r="96" spans="15:25" ht="26.25" customHeight="1" x14ac:dyDescent="0.25">
      <c r="O96" s="209" t="s">
        <v>213</v>
      </c>
      <c r="P96" s="196">
        <v>170507</v>
      </c>
      <c r="Q96" s="218" t="s">
        <v>126</v>
      </c>
      <c r="R96" s="245">
        <f t="shared" ref="R96:W96" si="94">SUM(S380:S382)</f>
        <v>0</v>
      </c>
      <c r="S96" s="245">
        <f t="shared" si="94"/>
        <v>0</v>
      </c>
      <c r="T96" s="245">
        <f t="shared" si="94"/>
        <v>0</v>
      </c>
      <c r="U96" s="245">
        <f t="shared" si="94"/>
        <v>0</v>
      </c>
      <c r="V96" s="245">
        <f t="shared" si="94"/>
        <v>0</v>
      </c>
      <c r="W96" s="245">
        <f t="shared" si="94"/>
        <v>0</v>
      </c>
      <c r="X96" s="245">
        <f t="shared" si="71"/>
        <v>0</v>
      </c>
      <c r="Y96" s="246">
        <f t="shared" si="72"/>
        <v>0</v>
      </c>
    </row>
    <row r="97" spans="15:25" ht="26.25" customHeight="1" x14ac:dyDescent="0.25">
      <c r="O97" s="209" t="s">
        <v>214</v>
      </c>
      <c r="P97" s="205">
        <v>160103</v>
      </c>
      <c r="Q97" s="218" t="s">
        <v>123</v>
      </c>
      <c r="R97" s="245">
        <f t="shared" ref="R97:W97" si="95">SUM(S383:S385)</f>
        <v>0</v>
      </c>
      <c r="S97" s="245">
        <f t="shared" si="95"/>
        <v>0</v>
      </c>
      <c r="T97" s="245">
        <f t="shared" si="95"/>
        <v>0</v>
      </c>
      <c r="U97" s="245">
        <f t="shared" si="95"/>
        <v>0</v>
      </c>
      <c r="V97" s="245">
        <f t="shared" si="95"/>
        <v>0</v>
      </c>
      <c r="W97" s="245">
        <f t="shared" si="95"/>
        <v>0</v>
      </c>
      <c r="X97" s="245">
        <f t="shared" si="71"/>
        <v>0</v>
      </c>
      <c r="Y97" s="246">
        <f t="shared" si="72"/>
        <v>0</v>
      </c>
    </row>
    <row r="98" spans="15:25" ht="26.25" customHeight="1" x14ac:dyDescent="0.25">
      <c r="O98" s="209" t="s">
        <v>215</v>
      </c>
      <c r="P98" s="196">
        <v>200201</v>
      </c>
      <c r="Q98" s="218" t="s">
        <v>123</v>
      </c>
      <c r="R98" s="245">
        <f t="shared" ref="R98:W98" si="96">SUM(S386:S388)</f>
        <v>0</v>
      </c>
      <c r="S98" s="245">
        <f t="shared" si="96"/>
        <v>0</v>
      </c>
      <c r="T98" s="245">
        <f t="shared" si="96"/>
        <v>0</v>
      </c>
      <c r="U98" s="245">
        <f t="shared" si="96"/>
        <v>0</v>
      </c>
      <c r="V98" s="245">
        <f t="shared" si="96"/>
        <v>0</v>
      </c>
      <c r="W98" s="245">
        <f t="shared" si="96"/>
        <v>0</v>
      </c>
      <c r="X98" s="245">
        <f t="shared" si="71"/>
        <v>0</v>
      </c>
      <c r="Y98" s="246">
        <f t="shared" si="72"/>
        <v>0</v>
      </c>
    </row>
    <row r="99" spans="15:25" ht="26.25" customHeight="1" x14ac:dyDescent="0.25">
      <c r="O99" s="209" t="s">
        <v>73</v>
      </c>
      <c r="P99" s="196">
        <v>170201</v>
      </c>
      <c r="Q99" s="218" t="s">
        <v>123</v>
      </c>
      <c r="R99" s="245">
        <f t="shared" ref="R99:W99" si="97">SUM(S389:S391)</f>
        <v>0</v>
      </c>
      <c r="S99" s="245">
        <f t="shared" si="97"/>
        <v>0</v>
      </c>
      <c r="T99" s="245">
        <f t="shared" si="97"/>
        <v>0</v>
      </c>
      <c r="U99" s="245">
        <f t="shared" si="97"/>
        <v>0</v>
      </c>
      <c r="V99" s="245">
        <f t="shared" si="97"/>
        <v>0</v>
      </c>
      <c r="W99" s="245">
        <f t="shared" si="97"/>
        <v>0</v>
      </c>
      <c r="X99" s="245">
        <f t="shared" si="71"/>
        <v>0</v>
      </c>
      <c r="Y99" s="246">
        <f t="shared" si="72"/>
        <v>0</v>
      </c>
    </row>
    <row r="100" spans="15:25" ht="26.25" customHeight="1" x14ac:dyDescent="0.25">
      <c r="O100" s="209" t="s">
        <v>216</v>
      </c>
      <c r="P100" s="196">
        <v>190801</v>
      </c>
      <c r="Q100" s="218" t="s">
        <v>123</v>
      </c>
      <c r="R100" s="245">
        <f t="shared" ref="R100:W100" si="98">SUM(S392:S394)</f>
        <v>0</v>
      </c>
      <c r="S100" s="245">
        <f t="shared" si="98"/>
        <v>0</v>
      </c>
      <c r="T100" s="245">
        <f t="shared" si="98"/>
        <v>0</v>
      </c>
      <c r="U100" s="245">
        <f t="shared" si="98"/>
        <v>0</v>
      </c>
      <c r="V100" s="245">
        <f t="shared" si="98"/>
        <v>0</v>
      </c>
      <c r="W100" s="245">
        <f t="shared" si="98"/>
        <v>0</v>
      </c>
      <c r="X100" s="245">
        <f t="shared" si="71"/>
        <v>0</v>
      </c>
      <c r="Y100" s="246">
        <f t="shared" si="72"/>
        <v>0</v>
      </c>
    </row>
    <row r="101" spans="15:25" ht="26.25" customHeight="1" x14ac:dyDescent="0.25">
      <c r="O101" s="209" t="s">
        <v>217</v>
      </c>
      <c r="P101" s="196">
        <v>190802</v>
      </c>
      <c r="Q101" s="218" t="s">
        <v>123</v>
      </c>
      <c r="R101" s="245">
        <f t="shared" ref="R101:W101" si="99">SUM(S395:S397)</f>
        <v>0</v>
      </c>
      <c r="S101" s="245">
        <f t="shared" si="99"/>
        <v>0</v>
      </c>
      <c r="T101" s="245">
        <f t="shared" si="99"/>
        <v>0</v>
      </c>
      <c r="U101" s="245">
        <f t="shared" si="99"/>
        <v>0</v>
      </c>
      <c r="V101" s="245">
        <f t="shared" si="99"/>
        <v>0</v>
      </c>
      <c r="W101" s="245">
        <f t="shared" si="99"/>
        <v>0</v>
      </c>
      <c r="X101" s="245">
        <f t="shared" si="71"/>
        <v>0</v>
      </c>
      <c r="Y101" s="246">
        <f t="shared" si="72"/>
        <v>0</v>
      </c>
    </row>
    <row r="102" spans="15:25" ht="26.25" customHeight="1" x14ac:dyDescent="0.25">
      <c r="O102" s="209" t="s">
        <v>218</v>
      </c>
      <c r="P102" s="196">
        <v>190805</v>
      </c>
      <c r="Q102" s="218" t="s">
        <v>123</v>
      </c>
      <c r="R102" s="245">
        <f t="shared" ref="R102:W102" si="100">SUM(S398:S400)</f>
        <v>0</v>
      </c>
      <c r="S102" s="245">
        <f t="shared" si="100"/>
        <v>0</v>
      </c>
      <c r="T102" s="245">
        <f t="shared" si="100"/>
        <v>0</v>
      </c>
      <c r="U102" s="245">
        <f t="shared" si="100"/>
        <v>0</v>
      </c>
      <c r="V102" s="245">
        <f t="shared" si="100"/>
        <v>0</v>
      </c>
      <c r="W102" s="245">
        <f t="shared" si="100"/>
        <v>0</v>
      </c>
      <c r="X102" s="245">
        <f t="shared" si="71"/>
        <v>0</v>
      </c>
      <c r="Y102" s="246">
        <f t="shared" si="72"/>
        <v>0</v>
      </c>
    </row>
    <row r="103" spans="15:25" ht="26.25" customHeight="1" x14ac:dyDescent="0.25">
      <c r="O103" s="209" t="s">
        <v>219</v>
      </c>
      <c r="P103" s="196">
        <v>190904</v>
      </c>
      <c r="Q103" s="218" t="s">
        <v>123</v>
      </c>
      <c r="R103" s="245">
        <f t="shared" ref="R103:W103" si="101">SUM(S401:S403)</f>
        <v>0</v>
      </c>
      <c r="S103" s="245">
        <f t="shared" si="101"/>
        <v>0</v>
      </c>
      <c r="T103" s="245">
        <f t="shared" si="101"/>
        <v>0</v>
      </c>
      <c r="U103" s="245">
        <f t="shared" si="101"/>
        <v>0</v>
      </c>
      <c r="V103" s="245">
        <f t="shared" si="101"/>
        <v>0</v>
      </c>
      <c r="W103" s="245">
        <f t="shared" si="101"/>
        <v>0</v>
      </c>
      <c r="X103" s="245">
        <f t="shared" si="71"/>
        <v>0</v>
      </c>
      <c r="Y103" s="246">
        <f t="shared" si="72"/>
        <v>0</v>
      </c>
    </row>
    <row r="104" spans="15:25" ht="26.25" customHeight="1" x14ac:dyDescent="0.25">
      <c r="O104" s="209" t="s">
        <v>220</v>
      </c>
      <c r="P104" s="196">
        <v>190901</v>
      </c>
      <c r="Q104" s="218" t="s">
        <v>123</v>
      </c>
      <c r="R104" s="245">
        <f t="shared" ref="R104:W104" si="102">SUM(S404:S406)</f>
        <v>0</v>
      </c>
      <c r="S104" s="245">
        <f t="shared" si="102"/>
        <v>0</v>
      </c>
      <c r="T104" s="245">
        <f t="shared" si="102"/>
        <v>0</v>
      </c>
      <c r="U104" s="245">
        <f t="shared" si="102"/>
        <v>0</v>
      </c>
      <c r="V104" s="245">
        <f t="shared" si="102"/>
        <v>0</v>
      </c>
      <c r="W104" s="245">
        <f t="shared" si="102"/>
        <v>0</v>
      </c>
      <c r="X104" s="245">
        <f t="shared" si="71"/>
        <v>0</v>
      </c>
      <c r="Y104" s="246">
        <f t="shared" si="72"/>
        <v>0</v>
      </c>
    </row>
    <row r="105" spans="15:25" ht="26.25" customHeight="1" x14ac:dyDescent="0.25">
      <c r="O105" s="209" t="s">
        <v>221</v>
      </c>
      <c r="P105" s="196">
        <v>200203</v>
      </c>
      <c r="Q105" s="218" t="s">
        <v>123</v>
      </c>
      <c r="R105" s="245">
        <f t="shared" ref="R105:W105" si="103">SUM(S407:S409)</f>
        <v>0</v>
      </c>
      <c r="S105" s="245">
        <f t="shared" si="103"/>
        <v>0</v>
      </c>
      <c r="T105" s="245">
        <f t="shared" si="103"/>
        <v>0</v>
      </c>
      <c r="U105" s="245">
        <f t="shared" si="103"/>
        <v>0</v>
      </c>
      <c r="V105" s="245">
        <f t="shared" si="103"/>
        <v>0</v>
      </c>
      <c r="W105" s="245">
        <f t="shared" si="103"/>
        <v>0</v>
      </c>
      <c r="X105" s="245">
        <f t="shared" si="71"/>
        <v>0</v>
      </c>
      <c r="Y105" s="246">
        <f t="shared" si="72"/>
        <v>0</v>
      </c>
    </row>
    <row r="106" spans="15:25" ht="26.25" customHeight="1" x14ac:dyDescent="0.25">
      <c r="O106" s="209" t="s">
        <v>222</v>
      </c>
      <c r="P106" s="196">
        <v>170504</v>
      </c>
      <c r="Q106" s="218" t="s">
        <v>123</v>
      </c>
      <c r="R106" s="245">
        <f t="shared" ref="R106:W106" si="104">SUM(S410:S412)</f>
        <v>0</v>
      </c>
      <c r="S106" s="245">
        <f t="shared" si="104"/>
        <v>0</v>
      </c>
      <c r="T106" s="245">
        <f t="shared" si="104"/>
        <v>0</v>
      </c>
      <c r="U106" s="245">
        <f t="shared" si="104"/>
        <v>0</v>
      </c>
      <c r="V106" s="245">
        <f t="shared" si="104"/>
        <v>0</v>
      </c>
      <c r="W106" s="245">
        <f t="shared" si="104"/>
        <v>0</v>
      </c>
      <c r="X106" s="245">
        <f t="shared" si="71"/>
        <v>0</v>
      </c>
      <c r="Y106" s="246">
        <f t="shared" si="72"/>
        <v>0</v>
      </c>
    </row>
    <row r="107" spans="15:25" ht="26.25" customHeight="1" x14ac:dyDescent="0.25">
      <c r="O107" s="491" t="s">
        <v>223</v>
      </c>
      <c r="P107" s="217">
        <v>200306</v>
      </c>
      <c r="Q107" s="51" t="s">
        <v>123</v>
      </c>
      <c r="R107" s="245">
        <f t="shared" ref="R107:W107" si="105">SUM(S413:S415)</f>
        <v>0</v>
      </c>
      <c r="S107" s="245">
        <f t="shared" si="105"/>
        <v>0</v>
      </c>
      <c r="T107" s="245">
        <f t="shared" si="105"/>
        <v>0</v>
      </c>
      <c r="U107" s="245">
        <f t="shared" si="105"/>
        <v>0</v>
      </c>
      <c r="V107" s="245">
        <f t="shared" si="105"/>
        <v>0</v>
      </c>
      <c r="W107" s="245">
        <f t="shared" si="105"/>
        <v>0</v>
      </c>
      <c r="X107" s="245">
        <f t="shared" si="71"/>
        <v>0</v>
      </c>
      <c r="Y107" s="246">
        <f t="shared" si="72"/>
        <v>0</v>
      </c>
    </row>
    <row r="108" spans="15:25" ht="26.25" customHeight="1" x14ac:dyDescent="0.25">
      <c r="O108" s="491" t="s">
        <v>224</v>
      </c>
      <c r="P108" s="217">
        <v>60102</v>
      </c>
      <c r="Q108" s="51" t="s">
        <v>126</v>
      </c>
      <c r="R108" s="245">
        <f t="shared" ref="R108:W108" si="106">SUM(S416:S418)</f>
        <v>0</v>
      </c>
      <c r="S108" s="245">
        <f t="shared" si="106"/>
        <v>0</v>
      </c>
      <c r="T108" s="245">
        <f t="shared" si="106"/>
        <v>0</v>
      </c>
      <c r="U108" s="245">
        <f t="shared" si="106"/>
        <v>0</v>
      </c>
      <c r="V108" s="245">
        <f t="shared" si="106"/>
        <v>0</v>
      </c>
      <c r="W108" s="245">
        <f t="shared" si="106"/>
        <v>0</v>
      </c>
      <c r="X108" s="245">
        <f t="shared" si="71"/>
        <v>0</v>
      </c>
      <c r="Y108" s="246">
        <f t="shared" si="72"/>
        <v>0</v>
      </c>
    </row>
    <row r="109" spans="15:25" ht="26.25" customHeight="1" x14ac:dyDescent="0.25">
      <c r="O109" s="491" t="s">
        <v>225</v>
      </c>
      <c r="P109" s="217">
        <v>60106</v>
      </c>
      <c r="Q109" s="51" t="s">
        <v>126</v>
      </c>
      <c r="R109" s="245">
        <f t="shared" ref="R109:W109" si="107">SUM(S419:S421)</f>
        <v>0</v>
      </c>
      <c r="S109" s="245">
        <f t="shared" si="107"/>
        <v>0</v>
      </c>
      <c r="T109" s="245">
        <f t="shared" si="107"/>
        <v>0</v>
      </c>
      <c r="U109" s="245">
        <f t="shared" si="107"/>
        <v>0</v>
      </c>
      <c r="V109" s="245">
        <f t="shared" si="107"/>
        <v>0</v>
      </c>
      <c r="W109" s="245">
        <f t="shared" si="107"/>
        <v>0</v>
      </c>
      <c r="X109" s="245">
        <f t="shared" si="71"/>
        <v>0</v>
      </c>
      <c r="Y109" s="246">
        <f t="shared" si="72"/>
        <v>0</v>
      </c>
    </row>
    <row r="110" spans="15:25" ht="26.25" customHeight="1" x14ac:dyDescent="0.25">
      <c r="O110" s="491" t="s">
        <v>226</v>
      </c>
      <c r="P110" s="217">
        <v>60101</v>
      </c>
      <c r="Q110" s="51" t="s">
        <v>126</v>
      </c>
      <c r="R110" s="245">
        <f t="shared" ref="R110:W110" si="108">SUM(S422:S424)</f>
        <v>0</v>
      </c>
      <c r="S110" s="245">
        <f t="shared" si="108"/>
        <v>0</v>
      </c>
      <c r="T110" s="245">
        <f t="shared" si="108"/>
        <v>0</v>
      </c>
      <c r="U110" s="245">
        <f t="shared" si="108"/>
        <v>0</v>
      </c>
      <c r="V110" s="245">
        <f t="shared" si="108"/>
        <v>0</v>
      </c>
      <c r="W110" s="245">
        <f t="shared" si="108"/>
        <v>0</v>
      </c>
      <c r="X110" s="245">
        <f t="shared" si="71"/>
        <v>0</v>
      </c>
      <c r="Y110" s="246">
        <f t="shared" si="72"/>
        <v>0</v>
      </c>
    </row>
    <row r="111" spans="15:25" ht="26.25" customHeight="1" x14ac:dyDescent="0.25">
      <c r="O111" s="491" t="s">
        <v>227</v>
      </c>
      <c r="P111" s="217">
        <v>60201</v>
      </c>
      <c r="Q111" s="51" t="s">
        <v>126</v>
      </c>
      <c r="R111" s="245">
        <f t="shared" ref="R111:W111" si="109">SUM(S425:S427)</f>
        <v>0</v>
      </c>
      <c r="S111" s="245">
        <f t="shared" si="109"/>
        <v>0</v>
      </c>
      <c r="T111" s="245">
        <f t="shared" si="109"/>
        <v>0</v>
      </c>
      <c r="U111" s="245">
        <f t="shared" si="109"/>
        <v>0</v>
      </c>
      <c r="V111" s="245">
        <f t="shared" si="109"/>
        <v>0</v>
      </c>
      <c r="W111" s="245">
        <f t="shared" si="109"/>
        <v>0</v>
      </c>
      <c r="X111" s="245">
        <f t="shared" si="71"/>
        <v>0</v>
      </c>
      <c r="Y111" s="246">
        <f t="shared" si="72"/>
        <v>0</v>
      </c>
    </row>
    <row r="112" spans="15:25" ht="26.25" customHeight="1" x14ac:dyDescent="0.25">
      <c r="O112" s="209" t="s">
        <v>228</v>
      </c>
      <c r="P112" s="196">
        <v>60205</v>
      </c>
      <c r="Q112" s="218" t="s">
        <v>126</v>
      </c>
      <c r="R112" s="245">
        <f t="shared" ref="R112:W112" si="110">SUM(S428:S430)</f>
        <v>0</v>
      </c>
      <c r="S112" s="245">
        <f t="shared" si="110"/>
        <v>0</v>
      </c>
      <c r="T112" s="245">
        <f t="shared" si="110"/>
        <v>0</v>
      </c>
      <c r="U112" s="245">
        <f t="shared" si="110"/>
        <v>0</v>
      </c>
      <c r="V112" s="245">
        <f t="shared" si="110"/>
        <v>0</v>
      </c>
      <c r="W112" s="245">
        <f t="shared" si="110"/>
        <v>0</v>
      </c>
      <c r="X112" s="245">
        <f t="shared" si="71"/>
        <v>0</v>
      </c>
      <c r="Y112" s="246">
        <f t="shared" si="72"/>
        <v>0</v>
      </c>
    </row>
    <row r="113" spans="15:26" ht="26.25" customHeight="1" x14ac:dyDescent="0.25">
      <c r="O113" s="209" t="s">
        <v>229</v>
      </c>
      <c r="P113" s="196">
        <v>200111</v>
      </c>
      <c r="Q113" s="218" t="s">
        <v>123</v>
      </c>
      <c r="R113" s="245">
        <f t="shared" ref="R113:W113" si="111">SUM(S431:S433)</f>
        <v>0</v>
      </c>
      <c r="S113" s="245">
        <f t="shared" si="111"/>
        <v>0</v>
      </c>
      <c r="T113" s="245">
        <f t="shared" si="111"/>
        <v>0</v>
      </c>
      <c r="U113" s="245">
        <f t="shared" si="111"/>
        <v>0</v>
      </c>
      <c r="V113" s="245">
        <f t="shared" si="111"/>
        <v>0</v>
      </c>
      <c r="W113" s="245">
        <f t="shared" si="111"/>
        <v>0</v>
      </c>
      <c r="X113" s="245">
        <f t="shared" si="71"/>
        <v>0</v>
      </c>
      <c r="Y113" s="246">
        <f t="shared" si="72"/>
        <v>0</v>
      </c>
      <c r="Z113" s="48"/>
    </row>
    <row r="114" spans="15:26" ht="26.25" customHeight="1" x14ac:dyDescent="0.25">
      <c r="O114" s="492" t="s">
        <v>428</v>
      </c>
      <c r="P114" s="493">
        <v>150110</v>
      </c>
      <c r="Q114" s="494" t="s">
        <v>126</v>
      </c>
      <c r="R114" s="245">
        <f t="shared" ref="R114:W114" si="112">SUM(S434:S436)</f>
        <v>0</v>
      </c>
      <c r="S114" s="245">
        <f t="shared" si="112"/>
        <v>0</v>
      </c>
      <c r="T114" s="245">
        <f t="shared" si="112"/>
        <v>0</v>
      </c>
      <c r="U114" s="245">
        <f t="shared" si="112"/>
        <v>0</v>
      </c>
      <c r="V114" s="245">
        <f t="shared" si="112"/>
        <v>0</v>
      </c>
      <c r="W114" s="245">
        <f t="shared" si="112"/>
        <v>0</v>
      </c>
      <c r="X114" s="245">
        <f t="shared" si="71"/>
        <v>0</v>
      </c>
      <c r="Y114" s="246">
        <f t="shared" si="72"/>
        <v>0</v>
      </c>
      <c r="Z114" s="48"/>
    </row>
    <row r="115" spans="15:26" ht="26.25" customHeight="1" thickBot="1" x14ac:dyDescent="0.3">
      <c r="O115" s="495" t="s">
        <v>120</v>
      </c>
      <c r="P115" s="496">
        <v>150106</v>
      </c>
      <c r="Q115" s="497" t="s">
        <v>123</v>
      </c>
      <c r="R115" s="245">
        <f t="shared" ref="R115:W115" si="113">SUM(S437:S439)</f>
        <v>0</v>
      </c>
      <c r="S115" s="245">
        <f t="shared" si="113"/>
        <v>0</v>
      </c>
      <c r="T115" s="245">
        <f t="shared" si="113"/>
        <v>0</v>
      </c>
      <c r="U115" s="245">
        <f t="shared" si="113"/>
        <v>0</v>
      </c>
      <c r="V115" s="245">
        <f t="shared" si="113"/>
        <v>0</v>
      </c>
      <c r="W115" s="245">
        <f t="shared" si="113"/>
        <v>0</v>
      </c>
      <c r="X115" s="245">
        <f>R115+S115+T115+U115+W115</f>
        <v>0</v>
      </c>
      <c r="Y115" s="246">
        <f>S115+U115+W115</f>
        <v>0</v>
      </c>
      <c r="Z115" s="48"/>
    </row>
    <row r="116" spans="15:26" ht="26.25" customHeight="1" thickBot="1" x14ac:dyDescent="0.3">
      <c r="O116" s="498" t="s">
        <v>654</v>
      </c>
      <c r="P116" s="499">
        <v>200108</v>
      </c>
      <c r="Q116" s="500" t="s">
        <v>123</v>
      </c>
      <c r="R116" s="245">
        <f>SUM(S440:S442)</f>
        <v>0</v>
      </c>
      <c r="S116" s="245">
        <f t="shared" ref="S116:W116" si="114">SUM(T440:T442)</f>
        <v>0</v>
      </c>
      <c r="T116" s="245">
        <f t="shared" si="114"/>
        <v>0</v>
      </c>
      <c r="U116" s="245">
        <f t="shared" si="114"/>
        <v>0</v>
      </c>
      <c r="V116" s="245">
        <f t="shared" si="114"/>
        <v>0</v>
      </c>
      <c r="W116" s="245">
        <f t="shared" si="114"/>
        <v>0</v>
      </c>
      <c r="X116" s="245">
        <f>R116+S116+T116+U116+W116</f>
        <v>0</v>
      </c>
      <c r="Y116" s="246">
        <f>S116+U116+W116</f>
        <v>0</v>
      </c>
    </row>
    <row r="117" spans="15:26" ht="12.75" customHeight="1" x14ac:dyDescent="0.25">
      <c r="O117" s="48"/>
      <c r="P117" s="48"/>
      <c r="Q117" s="48"/>
      <c r="R117" s="48"/>
      <c r="S117" s="48"/>
      <c r="T117" s="48"/>
      <c r="U117" s="48"/>
      <c r="V117" s="48"/>
      <c r="W117" s="48"/>
      <c r="X117" s="48"/>
      <c r="Y117" s="48"/>
      <c r="Z117" s="48"/>
    </row>
    <row r="118" spans="15:26" x14ac:dyDescent="0.25">
      <c r="O118" s="48"/>
      <c r="P118" s="48"/>
      <c r="Q118" s="48"/>
      <c r="R118" s="48"/>
      <c r="S118" s="48"/>
      <c r="T118" s="48"/>
      <c r="U118" s="48"/>
      <c r="V118" s="48"/>
      <c r="W118" s="48"/>
      <c r="X118" s="48"/>
      <c r="Y118" s="48"/>
      <c r="Z118" s="48"/>
    </row>
    <row r="119" spans="15:26" x14ac:dyDescent="0.25">
      <c r="O119" s="48"/>
      <c r="P119" s="48"/>
      <c r="Q119" s="48"/>
      <c r="R119" s="48"/>
      <c r="S119" s="48" t="s">
        <v>655</v>
      </c>
      <c r="T119" s="48" t="s">
        <v>656</v>
      </c>
      <c r="U119" s="48" t="s">
        <v>657</v>
      </c>
      <c r="V119" s="48" t="s">
        <v>658</v>
      </c>
      <c r="W119" s="48" t="s">
        <v>659</v>
      </c>
      <c r="X119" s="48" t="s">
        <v>660</v>
      </c>
      <c r="Y119" s="48" t="s">
        <v>661</v>
      </c>
      <c r="Z119" s="48" t="s">
        <v>662</v>
      </c>
    </row>
    <row r="120" spans="15:26" ht="13.8" thickBot="1" x14ac:dyDescent="0.3">
      <c r="O120" s="48"/>
      <c r="P120" s="48"/>
      <c r="Q120" s="48"/>
      <c r="R120" s="48"/>
      <c r="S120" s="48"/>
      <c r="T120" s="48"/>
      <c r="U120" s="48"/>
      <c r="V120" s="48"/>
      <c r="W120" s="48"/>
      <c r="X120" s="48"/>
      <c r="Y120" s="48"/>
      <c r="Z120" s="48"/>
    </row>
    <row r="121" spans="15:26" ht="44.25" customHeight="1" thickBot="1" x14ac:dyDescent="0.3">
      <c r="O121" s="225" t="s">
        <v>104</v>
      </c>
      <c r="P121" s="226" t="s">
        <v>105</v>
      </c>
      <c r="Q121" s="226" t="s">
        <v>106</v>
      </c>
      <c r="R121" s="225" t="s">
        <v>115</v>
      </c>
      <c r="S121" s="227" t="s">
        <v>107</v>
      </c>
      <c r="T121" s="228" t="s">
        <v>108</v>
      </c>
      <c r="U121" s="229" t="s">
        <v>109</v>
      </c>
      <c r="V121" s="228" t="s">
        <v>110</v>
      </c>
      <c r="W121" s="229" t="s">
        <v>111</v>
      </c>
      <c r="X121" s="228" t="s">
        <v>112</v>
      </c>
      <c r="Y121" s="226" t="s">
        <v>233</v>
      </c>
      <c r="Z121" s="226" t="s">
        <v>234</v>
      </c>
    </row>
    <row r="122" spans="15:26" ht="12.75" customHeight="1" x14ac:dyDescent="0.25">
      <c r="O122" s="850" t="s">
        <v>122</v>
      </c>
      <c r="P122" s="853">
        <v>80410</v>
      </c>
      <c r="Q122" s="230" t="s">
        <v>123</v>
      </c>
      <c r="R122" s="231" t="s">
        <v>235</v>
      </c>
      <c r="S122" s="232">
        <f t="array" ref="S122">SUM(IF((D10:D35=80410)*(B10:B35="Demolition"),G10:G35,0))</f>
        <v>0</v>
      </c>
      <c r="T122" s="232">
        <f t="array" ref="T122">SUM(IF((D10:D35=80410)*(B10:B35="Demolition"),H10:H35,0))</f>
        <v>0</v>
      </c>
      <c r="U122" s="232">
        <f t="array" ref="U122">SUM(IF((D10:D35=80410)*(B10:B35="Demolition"),I10:I35,0))</f>
        <v>0</v>
      </c>
      <c r="V122" s="232">
        <f t="array" ref="V122">SUM(IF((D10:D35=80410)*(B10:B35="Demolition"),J10:J35,0))</f>
        <v>0</v>
      </c>
      <c r="W122" s="232">
        <f t="array" ref="W122">SUM(IF((D10:D35=80410)*(B10:B35="Demolition"),K10:K35,0))</f>
        <v>0</v>
      </c>
      <c r="X122" s="232">
        <f t="array" ref="X122">SUM(IF((D10:D35=80410)*(B10:B35="Demolition"),L10:L35,0))</f>
        <v>0</v>
      </c>
      <c r="Y122" s="192">
        <f t="shared" ref="Y122:Y185" si="115">S122+T122+U122+V122+X122</f>
        <v>0</v>
      </c>
      <c r="Z122" s="501">
        <f t="shared" ref="Z122:Z185" si="116">T122+V122+X122</f>
        <v>0</v>
      </c>
    </row>
    <row r="123" spans="15:26" x14ac:dyDescent="0.25">
      <c r="O123" s="851"/>
      <c r="P123" s="868"/>
      <c r="Q123" s="218" t="s">
        <v>123</v>
      </c>
      <c r="R123" s="234" t="s">
        <v>236</v>
      </c>
      <c r="S123" s="191">
        <f t="array" ref="S123">SUM(IF((D10:D35=80410)*(B10:B35="Excavation"),G10:G35,0))</f>
        <v>0</v>
      </c>
      <c r="T123" s="191">
        <f t="array" ref="T123">SUM(IF((D10:D35=80410)*(B10:B35="Excavation"),H10:H35,0))</f>
        <v>0</v>
      </c>
      <c r="U123" s="191">
        <f t="array" ref="U123">SUM(IF((D10:D35=80410)*(B10:B35="Excavation"),I10:I35,0))</f>
        <v>0</v>
      </c>
      <c r="V123" s="191">
        <f t="array" ref="V123">SUM(IF((D10:D35=80410)*(B10:B35="Excavation"),J10:J35,0))</f>
        <v>0</v>
      </c>
      <c r="W123" s="191">
        <f t="array" ref="W123">SUM(IF((D10:D35=80410)*(B10:B35="Excavation"),K10:K35,0))</f>
        <v>0</v>
      </c>
      <c r="X123" s="191">
        <f t="array" ref="X123">SUM(IF((D10:D35=80410)*(B10:B35="Excavation"),L10:L35,0))</f>
        <v>0</v>
      </c>
      <c r="Y123" s="192">
        <f t="shared" si="115"/>
        <v>0</v>
      </c>
      <c r="Z123" s="501">
        <f t="shared" si="116"/>
        <v>0</v>
      </c>
    </row>
    <row r="124" spans="15:26" ht="13.8" thickBot="1" x14ac:dyDescent="0.3">
      <c r="O124" s="866"/>
      <c r="P124" s="869"/>
      <c r="Q124" s="233" t="s">
        <v>123</v>
      </c>
      <c r="R124" s="234" t="s">
        <v>237</v>
      </c>
      <c r="S124" s="191">
        <f t="array" ref="S124">SUM(IF((D10:D35=80410)*(B10:B35="Construction"),G10:G35,0))</f>
        <v>0</v>
      </c>
      <c r="T124" s="191">
        <f t="array" ref="T124">SUM(IF((D10:D35=80410)*(B10:B35="Construction"),H10:H35,0))</f>
        <v>0</v>
      </c>
      <c r="U124" s="191">
        <f t="array" ref="U124">SUM(IF((D10:D35=80410)*(B10:B35="Construction"),I10:I35,0))</f>
        <v>0</v>
      </c>
      <c r="V124" s="191">
        <f t="array" ref="V124">SUM(IF((D10:D35=80410)*(B10:B35="Construction"),J10:J35,0))</f>
        <v>0</v>
      </c>
      <c r="W124" s="191">
        <f t="array" ref="W124">SUM(IF((D10:D35=80410)*(B10:B35="Construction"),K10:K35,0))</f>
        <v>0</v>
      </c>
      <c r="X124" s="191">
        <f t="array" ref="X124">SUM(IF((D10:D35=80410)*(B10:B35="Construction"),L10:L35,0))</f>
        <v>0</v>
      </c>
      <c r="Y124" s="192">
        <f t="shared" si="115"/>
        <v>0</v>
      </c>
      <c r="Z124" s="501">
        <f t="shared" si="116"/>
        <v>0</v>
      </c>
    </row>
    <row r="125" spans="15:26" ht="12.75" customHeight="1" x14ac:dyDescent="0.25">
      <c r="O125" s="865" t="s">
        <v>125</v>
      </c>
      <c r="P125" s="867">
        <v>80409</v>
      </c>
      <c r="Q125" s="235" t="s">
        <v>126</v>
      </c>
      <c r="R125" s="231" t="s">
        <v>235</v>
      </c>
      <c r="S125" s="232">
        <f t="array" ref="S125">SUM(IF((D10:D35=80409)*(B10:B35="Demolition"),G10:G35,0))</f>
        <v>0</v>
      </c>
      <c r="T125" s="232">
        <f t="array" ref="T125">SUM(IF((D10:D35=80409)*(B10:B35="Demolition"),H10:H35,0))</f>
        <v>0</v>
      </c>
      <c r="U125" s="232">
        <f t="array" ref="U125">SUM(IF((D10:D35=80409)*(B10:B35="Demolition"),I10:I35,0))</f>
        <v>0</v>
      </c>
      <c r="V125" s="232">
        <f t="array" ref="V125">SUM(IF((D10:D35=80409)*(B10:B35="Demolition"),J10:J35,0))</f>
        <v>0</v>
      </c>
      <c r="W125" s="232">
        <f t="array" ref="W125">SUM(IF((D10:D35=80409)*(B10:B35="Demolition"),K10:K35,0))</f>
        <v>0</v>
      </c>
      <c r="X125" s="232">
        <f t="array" ref="X125">SUM(IF((D10:D35=80409)*(B10:B35="Demolition"),L10:L35,0))</f>
        <v>0</v>
      </c>
      <c r="Y125" s="192">
        <f t="shared" si="115"/>
        <v>0</v>
      </c>
      <c r="Z125" s="501">
        <f t="shared" si="116"/>
        <v>0</v>
      </c>
    </row>
    <row r="126" spans="15:26" x14ac:dyDescent="0.25">
      <c r="O126" s="851"/>
      <c r="P126" s="868"/>
      <c r="Q126" s="235" t="s">
        <v>126</v>
      </c>
      <c r="R126" s="234" t="s">
        <v>236</v>
      </c>
      <c r="S126" s="191">
        <f t="array" ref="S126">SUM(IF((D10:D35=80409)*(B10:B35="Excavation"),G10:G35,0))</f>
        <v>0</v>
      </c>
      <c r="T126" s="191">
        <f t="array" ref="T126">SUM(IF((D10:D35=80409)*(B10:B35="Excavation"),H10:H35,0))</f>
        <v>0</v>
      </c>
      <c r="U126" s="191">
        <f t="array" ref="U126">SUM(IF((D10:D35=80409)*(B10:B35="Excavation"),I10:I35,0))</f>
        <v>0</v>
      </c>
      <c r="V126" s="191">
        <f t="array" ref="V126">SUM(IF((D10:D35=80409)*(B10:B35="Excavation"),J10:J35,0))</f>
        <v>0</v>
      </c>
      <c r="W126" s="191">
        <f t="array" ref="W126">SUM(IF((D10:D35=80409)*(B10:B35="Excavation"),K10:K35,0))</f>
        <v>0</v>
      </c>
      <c r="X126" s="191">
        <f t="array" ref="X126">SUM(IF((D10:D35=80409)*(B10:B35="Excavation"),L10:L35,0))</f>
        <v>0</v>
      </c>
      <c r="Y126" s="192">
        <f t="shared" si="115"/>
        <v>0</v>
      </c>
      <c r="Z126" s="501">
        <f t="shared" si="116"/>
        <v>0</v>
      </c>
    </row>
    <row r="127" spans="15:26" ht="13.8" thickBot="1" x14ac:dyDescent="0.3">
      <c r="O127" s="866"/>
      <c r="P127" s="869"/>
      <c r="Q127" s="235" t="s">
        <v>126</v>
      </c>
      <c r="R127" s="234" t="s">
        <v>237</v>
      </c>
      <c r="S127" s="191">
        <f t="array" ref="S127">SUM(IF((D10:D35=80409)*(B10:B35="Construction"),G10:G35,0))</f>
        <v>0</v>
      </c>
      <c r="T127" s="191">
        <f t="array" ref="T127">SUM(IF((D10:D35=80409)*(B10:B35="Construction"),H10:H35,0))</f>
        <v>0</v>
      </c>
      <c r="U127" s="191">
        <f t="array" ref="U127">SUM(IF((D10:D35=80409)*(B10:B35="Construction"),I10:I35,0))</f>
        <v>0</v>
      </c>
      <c r="V127" s="191">
        <f t="array" ref="V127">SUM(IF((D10:D35=80409)*(B10:B35="Construction"),J10:J35,0))</f>
        <v>0</v>
      </c>
      <c r="W127" s="191">
        <f t="array" ref="W127">SUM(IF((D10:D35=80409)*(B10:B35="Construction"),K10:K35,0))</f>
        <v>0</v>
      </c>
      <c r="X127" s="191">
        <f t="array" ref="X127">SUM(IF((D10:D35=80409)*(B10:B35="Construction"),L10:L35,0))</f>
        <v>0</v>
      </c>
      <c r="Y127" s="192">
        <f t="shared" si="115"/>
        <v>0</v>
      </c>
      <c r="Z127" s="501">
        <f t="shared" si="116"/>
        <v>0</v>
      </c>
    </row>
    <row r="128" spans="15:26" x14ac:dyDescent="0.25">
      <c r="O128" s="865" t="s">
        <v>128</v>
      </c>
      <c r="P128" s="867">
        <v>80411</v>
      </c>
      <c r="Q128" s="235" t="s">
        <v>126</v>
      </c>
      <c r="R128" s="231" t="s">
        <v>235</v>
      </c>
      <c r="S128" s="232">
        <f t="array" ref="S128">SUM(IF((D10:D35=80411)*(B10:B35="Demolition"),G10:G35,0))</f>
        <v>0</v>
      </c>
      <c r="T128" s="232">
        <f t="array" ref="T128">SUM(IF((D10:D35=80411)*(B10:B35="Demolition"),H10:H35,0))</f>
        <v>0</v>
      </c>
      <c r="U128" s="232">
        <f t="array" ref="U128">SUM(IF((D10:D35=80411)*(B10:B35="Demolition"),I10:I35,0))</f>
        <v>0</v>
      </c>
      <c r="V128" s="232">
        <f t="array" ref="V128">SUM(IF((D10:D35=80411)*(B10:B35="Demolition"),J10:J35,0))</f>
        <v>0</v>
      </c>
      <c r="W128" s="232">
        <f t="array" ref="W128">SUM(IF((D10:D35=80411)*(B10:B35="Demolition"),K10:K35,0))</f>
        <v>0</v>
      </c>
      <c r="X128" s="232">
        <f t="array" ref="X128">SUM(IF((D10:D35=80411)*(B10:B35="Demolition"),L10:L35,0))</f>
        <v>0</v>
      </c>
      <c r="Y128" s="192">
        <f t="shared" si="115"/>
        <v>0</v>
      </c>
      <c r="Z128" s="501">
        <f t="shared" si="116"/>
        <v>0</v>
      </c>
    </row>
    <row r="129" spans="15:26" x14ac:dyDescent="0.25">
      <c r="O129" s="871"/>
      <c r="P129" s="868"/>
      <c r="Q129" s="235" t="s">
        <v>126</v>
      </c>
      <c r="R129" s="234" t="s">
        <v>236</v>
      </c>
      <c r="S129" s="191">
        <f t="array" ref="S129">SUM(IF((D10:D35=80411)*(B10:B35="Excavation"),G10:G35,0))</f>
        <v>0</v>
      </c>
      <c r="T129" s="191">
        <f t="array" ref="T129">SUM(IF((D10:D35=80411)*(B10:B35="Excavation"),H10:H35,0))</f>
        <v>0</v>
      </c>
      <c r="U129" s="191">
        <f t="array" ref="U129">SUM(IF((D10:D35=80411)*(B10:B35="Excavation"),I10:I35,0))</f>
        <v>0</v>
      </c>
      <c r="V129" s="191">
        <f t="array" ref="V129">SUM(IF((D10:D35=80411)*(B10:B35="Excavation"),J10:J35,0))</f>
        <v>0</v>
      </c>
      <c r="W129" s="191">
        <f t="array" ref="W129">SUM(IF((D10:D35=80411)*(B10:B35="Excavation"),K10:K35,0))</f>
        <v>0</v>
      </c>
      <c r="X129" s="191">
        <f t="array" ref="X129">SUM(IF((D10:D35=80411)*(B10:B35="Excavation"),L10:L35,0))</f>
        <v>0</v>
      </c>
      <c r="Y129" s="192">
        <f t="shared" si="115"/>
        <v>0</v>
      </c>
      <c r="Z129" s="501">
        <f t="shared" si="116"/>
        <v>0</v>
      </c>
    </row>
    <row r="130" spans="15:26" ht="13.8" thickBot="1" x14ac:dyDescent="0.3">
      <c r="O130" s="874"/>
      <c r="P130" s="869"/>
      <c r="Q130" s="235" t="s">
        <v>126</v>
      </c>
      <c r="R130" s="234" t="s">
        <v>237</v>
      </c>
      <c r="S130" s="191">
        <f t="array" ref="S130">SUM(IF((D10:D35=80411)*(B10:B35="Construction"),G10:G35,0))</f>
        <v>0</v>
      </c>
      <c r="T130" s="191">
        <f t="array" ref="T130">SUM(IF((D10:D35=80411)*(B10:B35="Construction"),H10:H35,0))</f>
        <v>0</v>
      </c>
      <c r="U130" s="191">
        <f t="array" ref="U130">SUM(IF((D10:D35=80411)*(B10:B35="Construction"),I10:I35,0))</f>
        <v>0</v>
      </c>
      <c r="V130" s="191">
        <f t="array" ref="V130">SUM(IF((D10:D35=80411)*(B10:B35="Construction"),J10:J35,0))</f>
        <v>0</v>
      </c>
      <c r="W130" s="191">
        <f t="array" ref="W130">SUM(IF((D10:D35=80411)*(B10:B35="Construction"),K10:K35,0))</f>
        <v>0</v>
      </c>
      <c r="X130" s="191">
        <f t="array" ref="X130">SUM(IF((D10:D35=80411)*(B10:B35="Construction"),L10:L35,0))</f>
        <v>0</v>
      </c>
      <c r="Y130" s="192">
        <f t="shared" si="115"/>
        <v>0</v>
      </c>
      <c r="Z130" s="501">
        <f t="shared" si="116"/>
        <v>0</v>
      </c>
    </row>
    <row r="131" spans="15:26" x14ac:dyDescent="0.25">
      <c r="O131" s="865" t="s">
        <v>130</v>
      </c>
      <c r="P131" s="867">
        <v>160505</v>
      </c>
      <c r="Q131" s="235" t="s">
        <v>123</v>
      </c>
      <c r="R131" s="231" t="s">
        <v>235</v>
      </c>
      <c r="S131" s="232">
        <f t="array" ref="S131">SUM(IF((D10:D35=160505)*(B10:B35="Demolition"),G10:G35,0))</f>
        <v>0</v>
      </c>
      <c r="T131" s="232">
        <f t="array" ref="T131">SUM(IF((D10:D35=160505)*(B10:B35="Demolition"),H10:H35,0))</f>
        <v>0</v>
      </c>
      <c r="U131" s="232">
        <f t="array" ref="U131">SUM(IF((D10:D35=160505)*(B10:B35="Demolition"),I10:I35,0))</f>
        <v>0</v>
      </c>
      <c r="V131" s="232">
        <f t="array" ref="V131">SUM(IF((D10:D35=160505)*(B10:B35="Demolition"),J10:J35,0))</f>
        <v>0</v>
      </c>
      <c r="W131" s="232">
        <f t="array" ref="W131">SUM(IF((D10:D35=160505)*(B10:B35="Demolition"),K10:K35,0))</f>
        <v>0</v>
      </c>
      <c r="X131" s="232">
        <f t="array" ref="X131">SUM(IF((D10:D35=160505)*(B10:B35="Demolition"),L10:L35,0))</f>
        <v>0</v>
      </c>
      <c r="Y131" s="192">
        <f t="shared" si="115"/>
        <v>0</v>
      </c>
      <c r="Z131" s="501">
        <f t="shared" si="116"/>
        <v>0</v>
      </c>
    </row>
    <row r="132" spans="15:26" x14ac:dyDescent="0.25">
      <c r="O132" s="871"/>
      <c r="P132" s="868"/>
      <c r="Q132" s="235" t="s">
        <v>123</v>
      </c>
      <c r="R132" s="234" t="s">
        <v>236</v>
      </c>
      <c r="S132" s="191">
        <f t="array" ref="S132">SUM(IF((D10:D35=160505)*(B10:B35="Excavation"),G10:G35,0))</f>
        <v>0</v>
      </c>
      <c r="T132" s="191">
        <f t="array" ref="T132">SUM(IF((D10:D35=160505)*(B10:B35="Excavation"),H10:H35,0))</f>
        <v>0</v>
      </c>
      <c r="U132" s="191">
        <f t="array" ref="U132">SUM(IF((D10:D35=160505)*(B10:B35="Excavation"),I10:I35,0))</f>
        <v>0</v>
      </c>
      <c r="V132" s="191">
        <f t="array" ref="V132">SUM(IF((D10:D35=160505)*(B10:B35="Excavation"),J10:J35,0))</f>
        <v>0</v>
      </c>
      <c r="W132" s="191">
        <f t="array" ref="W132">SUM(IF((D10:D35=160505)*(B10:B35="Excavation"),K10:K35,0))</f>
        <v>0</v>
      </c>
      <c r="X132" s="191">
        <f t="array" ref="X132">SUM(IF((D10:D35=160505)*(B10:B35="Excavation"),L10:L35,0))</f>
        <v>0</v>
      </c>
      <c r="Y132" s="192">
        <f t="shared" si="115"/>
        <v>0</v>
      </c>
      <c r="Z132" s="501">
        <f t="shared" si="116"/>
        <v>0</v>
      </c>
    </row>
    <row r="133" spans="15:26" ht="13.8" thickBot="1" x14ac:dyDescent="0.3">
      <c r="O133" s="874"/>
      <c r="P133" s="869"/>
      <c r="Q133" s="235" t="s">
        <v>123</v>
      </c>
      <c r="R133" s="234" t="s">
        <v>237</v>
      </c>
      <c r="S133" s="191">
        <f t="array" ref="S133">SUM(IF((D10:D35=160505)*(B10:B35="Construction"),G10:G35,0))</f>
        <v>0</v>
      </c>
      <c r="T133" s="191">
        <f t="array" ref="T133">SUM(IF((D10:D35=160505)*(B10:B35="Construction"),H10:H35,0))</f>
        <v>0</v>
      </c>
      <c r="U133" s="191">
        <f t="array" ref="U133">SUM(IF((D10:D35=160505)*(B10:B35="Construction"),I10:I35,0))</f>
        <v>0</v>
      </c>
      <c r="V133" s="191">
        <f t="array" ref="V133">SUM(IF((D10:D35=160505)*(B10:B35="Construction"),J10:J35,0))</f>
        <v>0</v>
      </c>
      <c r="W133" s="191">
        <f t="array" ref="W133">SUM(IF((D10:D35=160505)*(B10:B35="Construction"),K10:K35,0))</f>
        <v>0</v>
      </c>
      <c r="X133" s="191">
        <f t="array" ref="X133">SUM(IF((D10:D35=160505)*(B10:B35="Construction"),L10:L35,0))</f>
        <v>0</v>
      </c>
      <c r="Y133" s="192">
        <f t="shared" si="115"/>
        <v>0</v>
      </c>
      <c r="Z133" s="501">
        <f t="shared" si="116"/>
        <v>0</v>
      </c>
    </row>
    <row r="134" spans="15:26" x14ac:dyDescent="0.25">
      <c r="O134" s="865" t="s">
        <v>133</v>
      </c>
      <c r="P134" s="867">
        <v>160504</v>
      </c>
      <c r="Q134" s="235" t="s">
        <v>126</v>
      </c>
      <c r="R134" s="231" t="s">
        <v>235</v>
      </c>
      <c r="S134" s="232">
        <f t="array" ref="S134">SUM(IF((D10:D35=160504)*(B10:B35="Demolition"),G10:G35,0))</f>
        <v>0</v>
      </c>
      <c r="T134" s="232">
        <f t="array" ref="T134">SUM(IF((D10:D35=160504)*(B10:B35="Demolition"),H10:H35,0))</f>
        <v>0</v>
      </c>
      <c r="U134" s="232">
        <f t="array" ref="U134">SUM(IF((D10:D35=160504)*(B10:B35="Demolition"),I10:I35,0))</f>
        <v>0</v>
      </c>
      <c r="V134" s="232">
        <f t="array" ref="V134">SUM(IF((D10:D35=160504)*(B10:B35="Demolition"),J10:J35,0))</f>
        <v>0</v>
      </c>
      <c r="W134" s="232">
        <f t="array" ref="W134">SUM(IF((D10:D35=160504)*(B10:B35="Demolition"),K10:K35,0))</f>
        <v>0</v>
      </c>
      <c r="X134" s="232">
        <f t="array" ref="X134">SUM(IF((D10:D35=160504)*(B10:B35="Demolition"),L10:L35,0))</f>
        <v>0</v>
      </c>
      <c r="Y134" s="192">
        <f t="shared" si="115"/>
        <v>0</v>
      </c>
      <c r="Z134" s="501">
        <f t="shared" si="116"/>
        <v>0</v>
      </c>
    </row>
    <row r="135" spans="15:26" x14ac:dyDescent="0.25">
      <c r="O135" s="871"/>
      <c r="P135" s="868"/>
      <c r="Q135" s="235" t="s">
        <v>126</v>
      </c>
      <c r="R135" s="234" t="s">
        <v>236</v>
      </c>
      <c r="S135" s="191">
        <f t="array" ref="S135">SUM(IF((D10:D35=160504)*(B10:B35="Excavation"),G10:G35,0))</f>
        <v>0</v>
      </c>
      <c r="T135" s="191">
        <f t="array" ref="T135">SUM(IF((D10:D35=160504)*(B10:B35="Excavation"),H10:H35,0))</f>
        <v>0</v>
      </c>
      <c r="U135" s="191">
        <f t="array" ref="U135">SUM(IF((D10:D35=160504)*(B10:B35="Excavation"),I10:I35,0))</f>
        <v>0</v>
      </c>
      <c r="V135" s="191">
        <f t="array" ref="V135">SUM(IF((D10:D35=160504)*(B10:B35="Excavation"),J10:J35,0))</f>
        <v>0</v>
      </c>
      <c r="W135" s="191">
        <f t="array" ref="W135">SUM(IF((D10:D35=160504)*(B10:B35="Excavation"),K10:K35,0))</f>
        <v>0</v>
      </c>
      <c r="X135" s="191">
        <f t="array" ref="X135">SUM(IF((D10:D35=160504)*(B10:B35="Excavation"),L10:L35,0))</f>
        <v>0</v>
      </c>
      <c r="Y135" s="192">
        <f t="shared" si="115"/>
        <v>0</v>
      </c>
      <c r="Z135" s="501">
        <f t="shared" si="116"/>
        <v>0</v>
      </c>
    </row>
    <row r="136" spans="15:26" ht="13.8" thickBot="1" x14ac:dyDescent="0.3">
      <c r="O136" s="874"/>
      <c r="P136" s="869"/>
      <c r="Q136" s="235" t="s">
        <v>126</v>
      </c>
      <c r="R136" s="234" t="s">
        <v>237</v>
      </c>
      <c r="S136" s="191">
        <f t="array" ref="S136">SUM(IF((D10:D35=160504)*(B10:B35="Construction"),G10:G35,0))</f>
        <v>0</v>
      </c>
      <c r="T136" s="191">
        <f t="array" ref="T136">SUM(IF((D10:D35=160504)*(B10:B35="Construction"),H10:H35,0))</f>
        <v>0</v>
      </c>
      <c r="U136" s="191">
        <f t="array" ref="U136">SUM(IF((D10:D35=160504)*(B10:B35="Construction"),I10:I35,0))</f>
        <v>0</v>
      </c>
      <c r="V136" s="191">
        <f t="array" ref="V136">SUM(IF((D10:D35=160504)*(B10:B35="Construction"),J10:J35,0))</f>
        <v>0</v>
      </c>
      <c r="W136" s="191">
        <f t="array" ref="W136">SUM(IF((D10:D35=160504)*(B10:B35="Construction"),K10:K35,0))</f>
        <v>0</v>
      </c>
      <c r="X136" s="191">
        <f t="array" ref="X136">SUM(IF((D10:D35=160504)*(B10:B35="Construction"),L10:L35,0))</f>
        <v>0</v>
      </c>
      <c r="Y136" s="192">
        <f t="shared" si="115"/>
        <v>0</v>
      </c>
      <c r="Z136" s="501">
        <f t="shared" si="116"/>
        <v>0</v>
      </c>
    </row>
    <row r="137" spans="15:26" x14ac:dyDescent="0.25">
      <c r="O137" s="865" t="s">
        <v>134</v>
      </c>
      <c r="P137" s="867">
        <v>160604</v>
      </c>
      <c r="Q137" s="235" t="s">
        <v>123</v>
      </c>
      <c r="R137" s="231" t="s">
        <v>235</v>
      </c>
      <c r="S137" s="232">
        <f t="array" ref="S137">SUM(IF((D10:D35=160604)*(B10:B35="Demolition"),G10:G35,0))</f>
        <v>0</v>
      </c>
      <c r="T137" s="232">
        <f t="array" ref="T137">SUM(IF((D10:D35=160604)*(B10:B35="Demolition"),H10:H35,0))</f>
        <v>0</v>
      </c>
      <c r="U137" s="232">
        <f t="array" ref="U137">SUM(IF((D10:D35=160604)*(B10:B35="Demolition"),I10:I35,0))</f>
        <v>0</v>
      </c>
      <c r="V137" s="232">
        <f t="array" ref="V137">SUM(IF((D10:D35=160604)*(B10:B35="Demolition"),J10:J35,0))</f>
        <v>0</v>
      </c>
      <c r="W137" s="232">
        <f t="array" ref="W137">SUM(IF((D10:D35=160604)*(B10:B35="Demolition"),K10:K35,0))</f>
        <v>0</v>
      </c>
      <c r="X137" s="232">
        <f t="array" ref="X137">SUM(IF((D10:D35=160604)*(B10:B35="Demolition"),L10:L35,0))</f>
        <v>0</v>
      </c>
      <c r="Y137" s="192">
        <f t="shared" si="115"/>
        <v>0</v>
      </c>
      <c r="Z137" s="501">
        <f t="shared" si="116"/>
        <v>0</v>
      </c>
    </row>
    <row r="138" spans="15:26" x14ac:dyDescent="0.25">
      <c r="O138" s="871"/>
      <c r="P138" s="868"/>
      <c r="Q138" s="235" t="s">
        <v>123</v>
      </c>
      <c r="R138" s="234" t="s">
        <v>236</v>
      </c>
      <c r="S138" s="191">
        <f t="array" ref="S138">SUM(IF((D10:D35=160604)*(B10:B35="Excavation"),G10:G35,0))</f>
        <v>0</v>
      </c>
      <c r="T138" s="191">
        <f t="array" ref="T138">SUM(IF((D10:D35=160604)*(B10:B35="Excavation"),H10:H35,0))</f>
        <v>0</v>
      </c>
      <c r="U138" s="191">
        <f t="array" ref="U138">SUM(IF((D10:D35=160604)*(B10:B35="Excavation"),I10:I35,0))</f>
        <v>0</v>
      </c>
      <c r="V138" s="191">
        <f t="array" ref="V138">SUM(IF((D10:D35=160604)*(B10:B35="Excavation"),J10:J35,0))</f>
        <v>0</v>
      </c>
      <c r="W138" s="191">
        <f t="array" ref="W138">SUM(IF((D10:D35=160604)*(B10:B35="Excavation"),K10:K35,0))</f>
        <v>0</v>
      </c>
      <c r="X138" s="191">
        <f t="array" ref="X138">SUM(IF((D10:D35=160604)*(B10:B35="Excavation"),L10:L35,0))</f>
        <v>0</v>
      </c>
      <c r="Y138" s="192">
        <f t="shared" si="115"/>
        <v>0</v>
      </c>
      <c r="Z138" s="501">
        <f t="shared" si="116"/>
        <v>0</v>
      </c>
    </row>
    <row r="139" spans="15:26" ht="13.8" thickBot="1" x14ac:dyDescent="0.3">
      <c r="O139" s="874"/>
      <c r="P139" s="869"/>
      <c r="Q139" s="235" t="s">
        <v>123</v>
      </c>
      <c r="R139" s="234" t="s">
        <v>237</v>
      </c>
      <c r="S139" s="191">
        <f t="array" ref="S139">SUM(IF((D10:D35=160604)*(B10:B35="Construction"),G10:G35,0))</f>
        <v>0</v>
      </c>
      <c r="T139" s="191">
        <f t="array" ref="T139">SUM(IF((D10:D35=160604)*(B10:B35="Construction"),H10:H35,0))</f>
        <v>0</v>
      </c>
      <c r="U139" s="191">
        <f t="array" ref="U139">SUM(IF((D10:D35=160604)*(B10:B35="Construction"),I10:I35,0))</f>
        <v>0</v>
      </c>
      <c r="V139" s="191">
        <f t="array" ref="V139">SUM(IF((D10:D35=160604)*(B10:B35="Construction"),J10:J35,0))</f>
        <v>0</v>
      </c>
      <c r="W139" s="191">
        <f t="array" ref="W139">SUM(IF((D10:D35=160604)*(B10:B35="Construction"),K10:K35,0))</f>
        <v>0</v>
      </c>
      <c r="X139" s="191">
        <f t="array" ref="X139">SUM(IF((D10:D35=160604)*(B10:B35="Construction"),L10:L35,0))</f>
        <v>0</v>
      </c>
      <c r="Y139" s="192">
        <f t="shared" si="115"/>
        <v>0</v>
      </c>
      <c r="Z139" s="501">
        <f t="shared" si="116"/>
        <v>0</v>
      </c>
    </row>
    <row r="140" spans="15:26" x14ac:dyDescent="0.25">
      <c r="O140" s="865" t="s">
        <v>135</v>
      </c>
      <c r="P140" s="867">
        <v>160603</v>
      </c>
      <c r="Q140" s="235" t="s">
        <v>126</v>
      </c>
      <c r="R140" s="231" t="s">
        <v>235</v>
      </c>
      <c r="S140" s="232">
        <f t="array" ref="S140">SUM(IF((D10:D35=160603)*(B10:B35="Demolition"),G10:G35,0))</f>
        <v>0</v>
      </c>
      <c r="T140" s="232">
        <f t="array" ref="T140">SUM(IF((D10:D35=160603)*(B10:B35="Demolition"),H10:H35,0))</f>
        <v>0</v>
      </c>
      <c r="U140" s="232">
        <f t="array" ref="U140">SUM(IF((D10:D35=160603)*(B10:B35="Demolition"),I10:I35,0))</f>
        <v>0</v>
      </c>
      <c r="V140" s="232">
        <f t="array" ref="V140">SUM(IF((D10:D35=160603)*(B10:B35="Demolition"),J10:J35,0))</f>
        <v>0</v>
      </c>
      <c r="W140" s="232">
        <f t="array" ref="W140">SUM(IF((D10:D35=160603)*(B10:B35="Demolition"),K10:K35,0))</f>
        <v>0</v>
      </c>
      <c r="X140" s="232">
        <f t="array" ref="X140">SUM(IF((D10:D35=160603)*(B10:B35="Demolition"),L10:L35,0))</f>
        <v>0</v>
      </c>
      <c r="Y140" s="192">
        <f t="shared" si="115"/>
        <v>0</v>
      </c>
      <c r="Z140" s="501">
        <f t="shared" si="116"/>
        <v>0</v>
      </c>
    </row>
    <row r="141" spans="15:26" x14ac:dyDescent="0.25">
      <c r="O141" s="871"/>
      <c r="P141" s="868"/>
      <c r="Q141" s="235" t="s">
        <v>126</v>
      </c>
      <c r="R141" s="234" t="s">
        <v>236</v>
      </c>
      <c r="S141" s="191">
        <f t="array" ref="S141">SUM(IF((D10:D35=160603)*(B10:B35="Excavation"),G10:G35,0))</f>
        <v>0</v>
      </c>
      <c r="T141" s="191">
        <f t="array" ref="T141">SUM(IF((D10:D35=160603)*(B10:B35="Excavation"),H10:H35,0))</f>
        <v>0</v>
      </c>
      <c r="U141" s="191">
        <f t="array" ref="U141">SUM(IF((D10:D35=160603)*(B10:B35="Excavation"),I10:I35,0))</f>
        <v>0</v>
      </c>
      <c r="V141" s="191">
        <f t="array" ref="V141">SUM(IF((D10:D35=160603)*(B10:B35="Excavation"),J10:J35,0))</f>
        <v>0</v>
      </c>
      <c r="W141" s="191">
        <f t="array" ref="W141">SUM(IF((D10:D35=160603)*(B10:B35="Excavation"),K10:K35,0))</f>
        <v>0</v>
      </c>
      <c r="X141" s="191">
        <f t="array" ref="X141">SUM(IF((D10:D35=160603)*(B10:B35="Excavation"),L10:L35,0))</f>
        <v>0</v>
      </c>
      <c r="Y141" s="192">
        <f t="shared" si="115"/>
        <v>0</v>
      </c>
      <c r="Z141" s="501">
        <f t="shared" si="116"/>
        <v>0</v>
      </c>
    </row>
    <row r="142" spans="15:26" ht="13.8" thickBot="1" x14ac:dyDescent="0.3">
      <c r="O142" s="874"/>
      <c r="P142" s="869"/>
      <c r="Q142" s="235" t="s">
        <v>126</v>
      </c>
      <c r="R142" s="234" t="s">
        <v>237</v>
      </c>
      <c r="S142" s="191">
        <f t="array" ref="S142">SUM(IF((D10:D35=160603)*(B10:B35="Construction"),G10:G35,0))</f>
        <v>0</v>
      </c>
      <c r="T142" s="191">
        <f t="array" ref="T142">SUM(IF((D10:D35=160603)*(B10:B35="Construction"),H10:H35,0))</f>
        <v>0</v>
      </c>
      <c r="U142" s="191">
        <f t="array" ref="U142">SUM(IF((D10:D35=160603)*(B10:B35="Construction"),I10:I35,0))</f>
        <v>0</v>
      </c>
      <c r="V142" s="191">
        <f t="array" ref="V142">SUM(IF((D10:D35=160603)*(B10:B35="Construction"),J10:J35,0))</f>
        <v>0</v>
      </c>
      <c r="W142" s="191">
        <f t="array" ref="W142">SUM(IF((D10:D35=160603)*(B10:B35="Construction"),K10:K35,0))</f>
        <v>0</v>
      </c>
      <c r="X142" s="191">
        <f t="array" ref="X142">SUM(IF((D10:D35=160603)*(B10:B35="Construction"),L10:L35,0))</f>
        <v>0</v>
      </c>
      <c r="Y142" s="192">
        <f t="shared" si="115"/>
        <v>0</v>
      </c>
      <c r="Z142" s="501">
        <f t="shared" si="116"/>
        <v>0</v>
      </c>
    </row>
    <row r="143" spans="15:26" x14ac:dyDescent="0.25">
      <c r="O143" s="865" t="s">
        <v>136</v>
      </c>
      <c r="P143" s="867">
        <v>160602</v>
      </c>
      <c r="Q143" s="235" t="s">
        <v>126</v>
      </c>
      <c r="R143" s="231" t="s">
        <v>235</v>
      </c>
      <c r="S143" s="232">
        <f t="array" ref="S143">SUM(IF((D10:D35=160602)*(B10:B35="Demolition"),G10:G35,0))</f>
        <v>0</v>
      </c>
      <c r="T143" s="232">
        <f t="array" ref="T143">SUM(IF((D10:D35=160602)*(B10:B35="Demolition"),H10:H35,0))</f>
        <v>0</v>
      </c>
      <c r="U143" s="232">
        <f t="array" ref="U143">SUM(IF((D10:D35=160602)*(B10:B35="Demolition"),I10:I35,0))</f>
        <v>0</v>
      </c>
      <c r="V143" s="232">
        <f t="array" ref="V143">SUM(IF((D10:D35=160602)*(B10:B35="Demolition"),J10:J35,0))</f>
        <v>0</v>
      </c>
      <c r="W143" s="232">
        <f t="array" ref="W143">SUM(IF((D10:D35=160602)*(B10:B35="Demolition"),K10:K35,0))</f>
        <v>0</v>
      </c>
      <c r="X143" s="232">
        <f t="array" ref="X143">SUM(IF((D10:D35=160602)*(B10:B35="Demolition"),L10:L35,0))</f>
        <v>0</v>
      </c>
      <c r="Y143" s="192">
        <f t="shared" si="115"/>
        <v>0</v>
      </c>
      <c r="Z143" s="501">
        <f t="shared" si="116"/>
        <v>0</v>
      </c>
    </row>
    <row r="144" spans="15:26" x14ac:dyDescent="0.25">
      <c r="O144" s="871"/>
      <c r="P144" s="868"/>
      <c r="Q144" s="235" t="s">
        <v>126</v>
      </c>
      <c r="R144" s="234" t="s">
        <v>236</v>
      </c>
      <c r="S144" s="191">
        <f t="array" ref="S144">SUM(IF((D10:D35=160602)*(B10:B35="Excavation"),G10:G35,0))</f>
        <v>0</v>
      </c>
      <c r="T144" s="191">
        <f t="array" ref="T144">SUM(IF((D10:D35=160602)*(B10:B35="Excavation"),H10:H35,0))</f>
        <v>0</v>
      </c>
      <c r="U144" s="191">
        <f t="array" ref="U144">SUM(IF((D10:D35=160602)*(B10:B35="Excavation"),I10:I35,0))</f>
        <v>0</v>
      </c>
      <c r="V144" s="191">
        <f t="array" ref="V144">SUM(IF((D10:D35=160602)*(B10:B35="Excavation"),J10:J35,0))</f>
        <v>0</v>
      </c>
      <c r="W144" s="191">
        <f t="array" ref="W144">SUM(IF((D10:D35=160602)*(B10:B35="Excavation"),K10:K35,0))</f>
        <v>0</v>
      </c>
      <c r="X144" s="191">
        <f t="array" ref="X144">SUM(IF((D10:D35=160602)*(B10:B35="Excavation"),L10:L35,0))</f>
        <v>0</v>
      </c>
      <c r="Y144" s="192">
        <f t="shared" si="115"/>
        <v>0</v>
      </c>
      <c r="Z144" s="501">
        <f t="shared" si="116"/>
        <v>0</v>
      </c>
    </row>
    <row r="145" spans="15:26" ht="13.8" thickBot="1" x14ac:dyDescent="0.3">
      <c r="O145" s="874"/>
      <c r="P145" s="869"/>
      <c r="Q145" s="235" t="s">
        <v>126</v>
      </c>
      <c r="R145" s="234" t="s">
        <v>237</v>
      </c>
      <c r="S145" s="191">
        <f t="array" ref="S145">SUM(IF((D10:D35=160602)*(B10:B35="Construction"),G10:G35,0))</f>
        <v>0</v>
      </c>
      <c r="T145" s="191">
        <f t="array" ref="T145">SUM(IF((D10:D35=160602)*(B10:B35="Construction"),H10:H35,0))</f>
        <v>0</v>
      </c>
      <c r="U145" s="191">
        <f t="array" ref="U145">SUM(IF((D10:D35=160602)*(B10:B35="Construction"),I10:I35,0))</f>
        <v>0</v>
      </c>
      <c r="V145" s="191">
        <f t="array" ref="V145">SUM(IF((D10:D35=160602)*(B10:B35="Construction"),J10:J35,0))</f>
        <v>0</v>
      </c>
      <c r="W145" s="191">
        <f t="array" ref="W145">SUM(IF((D10:D35=160602)*(B10:B35="Construction"),K10:K35,0))</f>
        <v>0</v>
      </c>
      <c r="X145" s="191">
        <f t="array" ref="X145">SUM(IF((D10:D35=160602)*(B10:B35="Construction"),L10:L35,0))</f>
        <v>0</v>
      </c>
      <c r="Y145" s="192">
        <f t="shared" si="115"/>
        <v>0</v>
      </c>
      <c r="Z145" s="501">
        <f t="shared" si="116"/>
        <v>0</v>
      </c>
    </row>
    <row r="146" spans="15:26" x14ac:dyDescent="0.25">
      <c r="O146" s="865" t="s">
        <v>137</v>
      </c>
      <c r="P146" s="867">
        <v>160601</v>
      </c>
      <c r="Q146" s="235" t="s">
        <v>126</v>
      </c>
      <c r="R146" s="231" t="s">
        <v>235</v>
      </c>
      <c r="S146" s="232">
        <f t="array" ref="S146">SUM(IF((D10:D35=160601)*(B10:B35="Demolition"),G10:G35,0))</f>
        <v>0</v>
      </c>
      <c r="T146" s="232">
        <f t="array" ref="T146">SUM(IF((D10:D35=160601)*(B10:B35="Demolition"),H10:H35,0))</f>
        <v>0</v>
      </c>
      <c r="U146" s="232">
        <f t="array" ref="U146">SUM(IF((D10:D35=160601)*(B10:B35="Demolition"),I10:I35,0))</f>
        <v>0</v>
      </c>
      <c r="V146" s="232">
        <f t="array" ref="V146">SUM(IF((D10:D35=160601)*(B10:B35="Demolition"),J10:J35,0))</f>
        <v>0</v>
      </c>
      <c r="W146" s="232">
        <f t="array" ref="W146">SUM(IF((D10:D35=160601)*(B10:B35="Demolition"),K10:K35,0))</f>
        <v>0</v>
      </c>
      <c r="X146" s="232">
        <f t="array" ref="X146">SUM(IF((D10:D35=160601)*(B10:B35="Demolition"),L10:L35,0))</f>
        <v>0</v>
      </c>
      <c r="Y146" s="192">
        <f t="shared" si="115"/>
        <v>0</v>
      </c>
      <c r="Z146" s="501">
        <f t="shared" si="116"/>
        <v>0</v>
      </c>
    </row>
    <row r="147" spans="15:26" x14ac:dyDescent="0.25">
      <c r="O147" s="871"/>
      <c r="P147" s="868"/>
      <c r="Q147" s="235" t="s">
        <v>126</v>
      </c>
      <c r="R147" s="234" t="s">
        <v>236</v>
      </c>
      <c r="S147" s="191">
        <f t="array" ref="S147">SUM(IF((D10:D35=160601)*(B10:B35="Excavation"),G10:G35,0))</f>
        <v>0</v>
      </c>
      <c r="T147" s="191">
        <f t="array" ref="T147">SUM(IF((D10:D35=160601)*(B10:B35="Excavation"),H10:H35,0))</f>
        <v>0</v>
      </c>
      <c r="U147" s="191">
        <f t="array" ref="U147">SUM(IF((D10:D35=160601)*(B10:B35="Excavation"),I10:I35,0))</f>
        <v>0</v>
      </c>
      <c r="V147" s="191">
        <f t="array" ref="V147">SUM(IF((D10:D35=160601)*(B10:B35="Excavation"),J10:J35,0))</f>
        <v>0</v>
      </c>
      <c r="W147" s="191">
        <f t="array" ref="W147">SUM(IF((D10:D35=160601)*(B10:B35="Excavation"),K10:K35,0))</f>
        <v>0</v>
      </c>
      <c r="X147" s="191">
        <f t="array" ref="X147">SUM(IF((D10:D35=160601)*(B10:B35="Excavation"),L10:L35,0))</f>
        <v>0</v>
      </c>
      <c r="Y147" s="192">
        <f t="shared" si="115"/>
        <v>0</v>
      </c>
      <c r="Z147" s="501">
        <f t="shared" si="116"/>
        <v>0</v>
      </c>
    </row>
    <row r="148" spans="15:26" ht="13.8" thickBot="1" x14ac:dyDescent="0.3">
      <c r="O148" s="874"/>
      <c r="P148" s="869"/>
      <c r="Q148" s="235" t="s">
        <v>126</v>
      </c>
      <c r="R148" s="234" t="s">
        <v>237</v>
      </c>
      <c r="S148" s="191">
        <f t="array" ref="S148">SUM(IF((D10:D35=160601)*(B10:B35="Construction"),G10:G35,0))</f>
        <v>0</v>
      </c>
      <c r="T148" s="191">
        <f t="array" ref="T148">SUM(IF((D10:D35=160601)*(B10:B35="Construction"),H10:H35,0))</f>
        <v>0</v>
      </c>
      <c r="U148" s="191">
        <f t="array" ref="U148">SUM(IF((D10:D35=160601)*(B10:B35="Construction"),I10:I35,0))</f>
        <v>0</v>
      </c>
      <c r="V148" s="191">
        <f t="array" ref="V148">SUM(IF((D10:D35=160601)*(B10:B35="Construction"),J10:J35,0))</f>
        <v>0</v>
      </c>
      <c r="W148" s="191">
        <f t="array" ref="W148">SUM(IF((D10:D35=160601)*(B10:B35="Construction"),K10:K35,0))</f>
        <v>0</v>
      </c>
      <c r="X148" s="191">
        <f t="array" ref="X148">SUM(IF((D10:D35=160601)*(B10:B35="Construction"),L10:L35,0))</f>
        <v>0</v>
      </c>
      <c r="Y148" s="192">
        <f t="shared" si="115"/>
        <v>0</v>
      </c>
      <c r="Z148" s="501">
        <f t="shared" si="116"/>
        <v>0</v>
      </c>
    </row>
    <row r="149" spans="15:26" x14ac:dyDescent="0.25">
      <c r="O149" s="865" t="s">
        <v>138</v>
      </c>
      <c r="P149" s="867">
        <v>130802</v>
      </c>
      <c r="Q149" s="235" t="s">
        <v>126</v>
      </c>
      <c r="R149" s="231" t="s">
        <v>235</v>
      </c>
      <c r="S149" s="232">
        <f t="array" ref="S149">SUM(IF((D10:D35=130802)*(B10:B35="Demolition"),G10:G35,0))</f>
        <v>0</v>
      </c>
      <c r="T149" s="232">
        <f t="array" ref="T149">SUM(IF((D10:D35=130802)*(B10:B35="Demolition"),H10:H35,0))</f>
        <v>0</v>
      </c>
      <c r="U149" s="232">
        <f t="array" ref="U149">SUM(IF((D10:D35=130802)*(B10:B35="Demolition"),I10:I35,0))</f>
        <v>0</v>
      </c>
      <c r="V149" s="232">
        <f t="array" ref="V149">SUM(IF((D10:D35=130802)*(B10:B35="Demolition"),J10:J35,0))</f>
        <v>0</v>
      </c>
      <c r="W149" s="232">
        <f t="array" ref="W149">SUM(IF((D10:D35=130802)*(B10:B35="Demolition"),K10:K35,0))</f>
        <v>0</v>
      </c>
      <c r="X149" s="232">
        <f t="array" ref="X149">SUM(IF((D10:D35=130802)*(B10:B35="Demolition"),L10:L35,0))</f>
        <v>0</v>
      </c>
      <c r="Y149" s="192">
        <f t="shared" si="115"/>
        <v>0</v>
      </c>
      <c r="Z149" s="501">
        <f t="shared" si="116"/>
        <v>0</v>
      </c>
    </row>
    <row r="150" spans="15:26" x14ac:dyDescent="0.25">
      <c r="O150" s="871"/>
      <c r="P150" s="868"/>
      <c r="Q150" s="235" t="s">
        <v>126</v>
      </c>
      <c r="R150" s="234" t="s">
        <v>236</v>
      </c>
      <c r="S150" s="191">
        <f t="array" ref="S150">SUM(IF((D10:D35=130802)*(B10:B35="Excavation"),G10:G35,0))</f>
        <v>0</v>
      </c>
      <c r="T150" s="191">
        <f t="array" ref="T150">SUM(IF((D10:D35=130802)*(B10:B35="Excavation"),H10:H35,0))</f>
        <v>0</v>
      </c>
      <c r="U150" s="191">
        <f t="array" ref="U150">SUM(IF((D10:D35=130802)*(B10:B35="Excavation"),I10:I35,0))</f>
        <v>0</v>
      </c>
      <c r="V150" s="191">
        <f t="array" ref="V150">SUM(IF((D10:D35=130802)*(B10:B35="Excavation"),J10:J35,0))</f>
        <v>0</v>
      </c>
      <c r="W150" s="191">
        <f t="array" ref="W150">SUM(IF((D10:D35=130802)*(B10:B35="Excavation"),K10:K35,0))</f>
        <v>0</v>
      </c>
      <c r="X150" s="191">
        <f t="array" ref="X150">SUM(IF((D10:D35=130802)*(B10:B35="Excavation"),L10:L35,0))</f>
        <v>0</v>
      </c>
      <c r="Y150" s="192">
        <f t="shared" si="115"/>
        <v>0</v>
      </c>
      <c r="Z150" s="501">
        <f t="shared" si="116"/>
        <v>0</v>
      </c>
    </row>
    <row r="151" spans="15:26" ht="13.8" thickBot="1" x14ac:dyDescent="0.3">
      <c r="O151" s="874"/>
      <c r="P151" s="869"/>
      <c r="Q151" s="235" t="s">
        <v>126</v>
      </c>
      <c r="R151" s="234" t="s">
        <v>237</v>
      </c>
      <c r="S151" s="191">
        <f t="array" ref="S151">SUM(IF((D10:D35=130802)*(B10:B35="Construction"),G10:G35,0))</f>
        <v>0</v>
      </c>
      <c r="T151" s="191">
        <f t="array" ref="T151">SUM(IF((D10:D35=130802)*(B10:B35="Construction"),H10:H35,0))</f>
        <v>0</v>
      </c>
      <c r="U151" s="191">
        <f t="array" ref="U151">SUM(IF((D10:D35=130802)*(B10:B35="Construction"),I10:I35,0))</f>
        <v>0</v>
      </c>
      <c r="V151" s="191">
        <f t="array" ref="V151">SUM(IF((D10:D35=130802)*(B10:B35="Construction"),J10:J35,0))</f>
        <v>0</v>
      </c>
      <c r="W151" s="191">
        <f t="array" ref="W151">SUM(IF((D10:D35=130802)*(B10:B35="Construction"),K10:K35,0))</f>
        <v>0</v>
      </c>
      <c r="X151" s="191">
        <f t="array" ref="X151">SUM(IF((D10:D35=130802)*(B10:B35="Construction"),L10:L35,0))</f>
        <v>0</v>
      </c>
      <c r="Y151" s="192">
        <f t="shared" si="115"/>
        <v>0</v>
      </c>
      <c r="Z151" s="501">
        <f t="shared" si="116"/>
        <v>0</v>
      </c>
    </row>
    <row r="152" spans="15:26" x14ac:dyDescent="0.25">
      <c r="O152" s="865" t="s">
        <v>139</v>
      </c>
      <c r="P152" s="867">
        <v>170301</v>
      </c>
      <c r="Q152" s="235" t="s">
        <v>126</v>
      </c>
      <c r="R152" s="231" t="s">
        <v>235</v>
      </c>
      <c r="S152" s="232">
        <f t="array" ref="S152">SUM(IF((D10:D35=170301)*(B10:B35="Demolition"),G10:G35,0))</f>
        <v>0</v>
      </c>
      <c r="T152" s="232">
        <f t="array" ref="T152">SUM(IF((D10:D35=170301)*(B10:B35="Demolition"),H10:H35,0))</f>
        <v>0</v>
      </c>
      <c r="U152" s="232">
        <f t="array" ref="U152">SUM(IF((D10:D35=170301)*(B10:B35="Demolition"),I10:I35,0))</f>
        <v>0</v>
      </c>
      <c r="V152" s="232">
        <f t="array" ref="V152">SUM(IF((D10:D35=170301)*(B10:B35="Demolition"),J10:J35,0))</f>
        <v>0</v>
      </c>
      <c r="W152" s="232">
        <f t="array" ref="W152">SUM(IF((D10:D35=170301)*(B10:B35="Demolition"),K10:K35,0))</f>
        <v>0</v>
      </c>
      <c r="X152" s="232">
        <f t="array" ref="X152">SUM(IF((D10:D35=170301)*(B10:B35="Demolition"),L10:L35,0))</f>
        <v>0</v>
      </c>
      <c r="Y152" s="192">
        <f t="shared" si="115"/>
        <v>0</v>
      </c>
      <c r="Z152" s="501">
        <f t="shared" si="116"/>
        <v>0</v>
      </c>
    </row>
    <row r="153" spans="15:26" x14ac:dyDescent="0.25">
      <c r="O153" s="871"/>
      <c r="P153" s="868"/>
      <c r="Q153" s="235" t="s">
        <v>126</v>
      </c>
      <c r="R153" s="234" t="s">
        <v>236</v>
      </c>
      <c r="S153" s="191">
        <f t="array" ref="S153">SUM(IF((D10:D35=170301)*(B10:B35="Excavation"),G10:G35,0))</f>
        <v>0</v>
      </c>
      <c r="T153" s="191">
        <f t="array" ref="T153">SUM(IF((D10:D35=170301)*(B10:B35="Excavation"),H10:H35,0))</f>
        <v>0</v>
      </c>
      <c r="U153" s="191">
        <f t="array" ref="U153">SUM(IF((D10:D35=170301)*(B10:B35="Excavation"),I10:I35,0))</f>
        <v>0</v>
      </c>
      <c r="V153" s="191">
        <f t="array" ref="V153">SUM(IF((D10:D35=170301)*(B10:B35="Excavation"),J10:J35,0))</f>
        <v>0</v>
      </c>
      <c r="W153" s="191">
        <f t="array" ref="W153">SUM(IF((D10:D35=170301)*(B10:B35="Excavation"),K10:K35,0))</f>
        <v>0</v>
      </c>
      <c r="X153" s="191">
        <f t="array" ref="X153">SUM(IF((D10:D35=170301)*(B10:B35="Excavation"),L10:L35,0))</f>
        <v>0</v>
      </c>
      <c r="Y153" s="192">
        <f t="shared" si="115"/>
        <v>0</v>
      </c>
      <c r="Z153" s="501">
        <f t="shared" si="116"/>
        <v>0</v>
      </c>
    </row>
    <row r="154" spans="15:26" ht="13.8" thickBot="1" x14ac:dyDescent="0.3">
      <c r="O154" s="874"/>
      <c r="P154" s="869"/>
      <c r="Q154" s="235" t="s">
        <v>126</v>
      </c>
      <c r="R154" s="234" t="s">
        <v>237</v>
      </c>
      <c r="S154" s="191">
        <f t="array" ref="S154">SUM(IF((D10:D35=170301)*(B10:B35="Construction"),G10:G35,0))</f>
        <v>0</v>
      </c>
      <c r="T154" s="191">
        <f t="array" ref="T154">SUM(IF((D10:D35=170301)*(B10:B35="Construction"),H10:H35,0))</f>
        <v>0</v>
      </c>
      <c r="U154" s="191">
        <f t="array" ref="U154">SUM(IF((D10:D35=170301)*(B10:B35="Construction"),I10:I35,0))</f>
        <v>0</v>
      </c>
      <c r="V154" s="191">
        <f t="array" ref="V154">SUM(IF((D10:D35=170301)*(B10:B35="Construction"),J10:J35,0))</f>
        <v>0</v>
      </c>
      <c r="W154" s="191">
        <f t="array" ref="W154">SUM(IF((D10:D35=170301)*(B10:B35="Construction"),K10:K35,0))</f>
        <v>0</v>
      </c>
      <c r="X154" s="191">
        <f t="array" ref="X154">SUM(IF((D10:D35=170301)*(B10:B35="Construction"),L10:L35,0))</f>
        <v>0</v>
      </c>
      <c r="Y154" s="192">
        <f t="shared" si="115"/>
        <v>0</v>
      </c>
      <c r="Z154" s="501">
        <f t="shared" si="116"/>
        <v>0</v>
      </c>
    </row>
    <row r="155" spans="15:26" x14ac:dyDescent="0.25">
      <c r="O155" s="865" t="s">
        <v>129</v>
      </c>
      <c r="P155" s="867">
        <v>170302</v>
      </c>
      <c r="Q155" s="235" t="s">
        <v>123</v>
      </c>
      <c r="R155" s="231" t="s">
        <v>235</v>
      </c>
      <c r="S155" s="232">
        <f t="array" ref="S155">SUM(IF((D10:D35=170302)*(B10:B35="Demolition"),G10:G35,0))</f>
        <v>0</v>
      </c>
      <c r="T155" s="232">
        <f t="array" ref="T155">SUM(IF((D10:D35=170302)*(B10:B35="Demolition"),H10:H35,0))</f>
        <v>0</v>
      </c>
      <c r="U155" s="232">
        <f t="array" ref="U155">SUM(IF((D10:D35=170302)*(B10:B35="Demolition"),I10:I35,0))</f>
        <v>0</v>
      </c>
      <c r="V155" s="232">
        <f t="array" ref="V155">SUM(IF((D10:D35=170302)*(B10:B35="Demolition"),J10:J35,0))</f>
        <v>0</v>
      </c>
      <c r="W155" s="232">
        <f t="array" ref="W155">SUM(IF((D10:D35=170302)*(B10:B35="Demolition"),K10:K35,0))</f>
        <v>0</v>
      </c>
      <c r="X155" s="232">
        <f t="array" ref="X155">SUM(IF((D10:D35=170302)*(B10:B35="Demolition"),L10:L35,0))</f>
        <v>0</v>
      </c>
      <c r="Y155" s="192">
        <f t="shared" si="115"/>
        <v>0</v>
      </c>
      <c r="Z155" s="501">
        <f t="shared" si="116"/>
        <v>0</v>
      </c>
    </row>
    <row r="156" spans="15:26" x14ac:dyDescent="0.25">
      <c r="O156" s="871"/>
      <c r="P156" s="868"/>
      <c r="Q156" s="235" t="s">
        <v>123</v>
      </c>
      <c r="R156" s="234" t="s">
        <v>236</v>
      </c>
      <c r="S156" s="191">
        <f t="array" ref="S156">SUM(IF((D10:D35=170302)*(B10:B35="Excavation"),G10:G35,0))</f>
        <v>0</v>
      </c>
      <c r="T156" s="191">
        <f t="array" ref="T156">SUM(IF((D10:D35=170302)*(B10:B35="Excavation"),H10:H35,0))</f>
        <v>0</v>
      </c>
      <c r="U156" s="191">
        <f t="array" ref="U156">SUM(IF((D10:D35=170302)*(B10:B35="Excavation"),I10:I35,0))</f>
        <v>0</v>
      </c>
      <c r="V156" s="191">
        <f t="array" ref="V156">SUM(IF((D10:D35=170302)*(B10:B35="Excavation"),J10:J35,0))</f>
        <v>0</v>
      </c>
      <c r="W156" s="191">
        <f t="array" ref="W156">SUM(IF((D10:D35=170302)*(B10:B35="Excavation"),K10:K35,0))</f>
        <v>0</v>
      </c>
      <c r="X156" s="191">
        <f t="array" ref="X156">SUM(IF((D10:D35=170302)*(B10:B35="Excavation"),L10:L35,0))</f>
        <v>0</v>
      </c>
      <c r="Y156" s="192">
        <f t="shared" si="115"/>
        <v>0</v>
      </c>
      <c r="Z156" s="501">
        <f t="shared" si="116"/>
        <v>0</v>
      </c>
    </row>
    <row r="157" spans="15:26" ht="13.8" thickBot="1" x14ac:dyDescent="0.3">
      <c r="O157" s="874"/>
      <c r="P157" s="869"/>
      <c r="Q157" s="235" t="s">
        <v>123</v>
      </c>
      <c r="R157" s="234" t="s">
        <v>237</v>
      </c>
      <c r="S157" s="191">
        <f t="array" ref="S157">SUM(IF((D10:D35=170302)*(B10:B35="Construction"),G10:G35,0))</f>
        <v>0</v>
      </c>
      <c r="T157" s="191">
        <f t="array" ref="T157">SUM(IF((D10:D35=170302)*(B10:B35="Construction"),H10:H35,0))</f>
        <v>0</v>
      </c>
      <c r="U157" s="191">
        <f t="array" ref="U157">SUM(IF((D10:D35=170302)*(B10:B35="Construction"),I10:I35,0))</f>
        <v>0</v>
      </c>
      <c r="V157" s="191">
        <f t="array" ref="V157">SUM(IF((D10:D35=170302)*(B10:B35="Construction"),J10:J35,0))</f>
        <v>0</v>
      </c>
      <c r="W157" s="191">
        <f t="array" ref="W157">SUM(IF((D10:D35=170302)*(B10:B35="Construction"),K10:K35,0))</f>
        <v>0</v>
      </c>
      <c r="X157" s="191">
        <f t="array" ref="X157">SUM(IF((D10:D35=170302)*(B10:B35="Construction"),L10:L35,0))</f>
        <v>0</v>
      </c>
      <c r="Y157" s="192">
        <f t="shared" si="115"/>
        <v>0</v>
      </c>
      <c r="Z157" s="501">
        <f t="shared" si="116"/>
        <v>0</v>
      </c>
    </row>
    <row r="158" spans="15:26" x14ac:dyDescent="0.25">
      <c r="O158" s="865" t="s">
        <v>140</v>
      </c>
      <c r="P158" s="867">
        <v>170102</v>
      </c>
      <c r="Q158" s="235" t="s">
        <v>141</v>
      </c>
      <c r="R158" s="231" t="s">
        <v>235</v>
      </c>
      <c r="S158" s="232">
        <f t="array" ref="S158">SUM(IF((D10:D35=170102)*(B10:B35="Demolition"),G10:G35,0))</f>
        <v>0</v>
      </c>
      <c r="T158" s="232">
        <f t="array" ref="T158">SUM(IF((D10:D35=170102)*(B10:B35="Demolition"),H10:H35,0))</f>
        <v>0</v>
      </c>
      <c r="U158" s="232">
        <f t="array" ref="U158">SUM(IF((D10:D35=170102)*(B10:B35="Demolition"),I10:I35,0))</f>
        <v>0</v>
      </c>
      <c r="V158" s="232">
        <f t="array" ref="V158">SUM(IF((D10:D35=170102)*(B10:B35="Demolition"),J10:J35,0))</f>
        <v>0</v>
      </c>
      <c r="W158" s="232">
        <f t="array" ref="W158">SUM(IF((D10:D35=170102)*(B10:B35="Demolition"),K10:K35,0))</f>
        <v>0</v>
      </c>
      <c r="X158" s="232">
        <f t="array" ref="X158">SUM(IF((D10:D35=170102)*(B10:B35="Demolition"),L10:L35,0))</f>
        <v>0</v>
      </c>
      <c r="Y158" s="192">
        <f t="shared" si="115"/>
        <v>0</v>
      </c>
      <c r="Z158" s="501">
        <f t="shared" si="116"/>
        <v>0</v>
      </c>
    </row>
    <row r="159" spans="15:26" x14ac:dyDescent="0.25">
      <c r="O159" s="871"/>
      <c r="P159" s="868"/>
      <c r="Q159" s="235" t="s">
        <v>141</v>
      </c>
      <c r="R159" s="234" t="s">
        <v>236</v>
      </c>
      <c r="S159" s="191">
        <f t="array" ref="S159">SUM(IF((D10:D35=170102)*(B10:B35="Excavation"),G10:G35,0))</f>
        <v>0</v>
      </c>
      <c r="T159" s="191">
        <f t="array" ref="T159">SUM(IF((D10:D35=170102)*(B10:B35="Excavation"),H10:H35,0))</f>
        <v>0</v>
      </c>
      <c r="U159" s="191">
        <f t="array" ref="U159">SUM(IF((D10:D35=170102)*(B10:B35="Excavation"),I10:I35,0))</f>
        <v>0</v>
      </c>
      <c r="V159" s="191">
        <f t="array" ref="V159">SUM(IF((D10:D35=170102)*(B10:B35="Excavation"),J10:J35,0))</f>
        <v>0</v>
      </c>
      <c r="W159" s="191">
        <f t="array" ref="W159">SUM(IF((D10:D35=170102)*(B10:B35="Excavation"),K10:K35,0))</f>
        <v>0</v>
      </c>
      <c r="X159" s="191">
        <f t="array" ref="X159">SUM(IF((D10:D35=170102)*(B10:B35="Excavation"),L10:L35,0))</f>
        <v>0</v>
      </c>
      <c r="Y159" s="192">
        <f t="shared" si="115"/>
        <v>0</v>
      </c>
      <c r="Z159" s="501">
        <f t="shared" si="116"/>
        <v>0</v>
      </c>
    </row>
    <row r="160" spans="15:26" ht="13.8" thickBot="1" x14ac:dyDescent="0.3">
      <c r="O160" s="874"/>
      <c r="P160" s="869"/>
      <c r="Q160" s="235" t="s">
        <v>141</v>
      </c>
      <c r="R160" s="234" t="s">
        <v>237</v>
      </c>
      <c r="S160" s="191">
        <f t="array" ref="S160">SUM(IF((D10:D35=170102)*(B10:B35="Construction"),G10:G35,0))</f>
        <v>0</v>
      </c>
      <c r="T160" s="191">
        <f t="array" ref="T160">SUM(IF((D10:D35=170102)*(B10:B35="Construction"),H10:H35,0))</f>
        <v>0</v>
      </c>
      <c r="U160" s="191">
        <f t="array" ref="U160">SUM(IF((D10:D35=170102)*(B10:B35="Construction"),I10:I35,0))</f>
        <v>0</v>
      </c>
      <c r="V160" s="191">
        <f t="array" ref="V160">SUM(IF((D10:D35=170102)*(B10:B35="Construction"),J10:J35,0))</f>
        <v>0</v>
      </c>
      <c r="W160" s="191">
        <f t="array" ref="W160">SUM(IF((D10:D35=170102)*(B10:B35="Construction"),K10:K35,0))</f>
        <v>0</v>
      </c>
      <c r="X160" s="191">
        <f t="array" ref="X160">SUM(IF((D10:D35=170102)*(B10:B35="Construction"),L10:L35,0))</f>
        <v>0</v>
      </c>
      <c r="Y160" s="192">
        <f t="shared" si="115"/>
        <v>0</v>
      </c>
      <c r="Z160" s="501">
        <f t="shared" si="116"/>
        <v>0</v>
      </c>
    </row>
    <row r="161" spans="15:26" x14ac:dyDescent="0.25">
      <c r="O161" s="865" t="s">
        <v>142</v>
      </c>
      <c r="P161" s="867">
        <v>170411</v>
      </c>
      <c r="Q161" s="235" t="s">
        <v>123</v>
      </c>
      <c r="R161" s="231" t="s">
        <v>235</v>
      </c>
      <c r="S161" s="232">
        <f t="array" ref="S161">SUM(IF((D10:D35=170411)*(B10:B35="Demolition"),G10:G35,0))</f>
        <v>0</v>
      </c>
      <c r="T161" s="232">
        <f t="array" ref="T161">SUM(IF((D10:D35=170411)*(B10:B35="Demolition"),H10:H35,0))</f>
        <v>0</v>
      </c>
      <c r="U161" s="232">
        <f t="array" ref="U161">SUM(IF((D10:D35=170411)*(B10:B35="Demolition"),I10:I35,0))</f>
        <v>0</v>
      </c>
      <c r="V161" s="232">
        <f t="array" ref="V161">SUM(IF((D10:D35=170411)*(B10:B35="Demolition"),J10:J35,0))</f>
        <v>0</v>
      </c>
      <c r="W161" s="232">
        <f t="array" ref="W161">SUM(IF((D10:D35=170411)*(B10:B35="Demolition"),K10:K35,0))</f>
        <v>0</v>
      </c>
      <c r="X161" s="232">
        <f t="array" ref="X161">SUM(IF((D10:D35=170411)*(B10:B35="Demolition"),L10:L35,0))</f>
        <v>0</v>
      </c>
      <c r="Y161" s="192">
        <f t="shared" si="115"/>
        <v>0</v>
      </c>
      <c r="Z161" s="501">
        <f t="shared" si="116"/>
        <v>0</v>
      </c>
    </row>
    <row r="162" spans="15:26" x14ac:dyDescent="0.25">
      <c r="O162" s="871"/>
      <c r="P162" s="868"/>
      <c r="Q162" s="235" t="s">
        <v>123</v>
      </c>
      <c r="R162" s="234" t="s">
        <v>236</v>
      </c>
      <c r="S162" s="191">
        <f t="array" ref="S162">SUM(IF((D10:D35=170411)*(B10:B35="Excavation"),G10:G35,0))</f>
        <v>0</v>
      </c>
      <c r="T162" s="191">
        <f t="array" ref="T162">SUM(IF((D10:D35=170411)*(B10:B35="Excavation"),H10:H35,0))</f>
        <v>0</v>
      </c>
      <c r="U162" s="191">
        <f t="array" ref="U162">SUM(IF((D10:D35=170411)*(B10:B35="Excavation"),I10:I35,0))</f>
        <v>0</v>
      </c>
      <c r="V162" s="191">
        <f t="array" ref="V162">SUM(IF((D10:D35=170411)*(B10:B35="Excavation"),J10:J35,0))</f>
        <v>0</v>
      </c>
      <c r="W162" s="191">
        <f t="array" ref="W162">SUM(IF((D10:D35=170411)*(B10:B35="Excavation"),K10:K35,0))</f>
        <v>0</v>
      </c>
      <c r="X162" s="191">
        <f t="array" ref="X162">SUM(IF((D10:D35=170411)*(B10:B35="Excavation"),L10:L35,0))</f>
        <v>0</v>
      </c>
      <c r="Y162" s="192">
        <f t="shared" si="115"/>
        <v>0</v>
      </c>
      <c r="Z162" s="501">
        <f t="shared" si="116"/>
        <v>0</v>
      </c>
    </row>
    <row r="163" spans="15:26" ht="13.8" thickBot="1" x14ac:dyDescent="0.3">
      <c r="O163" s="874"/>
      <c r="P163" s="869"/>
      <c r="Q163" s="235" t="s">
        <v>123</v>
      </c>
      <c r="R163" s="234" t="s">
        <v>237</v>
      </c>
      <c r="S163" s="191">
        <f t="array" ref="S163">SUM(IF((D10:D35=170411)*(B10:B35="Construction"),G10:G35,0))</f>
        <v>0</v>
      </c>
      <c r="T163" s="191">
        <f t="array" ref="T163">SUM(IF((D10:D35=170411)*(B10:B35="Construction"),H10:H35,0))</f>
        <v>0</v>
      </c>
      <c r="U163" s="191">
        <f t="array" ref="U163">SUM(IF((D10:D35=170411)*(B10:B35="Construction"),I10:I35,0))</f>
        <v>0</v>
      </c>
      <c r="V163" s="191">
        <f t="array" ref="V163">SUM(IF((D10:D35=170411)*(B10:B35="Construction"),J10:J35,0))</f>
        <v>0</v>
      </c>
      <c r="W163" s="191">
        <f t="array" ref="W163">SUM(IF((D10:D35=170411)*(B10:B35="Construction"),K10:K35,0))</f>
        <v>0</v>
      </c>
      <c r="X163" s="191">
        <f t="array" ref="X163">SUM(IF((D10:D35=170411)*(B10:B35="Construction"),L10:L35,0))</f>
        <v>0</v>
      </c>
      <c r="Y163" s="192">
        <f t="shared" si="115"/>
        <v>0</v>
      </c>
      <c r="Z163" s="501">
        <f t="shared" si="116"/>
        <v>0</v>
      </c>
    </row>
    <row r="164" spans="15:26" x14ac:dyDescent="0.25">
      <c r="O164" s="865" t="s">
        <v>143</v>
      </c>
      <c r="P164" s="867">
        <v>170410</v>
      </c>
      <c r="Q164" s="235" t="s">
        <v>126</v>
      </c>
      <c r="R164" s="231" t="s">
        <v>235</v>
      </c>
      <c r="S164" s="232">
        <f t="array" ref="S164">SUM(IF((D10:D35=170410)*(B10:B35="Demolition"),G10:G35,0))</f>
        <v>0</v>
      </c>
      <c r="T164" s="232">
        <f t="array" ref="T164">SUM(IF((D10:D35=170410)*(B10:B35="Demolition"),H10:H35,0))</f>
        <v>0</v>
      </c>
      <c r="U164" s="232">
        <f t="array" ref="U164">SUM(IF((D10:D35=170410)*(B10:B35="Demolition"),I10:I35,0))</f>
        <v>0</v>
      </c>
      <c r="V164" s="232">
        <f t="array" ref="V164">SUM(IF((D10:D35=170410)*(B10:B35="Demolition"),J10:J35,0))</f>
        <v>0</v>
      </c>
      <c r="W164" s="232">
        <f t="array" ref="W164">SUM(IF((D10:D35=170410)*(B10:B35="Demolition"),K10:K35,0))</f>
        <v>0</v>
      </c>
      <c r="X164" s="232">
        <f t="array" ref="X164">SUM(IF((D10:D35=170410)*(B10:B35="Demolition"),L10:L35,0))</f>
        <v>0</v>
      </c>
      <c r="Y164" s="192">
        <f t="shared" si="115"/>
        <v>0</v>
      </c>
      <c r="Z164" s="501">
        <f t="shared" si="116"/>
        <v>0</v>
      </c>
    </row>
    <row r="165" spans="15:26" x14ac:dyDescent="0.25">
      <c r="O165" s="871"/>
      <c r="P165" s="868"/>
      <c r="Q165" s="235" t="s">
        <v>126</v>
      </c>
      <c r="R165" s="234" t="s">
        <v>236</v>
      </c>
      <c r="S165" s="191">
        <f t="array" ref="S165">SUM(IF((D10:D35=170410)*(B10:B35="Excavation"),G10:G35,0))</f>
        <v>0</v>
      </c>
      <c r="T165" s="191">
        <f t="array" ref="T165">SUM(IF((D10:D35=170410)*(B10:B35="Excavation"),H10:H35,0))</f>
        <v>0</v>
      </c>
      <c r="U165" s="191">
        <f t="array" ref="U165">SUM(IF((D10:D35=170410)*(B10:B35="Excavation"),I10:I35,0))</f>
        <v>0</v>
      </c>
      <c r="V165" s="191">
        <f t="array" ref="V165">SUM(IF((D10:D35=170410)*(B10:B35="Excavation"),J10:J35,0))</f>
        <v>0</v>
      </c>
      <c r="W165" s="191">
        <f t="array" ref="W165">SUM(IF((D10:D35=170410)*(B10:B35="Excavation"),K10:K35,0))</f>
        <v>0</v>
      </c>
      <c r="X165" s="191">
        <f t="array" ref="X165">SUM(IF((D10:D35=170410)*(B10:B35="Excavation"),L10:L35,0))</f>
        <v>0</v>
      </c>
      <c r="Y165" s="192">
        <f t="shared" si="115"/>
        <v>0</v>
      </c>
      <c r="Z165" s="501">
        <f t="shared" si="116"/>
        <v>0</v>
      </c>
    </row>
    <row r="166" spans="15:26" ht="13.8" thickBot="1" x14ac:dyDescent="0.3">
      <c r="O166" s="874"/>
      <c r="P166" s="869"/>
      <c r="Q166" s="235" t="s">
        <v>126</v>
      </c>
      <c r="R166" s="234" t="s">
        <v>237</v>
      </c>
      <c r="S166" s="191">
        <f t="array" ref="S166">SUM(IF((D10:D35=170410)*(B10:B35="Construction"),G10:G35,0))</f>
        <v>0</v>
      </c>
      <c r="T166" s="191">
        <f t="array" ref="T166">SUM(IF((D10:D35=170410)*(B10:B35="Construction"),H10:H35,0))</f>
        <v>0</v>
      </c>
      <c r="U166" s="191">
        <f t="array" ref="U166">SUM(IF((D10:D35=170410)*(B10:B35="Construction"),I10:I35,0))</f>
        <v>0</v>
      </c>
      <c r="V166" s="191">
        <f t="array" ref="V166">SUM(IF((D10:D35=170410)*(B10:B35="Construction"),J10:J35,0))</f>
        <v>0</v>
      </c>
      <c r="W166" s="191">
        <f t="array" ref="W166">SUM(IF((D10:D35=170410)*(B10:B35="Construction"),K10:K35,0))</f>
        <v>0</v>
      </c>
      <c r="X166" s="191">
        <f t="array" ref="X166">SUM(IF((D10:D35=170410)*(B10:B35="Construction"),L10:L35,0))</f>
        <v>0</v>
      </c>
      <c r="Y166" s="192">
        <f t="shared" si="115"/>
        <v>0</v>
      </c>
      <c r="Z166" s="501">
        <f t="shared" si="116"/>
        <v>0</v>
      </c>
    </row>
    <row r="167" spans="15:26" x14ac:dyDescent="0.25">
      <c r="O167" s="865" t="s">
        <v>144</v>
      </c>
      <c r="P167" s="867">
        <v>170303</v>
      </c>
      <c r="Q167" s="235" t="s">
        <v>126</v>
      </c>
      <c r="R167" s="231" t="s">
        <v>235</v>
      </c>
      <c r="S167" s="232">
        <f t="array" ref="S167">SUM(IF((D10:D35=170303)*(B10:B35="Demolition"),G10:G35,0))</f>
        <v>0</v>
      </c>
      <c r="T167" s="232">
        <f t="array" ref="T167">SUM(IF((D10:D35=170303)*(B10:B35="Demolition"),H10:H35,0))</f>
        <v>0</v>
      </c>
      <c r="U167" s="232">
        <f t="array" ref="U167">SUM(IF((D10:D35=170303)*(B10:B35="Demolition"),I10:I35,0))</f>
        <v>0</v>
      </c>
      <c r="V167" s="232">
        <f t="array" ref="V167">SUM(IF((D10:D35=170303)*(B10:B35="Demolition"),J10:J35,0))</f>
        <v>0</v>
      </c>
      <c r="W167" s="232">
        <f t="array" ref="W167">SUM(IF((D10:D35=170303)*(B10:B35="Demolition"),K10:K35,0))</f>
        <v>0</v>
      </c>
      <c r="X167" s="232">
        <f t="array" ref="X167">SUM(IF((D10:D35=170303)*(B10:B35="Demolition"),L10:L35,0))</f>
        <v>0</v>
      </c>
      <c r="Y167" s="192">
        <f t="shared" si="115"/>
        <v>0</v>
      </c>
      <c r="Z167" s="501">
        <f t="shared" si="116"/>
        <v>0</v>
      </c>
    </row>
    <row r="168" spans="15:26" x14ac:dyDescent="0.25">
      <c r="O168" s="871"/>
      <c r="P168" s="868"/>
      <c r="Q168" s="235" t="s">
        <v>126</v>
      </c>
      <c r="R168" s="234" t="s">
        <v>236</v>
      </c>
      <c r="S168" s="191">
        <f t="array" ref="S168">SUM(IF((D10:D35=170303)*(B10:B35="Excavation"),G10:G35,0))</f>
        <v>0</v>
      </c>
      <c r="T168" s="191">
        <f t="array" ref="T168">SUM(IF((D10:D35=170303)*(B10:B35="Excavation"),H10:H35,0))</f>
        <v>0</v>
      </c>
      <c r="U168" s="191">
        <f t="array" ref="U168">SUM(IF((D10:D35=170303)*(B10:B35="Excavation"),I10:I35,0))</f>
        <v>0</v>
      </c>
      <c r="V168" s="191">
        <f t="array" ref="V168">SUM(IF((D10:D35=170303)*(B10:B35="Excavation"),J10:J35,0))</f>
        <v>0</v>
      </c>
      <c r="W168" s="191">
        <f t="array" ref="W168">SUM(IF((D10:D35=170303)*(B10:B35="Excavation"),K10:K35,0))</f>
        <v>0</v>
      </c>
      <c r="X168" s="191">
        <f t="array" ref="X168">SUM(IF((D10:D35=170303)*(B10:B35="Excavation"),L10:L35,0))</f>
        <v>0</v>
      </c>
      <c r="Y168" s="192">
        <f t="shared" si="115"/>
        <v>0</v>
      </c>
      <c r="Z168" s="501">
        <f t="shared" si="116"/>
        <v>0</v>
      </c>
    </row>
    <row r="169" spans="15:26" ht="13.8" thickBot="1" x14ac:dyDescent="0.3">
      <c r="O169" s="874"/>
      <c r="P169" s="869"/>
      <c r="Q169" s="235" t="s">
        <v>126</v>
      </c>
      <c r="R169" s="234" t="s">
        <v>237</v>
      </c>
      <c r="S169" s="191">
        <f t="array" ref="S169">SUM(IF((D10:D35=170303)*(B10:B35="Construction"),G10:G35,0))</f>
        <v>0</v>
      </c>
      <c r="T169" s="191">
        <f t="array" ref="T169">SUM(IF((D10:D35=170303)*(B10:B35="Construction"),H10:H35,0))</f>
        <v>0</v>
      </c>
      <c r="U169" s="191">
        <f t="array" ref="U169">SUM(IF((D10:D35=170303)*(B10:B35="Construction"),I10:I35,0))</f>
        <v>0</v>
      </c>
      <c r="V169" s="191">
        <f t="array" ref="V169">SUM(IF((D10:D35=170303)*(B10:B35="Construction"),J10:J35,0))</f>
        <v>0</v>
      </c>
      <c r="W169" s="191">
        <f t="array" ref="W169">SUM(IF((D10:D35=170303)*(B10:B35="Construction"),K10:K35,0))</f>
        <v>0</v>
      </c>
      <c r="X169" s="191">
        <f t="array" ref="X169">SUM(IF((D10:D35=170303)*(B10:B35="Construction"),L10:L35,0))</f>
        <v>0</v>
      </c>
      <c r="Y169" s="192">
        <f t="shared" si="115"/>
        <v>0</v>
      </c>
      <c r="Z169" s="501">
        <f t="shared" si="116"/>
        <v>0</v>
      </c>
    </row>
    <row r="170" spans="15:26" x14ac:dyDescent="0.25">
      <c r="O170" s="865" t="s">
        <v>145</v>
      </c>
      <c r="P170" s="867">
        <v>170101</v>
      </c>
      <c r="Q170" s="235" t="s">
        <v>141</v>
      </c>
      <c r="R170" s="231" t="s">
        <v>235</v>
      </c>
      <c r="S170" s="232">
        <f t="array" ref="S170">SUM(IF((D10:D35=170101)*(B10:B35="Demolition"),G10:G35,0))</f>
        <v>0</v>
      </c>
      <c r="T170" s="232">
        <f t="array" ref="T170">SUM(IF((D10:D35=170101)*(B10:B35="Demolition"),H10:H35,0))</f>
        <v>0</v>
      </c>
      <c r="U170" s="232">
        <f t="array" ref="U170">SUM(IF((D10:D35=170101)*(B10:B35="Demolition"),I10:I35,0))</f>
        <v>0</v>
      </c>
      <c r="V170" s="232">
        <f t="array" ref="V170">SUM(IF((D10:D35=170101)*(B10:B35="Demolition"),J10:J35,0))</f>
        <v>0</v>
      </c>
      <c r="W170" s="232">
        <f t="array" ref="W170">SUM(IF((D10:D35=170101)*(B10:B35="Demolition"),K10:K35,0))</f>
        <v>0</v>
      </c>
      <c r="X170" s="232">
        <f t="array" ref="X170">SUM(IF((D10:D35=170101)*(B10:B35="Demolition"),L10:L35,0))</f>
        <v>0</v>
      </c>
      <c r="Y170" s="192">
        <f t="shared" si="115"/>
        <v>0</v>
      </c>
      <c r="Z170" s="501">
        <f t="shared" si="116"/>
        <v>0</v>
      </c>
    </row>
    <row r="171" spans="15:26" x14ac:dyDescent="0.25">
      <c r="O171" s="871"/>
      <c r="P171" s="868"/>
      <c r="Q171" s="235" t="s">
        <v>141</v>
      </c>
      <c r="R171" s="234" t="s">
        <v>236</v>
      </c>
      <c r="S171" s="191">
        <f t="array" ref="S171">SUM(IF((D10:D35=170101)*(B10:B35="Excavation"),G10:G35,0))</f>
        <v>0</v>
      </c>
      <c r="T171" s="191">
        <f t="array" ref="T171">SUM(IF((D10:D35=170101)*(B10:B35="Excavation"),H10:H35,0))</f>
        <v>0</v>
      </c>
      <c r="U171" s="191">
        <f t="array" ref="U171">SUM(IF((D10:D35=170101)*(B10:B35="Excavation"),I10:I35,0))</f>
        <v>0</v>
      </c>
      <c r="V171" s="191">
        <f t="array" ref="V171">SUM(IF((D10:D35=170101)*(B10:B35="Excavation"),J10:J35,0))</f>
        <v>0</v>
      </c>
      <c r="W171" s="191">
        <f t="array" ref="W171">SUM(IF((D10:D35=170101)*(B10:B35="Excavation"),K10:K35,0))</f>
        <v>0</v>
      </c>
      <c r="X171" s="191">
        <f t="array" ref="X171">SUM(IF((D10:D35=170101)*(B10:B35="Excavation"),L10:L35,0))</f>
        <v>0</v>
      </c>
      <c r="Y171" s="192">
        <f t="shared" si="115"/>
        <v>0</v>
      </c>
      <c r="Z171" s="501">
        <f t="shared" si="116"/>
        <v>0</v>
      </c>
    </row>
    <row r="172" spans="15:26" ht="13.8" thickBot="1" x14ac:dyDescent="0.3">
      <c r="O172" s="874"/>
      <c r="P172" s="869"/>
      <c r="Q172" s="235" t="s">
        <v>141</v>
      </c>
      <c r="R172" s="234" t="s">
        <v>237</v>
      </c>
      <c r="S172" s="191">
        <f t="array" ref="S172">SUM(IF((D10:D35=170101)*(B10:B35="Construction"),G10:G35,0))</f>
        <v>0</v>
      </c>
      <c r="T172" s="191">
        <f t="array" ref="T172">SUM(IF((D10:D35=170101)*(B10:B35="Construction"),H10:H35,0))</f>
        <v>0</v>
      </c>
      <c r="U172" s="191">
        <f t="array" ref="U172">SUM(IF((D10:D35=170101)*(B10:B35="Construction"),I10:I35,0))</f>
        <v>0</v>
      </c>
      <c r="V172" s="191">
        <f t="array" ref="V172">SUM(IF((D10:D35=170101)*(B10:B35="Construction"),J10:J35,0))</f>
        <v>0</v>
      </c>
      <c r="W172" s="191">
        <f t="array" ref="W172">SUM(IF((D10:D35=170101)*(B10:B35="Construction"),K10:K35,0))</f>
        <v>0</v>
      </c>
      <c r="X172" s="191">
        <f t="array" ref="X172">SUM(IF((D10:D35=170101)*(B10:B35="Construction"),L10:L35,0))</f>
        <v>0</v>
      </c>
      <c r="Y172" s="192">
        <f t="shared" si="115"/>
        <v>0</v>
      </c>
      <c r="Z172" s="501">
        <f t="shared" si="116"/>
        <v>0</v>
      </c>
    </row>
    <row r="173" spans="15:26" x14ac:dyDescent="0.25">
      <c r="O173" s="865" t="s">
        <v>146</v>
      </c>
      <c r="P173" s="867">
        <v>170106</v>
      </c>
      <c r="Q173" s="235" t="s">
        <v>126</v>
      </c>
      <c r="R173" s="231" t="s">
        <v>235</v>
      </c>
      <c r="S173" s="232">
        <f t="array" ref="S173">SUM(IF((D10:D35=170106)*(B10:B35="Demolition"),G10:G35,0))</f>
        <v>0</v>
      </c>
      <c r="T173" s="232">
        <f t="array" ref="T173">SUM(IF((D10:D35=170106)*(B10:B35="Demolition"),H10:H35,0))</f>
        <v>0</v>
      </c>
      <c r="U173" s="232">
        <f t="array" ref="U173">SUM(IF((D10:D35=170106)*(B10:B35="Demolition"),I10:I35,0))</f>
        <v>0</v>
      </c>
      <c r="V173" s="232">
        <f t="array" ref="V173">SUM(IF((D10:D35=170106)*(B10:B35="Demolition"),J10:J35,0))</f>
        <v>0</v>
      </c>
      <c r="W173" s="232">
        <f t="array" ref="W173">SUM(IF((D10:D35=170106)*(B10:B35="Demolition"),K10:K35,0))</f>
        <v>0</v>
      </c>
      <c r="X173" s="232">
        <f t="array" ref="X173">SUM(IF((D10:D35=170106)*(B10:B35="Demolition"),L10:L35,0))</f>
        <v>0</v>
      </c>
      <c r="Y173" s="192">
        <f t="shared" si="115"/>
        <v>0</v>
      </c>
      <c r="Z173" s="501">
        <f t="shared" si="116"/>
        <v>0</v>
      </c>
    </row>
    <row r="174" spans="15:26" x14ac:dyDescent="0.25">
      <c r="O174" s="871"/>
      <c r="P174" s="868"/>
      <c r="Q174" s="235" t="s">
        <v>126</v>
      </c>
      <c r="R174" s="234" t="s">
        <v>236</v>
      </c>
      <c r="S174" s="191">
        <f t="array" ref="S174">SUM(IF((D10:D35=170106)*(B10:B35="Excavation"),G10:G35,0))</f>
        <v>0</v>
      </c>
      <c r="T174" s="191">
        <f t="array" ref="T174">SUM(IF((D10:D35=170106)*(B10:B35="Excavation"),H10:H35,0))</f>
        <v>0</v>
      </c>
      <c r="U174" s="191">
        <f t="array" ref="U174">SUM(IF((D10:D35=170106)*(B10:B35="Excavation"),I10:I35,0))</f>
        <v>0</v>
      </c>
      <c r="V174" s="191">
        <f t="array" ref="V174">SUM(IF((D10:D35=170106)*(B10:B35="Excavation"),J10:J35,0))</f>
        <v>0</v>
      </c>
      <c r="W174" s="191">
        <f t="array" ref="W174">SUM(IF((D10:D35=170106)*(B10:B35="Excavation"),K10:K35,0))</f>
        <v>0</v>
      </c>
      <c r="X174" s="191">
        <f t="array" ref="X174">SUM(IF((D10:D35=170106)*(B10:B35="Excavation"),L10:L35,0))</f>
        <v>0</v>
      </c>
      <c r="Y174" s="192">
        <f t="shared" si="115"/>
        <v>0</v>
      </c>
      <c r="Z174" s="501">
        <f t="shared" si="116"/>
        <v>0</v>
      </c>
    </row>
    <row r="175" spans="15:26" ht="13.8" thickBot="1" x14ac:dyDescent="0.3">
      <c r="O175" s="874"/>
      <c r="P175" s="869"/>
      <c r="Q175" s="235" t="s">
        <v>126</v>
      </c>
      <c r="R175" s="234" t="s">
        <v>237</v>
      </c>
      <c r="S175" s="191">
        <f t="array" ref="S175">SUM(IF((D10:D35=170106)*(B10:B35="Construction"),G10:G35,0))</f>
        <v>0</v>
      </c>
      <c r="T175" s="191">
        <f t="array" ref="T175">SUM(IF((D10:D35=170106)*(B10:B35="Construction"),H10:H35,0))</f>
        <v>0</v>
      </c>
      <c r="U175" s="191">
        <f t="array" ref="U175">SUM(IF((D10:D35=170106)*(B10:B35="Construction"),I10:I35,0))</f>
        <v>0</v>
      </c>
      <c r="V175" s="191">
        <f t="array" ref="V175">SUM(IF((D10:D35=170106)*(B10:B35="Construction"),J10:J35,0))</f>
        <v>0</v>
      </c>
      <c r="W175" s="191">
        <f t="array" ref="W175">SUM(IF((D10:D35=170106)*(B10:B35="Construction"),K10:K35,0))</f>
        <v>0</v>
      </c>
      <c r="X175" s="191">
        <f t="array" ref="X175">SUM(IF((D10:D35=170106)*(B10:B35="Construction"),L10:L35,0))</f>
        <v>0</v>
      </c>
      <c r="Y175" s="192">
        <f t="shared" si="115"/>
        <v>0</v>
      </c>
      <c r="Z175" s="501">
        <f t="shared" si="116"/>
        <v>0</v>
      </c>
    </row>
    <row r="176" spans="15:26" x14ac:dyDescent="0.25">
      <c r="O176" s="865" t="s">
        <v>124</v>
      </c>
      <c r="P176" s="867">
        <v>170107</v>
      </c>
      <c r="Q176" s="235" t="s">
        <v>123</v>
      </c>
      <c r="R176" s="231" t="s">
        <v>235</v>
      </c>
      <c r="S176" s="232">
        <f t="array" ref="S176">SUM(IF((D10:D35=170107)*(B10:B35="Demolition"),G10:G35,0))</f>
        <v>0</v>
      </c>
      <c r="T176" s="232">
        <f t="array" ref="T176">SUM(IF((D10:D35=170107)*(B10:B35="Demolition"),H10:H35,0))</f>
        <v>0</v>
      </c>
      <c r="U176" s="232">
        <f t="array" ref="U176">SUM(IF((D10:D35=170107)*(B10:B35="Demolition"),I10:I35,0))</f>
        <v>0</v>
      </c>
      <c r="V176" s="232">
        <f t="array" ref="V176">SUM(IF((D10:D35=170107)*(B10:B35="Demolition"),J10:J35,0))</f>
        <v>0</v>
      </c>
      <c r="W176" s="232">
        <f t="array" ref="W176">SUM(IF((D10:D35=170107)*(B10:B35="Demolition"),K10:K35,0))</f>
        <v>0</v>
      </c>
      <c r="X176" s="232">
        <f t="array" ref="X176">SUM(IF((D10:D35=170107)*(B10:B35="Demolition"),L10:L35,0))</f>
        <v>0</v>
      </c>
      <c r="Y176" s="192">
        <f t="shared" si="115"/>
        <v>0</v>
      </c>
      <c r="Z176" s="501">
        <f t="shared" si="116"/>
        <v>0</v>
      </c>
    </row>
    <row r="177" spans="15:26" x14ac:dyDescent="0.25">
      <c r="O177" s="871"/>
      <c r="P177" s="868"/>
      <c r="Q177" s="235" t="s">
        <v>123</v>
      </c>
      <c r="R177" s="234" t="s">
        <v>236</v>
      </c>
      <c r="S177" s="191">
        <f t="array" ref="S177">SUM(IF((D10:D35=170107)*(B10:B35="Excavation"),G10:G35,0))</f>
        <v>0</v>
      </c>
      <c r="T177" s="191">
        <f t="array" ref="T177">SUM(IF((D10:D35=170107)*(B10:B35="Excavation"),H10:H35,0))</f>
        <v>0</v>
      </c>
      <c r="U177" s="191">
        <f t="array" ref="U177">SUM(IF((D10:D35=170107)*(B10:B35="Excavation"),I10:I35,0))</f>
        <v>0</v>
      </c>
      <c r="V177" s="191">
        <f t="array" ref="V177">SUM(IF((D10:D35=170107)*(B10:B35="Excavation"),J10:J35,0))</f>
        <v>0</v>
      </c>
      <c r="W177" s="191">
        <f t="array" ref="W177">SUM(IF((D10:D35=170107)*(B10:B35="Excavation"),K10:K35,0))</f>
        <v>0</v>
      </c>
      <c r="X177" s="191">
        <f t="array" ref="X177">SUM(IF((D10:D35=170107)*(B10:B35="Excavation"),L10:L35,0))</f>
        <v>0</v>
      </c>
      <c r="Y177" s="192">
        <f t="shared" si="115"/>
        <v>0</v>
      </c>
      <c r="Z177" s="501">
        <f t="shared" si="116"/>
        <v>0</v>
      </c>
    </row>
    <row r="178" spans="15:26" ht="13.8" thickBot="1" x14ac:dyDescent="0.3">
      <c r="O178" s="874"/>
      <c r="P178" s="869"/>
      <c r="Q178" s="235" t="s">
        <v>123</v>
      </c>
      <c r="R178" s="234" t="s">
        <v>237</v>
      </c>
      <c r="S178" s="191">
        <f t="array" ref="S178">SUM(IF((D10:D35=170107)*(B10:B35="Construction"),G10:G35,0))</f>
        <v>0</v>
      </c>
      <c r="T178" s="191">
        <f t="array" ref="T178">SUM(IF((D10:D35=170107)*(B10:B35="Construction"),H10:H35,0))</f>
        <v>0</v>
      </c>
      <c r="U178" s="191">
        <f t="array" ref="U178">SUM(IF((D10:D35=170107)*(B10:B35="Construction"),I10:I35,0))</f>
        <v>0</v>
      </c>
      <c r="V178" s="191">
        <f t="array" ref="V178">SUM(IF((D10:D35=170107)*(B10:B35="Construction"),J10:J35,0))</f>
        <v>0</v>
      </c>
      <c r="W178" s="191">
        <f t="array" ref="W178">SUM(IF((D10:D35=170107)*(B10:B35="Construction"),K10:K35,0))</f>
        <v>0</v>
      </c>
      <c r="X178" s="191">
        <f t="array" ref="X178">SUM(IF((D10:D35=170107)*(B10:B35="Construction"),L10:L35,0))</f>
        <v>0</v>
      </c>
      <c r="Y178" s="192">
        <f t="shared" si="115"/>
        <v>0</v>
      </c>
      <c r="Z178" s="501">
        <f t="shared" si="116"/>
        <v>0</v>
      </c>
    </row>
    <row r="179" spans="15:26" x14ac:dyDescent="0.25">
      <c r="O179" s="865" t="s">
        <v>147</v>
      </c>
      <c r="P179" s="867">
        <v>170903</v>
      </c>
      <c r="Q179" s="235" t="s">
        <v>126</v>
      </c>
      <c r="R179" s="231" t="s">
        <v>235</v>
      </c>
      <c r="S179" s="232">
        <f t="array" ref="S179">SUM(IF((D10:D35=170903)*(B10:B35="Demolition"),G10:G35,0))</f>
        <v>0</v>
      </c>
      <c r="T179" s="232">
        <f t="array" ref="T179">SUM(IF((D10:D35=170903)*(B10:B35="Demolition"),H10:H35,0))</f>
        <v>0</v>
      </c>
      <c r="U179" s="232">
        <f t="array" ref="U179">SUM(IF((D10:D35=170903)*(B10:B35="Demolition"),I10:I35,0))</f>
        <v>0</v>
      </c>
      <c r="V179" s="232">
        <f t="array" ref="V179">SUM(IF((D10:D35=170903)*(B10:B35="Demolition"),J10:J35,0))</f>
        <v>0</v>
      </c>
      <c r="W179" s="232">
        <f t="array" ref="W179">SUM(IF((D10:D35=170903)*(B10:B35="Demolition"),K10:K35,0))</f>
        <v>0</v>
      </c>
      <c r="X179" s="232">
        <f t="array" ref="X179">SUM(IF((D10:D35=170903)*(B10:B35="Demolition"),L10:L35,0))</f>
        <v>0</v>
      </c>
      <c r="Y179" s="192">
        <f t="shared" si="115"/>
        <v>0</v>
      </c>
      <c r="Z179" s="501">
        <f t="shared" si="116"/>
        <v>0</v>
      </c>
    </row>
    <row r="180" spans="15:26" x14ac:dyDescent="0.25">
      <c r="O180" s="871"/>
      <c r="P180" s="868"/>
      <c r="Q180" s="235" t="s">
        <v>126</v>
      </c>
      <c r="R180" s="234" t="s">
        <v>236</v>
      </c>
      <c r="S180" s="191">
        <f t="array" ref="S180">SUM(IF((D10:D35=170903)*(B10:B35="Excavation"),G10:G35,0))</f>
        <v>0</v>
      </c>
      <c r="T180" s="191">
        <f t="array" ref="T180">SUM(IF((D10:D35=170903)*(B10:B35="Excavation"),H10:H35,0))</f>
        <v>0</v>
      </c>
      <c r="U180" s="191">
        <f t="array" ref="U180">SUM(IF((D10:D35=170903)*(B10:B35="Excavation"),I10:I35,0))</f>
        <v>0</v>
      </c>
      <c r="V180" s="191">
        <f t="array" ref="V180">SUM(IF((D10:D35=170903)*(B10:B35="Excavation"),J10:J35,0))</f>
        <v>0</v>
      </c>
      <c r="W180" s="191">
        <f t="array" ref="W180">SUM(IF((D10:D35=170903)*(B10:B35="Excavation"),K10:K35,0))</f>
        <v>0</v>
      </c>
      <c r="X180" s="191">
        <f t="array" ref="X180">SUM(IF((D10:D35=170903)*(B10:B35="Excavation"),L10:L35,0))</f>
        <v>0</v>
      </c>
      <c r="Y180" s="192">
        <f t="shared" si="115"/>
        <v>0</v>
      </c>
      <c r="Z180" s="501">
        <f t="shared" si="116"/>
        <v>0</v>
      </c>
    </row>
    <row r="181" spans="15:26" ht="13.8" thickBot="1" x14ac:dyDescent="0.3">
      <c r="O181" s="874"/>
      <c r="P181" s="869"/>
      <c r="Q181" s="235" t="s">
        <v>126</v>
      </c>
      <c r="R181" s="234" t="s">
        <v>237</v>
      </c>
      <c r="S181" s="191">
        <f t="array" ref="S181">SUM(IF((D10:D35=170903)*(B10:B35="Construction"),G10:G35,0))</f>
        <v>0</v>
      </c>
      <c r="T181" s="191">
        <f t="array" ref="T181">SUM(IF((D10:D35=170903)*(B10:B35="Construction"),H10:H35,0))</f>
        <v>0</v>
      </c>
      <c r="U181" s="191">
        <f t="array" ref="U181">SUM(IF((D10:D35=170903)*(B10:B35="Construction"),I10:I35,0))</f>
        <v>0</v>
      </c>
      <c r="V181" s="191">
        <f t="array" ref="V181">SUM(IF((D10:D35=170903)*(B10:B35="Construction"),J10:J35,0))</f>
        <v>0</v>
      </c>
      <c r="W181" s="191">
        <f t="array" ref="W181">SUM(IF((D10:D35=170903)*(B10:B35="Construction"),K10:K35,0))</f>
        <v>0</v>
      </c>
      <c r="X181" s="191">
        <f t="array" ref="X181">SUM(IF((D10:D35=170903)*(B10:B35="Construction"),L10:L35,0))</f>
        <v>0</v>
      </c>
      <c r="Y181" s="192">
        <f t="shared" si="115"/>
        <v>0</v>
      </c>
      <c r="Z181" s="501">
        <f t="shared" si="116"/>
        <v>0</v>
      </c>
    </row>
    <row r="182" spans="15:26" x14ac:dyDescent="0.25">
      <c r="O182" s="865" t="s">
        <v>148</v>
      </c>
      <c r="P182" s="867">
        <v>170904</v>
      </c>
      <c r="Q182" s="235" t="s">
        <v>123</v>
      </c>
      <c r="R182" s="231" t="s">
        <v>235</v>
      </c>
      <c r="S182" s="232">
        <f t="array" ref="S182">SUM(IF((D10:D35=170904)*(B10:B35="Demolition"),G10:G35,0))</f>
        <v>0</v>
      </c>
      <c r="T182" s="232">
        <f t="array" ref="T182">SUM(IF((D10:D35=170904)*(B10:B35="Demolition"),H10:H35,0))</f>
        <v>0</v>
      </c>
      <c r="U182" s="232">
        <f t="array" ref="U182">SUM(IF((D10:D35=170904)*(B10:B35="Demolition"),I10:I35,0))</f>
        <v>0</v>
      </c>
      <c r="V182" s="232">
        <f t="array" ref="V182">SUM(IF((D10:D35=170904)*(B10:B35="Demolition"),J10:J35,0))</f>
        <v>0</v>
      </c>
      <c r="W182" s="232">
        <f t="array" ref="W182">SUM(IF((D10:D35=170904)*(B10:B35="Demolition"),K10:K35,0))</f>
        <v>0</v>
      </c>
      <c r="X182" s="232">
        <f t="array" ref="X182">SUM(IF((D10:D35=170904)*(B10:B35="Demolition"),L10:L35,0))</f>
        <v>0</v>
      </c>
      <c r="Y182" s="192">
        <f t="shared" si="115"/>
        <v>0</v>
      </c>
      <c r="Z182" s="501">
        <f t="shared" si="116"/>
        <v>0</v>
      </c>
    </row>
    <row r="183" spans="15:26" x14ac:dyDescent="0.25">
      <c r="O183" s="871"/>
      <c r="P183" s="868"/>
      <c r="Q183" s="235" t="s">
        <v>123</v>
      </c>
      <c r="R183" s="234" t="s">
        <v>236</v>
      </c>
      <c r="S183" s="191">
        <f t="array" ref="S183">SUM(IF((D10:D35=170904)*(B10:B35="Excavation"),G10:G35,0))</f>
        <v>0</v>
      </c>
      <c r="T183" s="191">
        <f t="array" ref="T183">SUM(IF((D10:D35=170904)*(B10:B35="Excavation"),H10:H35,0))</f>
        <v>0</v>
      </c>
      <c r="U183" s="191">
        <f t="array" ref="U183">SUM(IF((D10:D35=170904)*(B10:B35="Excavation"),I10:I35,0))</f>
        <v>0</v>
      </c>
      <c r="V183" s="191">
        <f t="array" ref="V183">SUM(IF((D10:D35=170904)*(B10:B35="Excavation"),J10:J35,0))</f>
        <v>0</v>
      </c>
      <c r="W183" s="191">
        <f t="array" ref="W183">SUM(IF((D10:D35=170904)*(B10:B35="Excavation"),K10:K35,0))</f>
        <v>0</v>
      </c>
      <c r="X183" s="191">
        <f t="array" ref="X183">SUM(IF((D10:D35=170904)*(B10:B35="Excavation"),L10:L35,0))</f>
        <v>0</v>
      </c>
      <c r="Y183" s="192">
        <f t="shared" si="115"/>
        <v>0</v>
      </c>
      <c r="Z183" s="501">
        <f t="shared" si="116"/>
        <v>0</v>
      </c>
    </row>
    <row r="184" spans="15:26" ht="13.8" thickBot="1" x14ac:dyDescent="0.3">
      <c r="O184" s="874"/>
      <c r="P184" s="869"/>
      <c r="Q184" s="235" t="s">
        <v>123</v>
      </c>
      <c r="R184" s="234" t="s">
        <v>237</v>
      </c>
      <c r="S184" s="191">
        <f t="array" ref="S184">SUM(IF((D10:D35=170904)*(B10:B35="Construction"),G10:G35,0))</f>
        <v>0</v>
      </c>
      <c r="T184" s="191">
        <f t="array" ref="T184">SUM(IF((D10:D35=170904)*(B10:B35="Construction"),H10:H35,0))</f>
        <v>0</v>
      </c>
      <c r="U184" s="191">
        <f t="array" ref="U184">SUM(IF((D10:D35=170904)*(B10:B35="Construction"),I10:I35,0))</f>
        <v>0</v>
      </c>
      <c r="V184" s="191">
        <f t="array" ref="V184">SUM(IF((D10:D35=170904)*(B10:B35="Construction"),J10:J35,0))</f>
        <v>0</v>
      </c>
      <c r="W184" s="191">
        <f t="array" ref="W184">SUM(IF((D10:D35=170904)*(B10:B35="Construction"),K10:K35,0))</f>
        <v>0</v>
      </c>
      <c r="X184" s="191">
        <f t="array" ref="X184">SUM(IF((D10:D35=170904)*(B10:B35="Construction"),L10:L35,0))</f>
        <v>0</v>
      </c>
      <c r="Y184" s="192">
        <f t="shared" si="115"/>
        <v>0</v>
      </c>
      <c r="Z184" s="501">
        <f t="shared" si="116"/>
        <v>0</v>
      </c>
    </row>
    <row r="185" spans="15:26" x14ac:dyDescent="0.25">
      <c r="O185" s="865" t="s">
        <v>149</v>
      </c>
      <c r="P185" s="867">
        <v>170901</v>
      </c>
      <c r="Q185" s="235" t="s">
        <v>126</v>
      </c>
      <c r="R185" s="231" t="s">
        <v>235</v>
      </c>
      <c r="S185" s="232">
        <f t="array" ref="S185">SUM(IF((D10:D35=170901)*(B10:B35="Demolition"),G10:G35,0))</f>
        <v>0</v>
      </c>
      <c r="T185" s="232">
        <f t="array" ref="T185">SUM(IF((D10:D35=170901)*(B10:B35="Demolition"),H10:H35,0))</f>
        <v>0</v>
      </c>
      <c r="U185" s="232">
        <f t="array" ref="U185">SUM(IF((D10:D35=170901)*(B10:B35="Demolition"),I10:I35,0))</f>
        <v>0</v>
      </c>
      <c r="V185" s="232">
        <f t="array" ref="V185">SUM(IF((D10:D35=170901)*(B10:B35="Demolition"),J10:J35,0))</f>
        <v>0</v>
      </c>
      <c r="W185" s="232">
        <f t="array" ref="W185">SUM(IF((D10:D35=170901)*(B10:B35="Demolition"),K10:K35,0))</f>
        <v>0</v>
      </c>
      <c r="X185" s="232">
        <f t="array" ref="X185">SUM(IF((D10:D35=170901)*(B10:B35="Demolition"),L10:L35,0))</f>
        <v>0</v>
      </c>
      <c r="Y185" s="192">
        <f t="shared" si="115"/>
        <v>0</v>
      </c>
      <c r="Z185" s="501">
        <f t="shared" si="116"/>
        <v>0</v>
      </c>
    </row>
    <row r="186" spans="15:26" x14ac:dyDescent="0.25">
      <c r="O186" s="871"/>
      <c r="P186" s="868"/>
      <c r="Q186" s="235" t="s">
        <v>126</v>
      </c>
      <c r="R186" s="234" t="s">
        <v>236</v>
      </c>
      <c r="S186" s="191">
        <f t="array" ref="S186">SUM(IF((D10:D35=170901)*(B10:B35="Excavation"),G10:G35,0))</f>
        <v>0</v>
      </c>
      <c r="T186" s="191">
        <f t="array" ref="T186">SUM(IF((D10:D35=170901)*(B10:B35="Excavation"),H10:H35,0))</f>
        <v>0</v>
      </c>
      <c r="U186" s="191">
        <f t="array" ref="U186">SUM(IF((D10:D35=170901)*(B10:B35="Excavation"),I10:I35,0))</f>
        <v>0</v>
      </c>
      <c r="V186" s="191">
        <f t="array" ref="V186">SUM(IF((D10:D35=170901)*(B10:B35="Excavation"),J10:J35,0))</f>
        <v>0</v>
      </c>
      <c r="W186" s="191">
        <f t="array" ref="W186">SUM(IF((D10:D35=170901)*(B10:B35="Excavation"),K10:K35,0))</f>
        <v>0</v>
      </c>
      <c r="X186" s="191">
        <f t="array" ref="X186">SUM(IF((D10:D35=170901)*(B10:B35="Excavation"),L10:L35,0))</f>
        <v>0</v>
      </c>
      <c r="Y186" s="192">
        <f t="shared" ref="Y186:Y249" si="117">S186+T186+U186+V186+X186</f>
        <v>0</v>
      </c>
      <c r="Z186" s="501">
        <f t="shared" ref="Z186:Z249" si="118">T186+V186+X186</f>
        <v>0</v>
      </c>
    </row>
    <row r="187" spans="15:26" ht="13.8" thickBot="1" x14ac:dyDescent="0.3">
      <c r="O187" s="874"/>
      <c r="P187" s="869"/>
      <c r="Q187" s="235" t="s">
        <v>126</v>
      </c>
      <c r="R187" s="234" t="s">
        <v>237</v>
      </c>
      <c r="S187" s="191">
        <f t="array" ref="S187">SUM(IF((D10:D35=170901)*(B10:B35="Construction"),G10:G35,0))</f>
        <v>0</v>
      </c>
      <c r="T187" s="191">
        <f t="array" ref="T187">SUM(IF((D10:D35=170901)*(B10:B35="Construction"),H10:H35,0))</f>
        <v>0</v>
      </c>
      <c r="U187" s="191">
        <f t="array" ref="U187">SUM(IF((D10:D35=170901)*(B10:B35="Construction"),I10:I35,0))</f>
        <v>0</v>
      </c>
      <c r="V187" s="191">
        <f t="array" ref="V187">SUM(IF((D10:D35=170901)*(B10:B35="Construction"),J10:J35,0))</f>
        <v>0</v>
      </c>
      <c r="W187" s="191">
        <f t="array" ref="W187">SUM(IF((D10:D35=170901)*(B10:B35="Construction"),K10:K35,0))</f>
        <v>0</v>
      </c>
      <c r="X187" s="191">
        <f t="array" ref="X187">SUM(IF((D10:D35=170901)*(B10:B35="Construction"),L10:L35,0))</f>
        <v>0</v>
      </c>
      <c r="Y187" s="192">
        <f t="shared" si="117"/>
        <v>0</v>
      </c>
      <c r="Z187" s="501">
        <f t="shared" si="118"/>
        <v>0</v>
      </c>
    </row>
    <row r="188" spans="15:26" x14ac:dyDescent="0.25">
      <c r="O188" s="865" t="s">
        <v>150</v>
      </c>
      <c r="P188" s="867">
        <v>170902</v>
      </c>
      <c r="Q188" s="235" t="s">
        <v>126</v>
      </c>
      <c r="R188" s="231" t="s">
        <v>235</v>
      </c>
      <c r="S188" s="232">
        <f t="array" ref="S188">SUM(IF((D10:D35=170902)*(B10:B35="Demolition"),G10:G35,0))</f>
        <v>0</v>
      </c>
      <c r="T188" s="232">
        <f t="array" ref="T188">SUM(IF((D10:D35=170902)*(B10:B35="Demolition"),H10:H35,0))</f>
        <v>0</v>
      </c>
      <c r="U188" s="232">
        <f t="array" ref="U188">SUM(IF((D10:D35=170902)*(B10:B35="Demolition"),I10:I35,0))</f>
        <v>0</v>
      </c>
      <c r="V188" s="232">
        <f t="array" ref="V188">SUM(IF((D10:D35=170902)*(B10:B35="Demolition"),J10:J35,0))</f>
        <v>0</v>
      </c>
      <c r="W188" s="232">
        <f t="array" ref="W188">SUM(IF((D10:D35=170902)*(B10:B35="Demolition"),K10:K35,0))</f>
        <v>0</v>
      </c>
      <c r="X188" s="232">
        <f t="array" ref="X188">SUM(IF((D10:D35=170902)*(B10:B35="Demolition"),L10:L35,0))</f>
        <v>0</v>
      </c>
      <c r="Y188" s="192">
        <f t="shared" si="117"/>
        <v>0</v>
      </c>
      <c r="Z188" s="501">
        <f t="shared" si="118"/>
        <v>0</v>
      </c>
    </row>
    <row r="189" spans="15:26" x14ac:dyDescent="0.25">
      <c r="O189" s="871"/>
      <c r="P189" s="868"/>
      <c r="Q189" s="235" t="s">
        <v>126</v>
      </c>
      <c r="R189" s="234" t="s">
        <v>236</v>
      </c>
      <c r="S189" s="191">
        <f t="array" ref="S189">SUM(IF((D10:D35=170902)*(B10:B35="Excavation"),G10:G35,0))</f>
        <v>0</v>
      </c>
      <c r="T189" s="191">
        <f t="array" ref="T189">SUM(IF((D10:D35=170902)*(B10:B35="Excavation"),H10:H35,0))</f>
        <v>0</v>
      </c>
      <c r="U189" s="191">
        <f t="array" ref="U189">SUM(IF((D10:D35=170902)*(B10:B35="Excavation"),I10:I35,0))</f>
        <v>0</v>
      </c>
      <c r="V189" s="191">
        <f t="array" ref="V189">SUM(IF((D10:D35=170902)*(B10:B35="Excavation"),J10:J35,0))</f>
        <v>0</v>
      </c>
      <c r="W189" s="191">
        <f t="array" ref="W189">SUM(IF((D10:D35=170902)*(B10:B35="Excavation"),K10:K35,0))</f>
        <v>0</v>
      </c>
      <c r="X189" s="191">
        <f t="array" ref="X189">SUM(IF((D10:D35=170902)*(B10:B35="Excavation"),L10:L35,0))</f>
        <v>0</v>
      </c>
      <c r="Y189" s="192">
        <f t="shared" si="117"/>
        <v>0</v>
      </c>
      <c r="Z189" s="501">
        <f t="shared" si="118"/>
        <v>0</v>
      </c>
    </row>
    <row r="190" spans="15:26" ht="13.8" thickBot="1" x14ac:dyDescent="0.3">
      <c r="O190" s="874"/>
      <c r="P190" s="869"/>
      <c r="Q190" s="235" t="s">
        <v>126</v>
      </c>
      <c r="R190" s="234" t="s">
        <v>237</v>
      </c>
      <c r="S190" s="191">
        <f t="array" ref="S190">SUM(IF((D10:D35=170902)*(B10:B35="Construction"),G10:G35,0))</f>
        <v>0</v>
      </c>
      <c r="T190" s="191">
        <f t="array" ref="T190">SUM(IF((D10:D35=170902)*(B10:B35="Construction"),H10:H35,0))</f>
        <v>0</v>
      </c>
      <c r="U190" s="191">
        <f t="array" ref="U190">SUM(IF((D10:D35=170902)*(B10:B35="Construction"),I10:I35,0))</f>
        <v>0</v>
      </c>
      <c r="V190" s="191">
        <f t="array" ref="V190">SUM(IF((D10:D35=170902)*(B10:B35="Construction"),J10:J35,0))</f>
        <v>0</v>
      </c>
      <c r="W190" s="191">
        <f t="array" ref="W190">SUM(IF((D10:D35=170902)*(B10:B35="Construction"),K10:K35,0))</f>
        <v>0</v>
      </c>
      <c r="X190" s="191">
        <f t="array" ref="X190">SUM(IF((D10:D35=170902)*(B10:B35="Construction"),L10:L35,0))</f>
        <v>0</v>
      </c>
      <c r="Y190" s="192">
        <f t="shared" si="117"/>
        <v>0</v>
      </c>
      <c r="Z190" s="501">
        <f t="shared" si="118"/>
        <v>0</v>
      </c>
    </row>
    <row r="191" spans="15:26" x14ac:dyDescent="0.25">
      <c r="O191" s="865" t="s">
        <v>131</v>
      </c>
      <c r="P191" s="867">
        <v>170605</v>
      </c>
      <c r="Q191" s="235" t="s">
        <v>126</v>
      </c>
      <c r="R191" s="231" t="s">
        <v>235</v>
      </c>
      <c r="S191" s="232">
        <f t="array" ref="S191">SUM(IF((D10:D35=170605)*(B10:B35="Demolition"),G10:G35,0))</f>
        <v>0</v>
      </c>
      <c r="T191" s="232">
        <f t="array" ref="T191">SUM(IF((D10:D35=170605)*(B10:B35="Demolition"),H10:H35,0))</f>
        <v>0</v>
      </c>
      <c r="U191" s="232">
        <f t="array" ref="U191">SUM(IF((D10:D35=170605)*(B10:B35="Demolition"),I10:I35,0))</f>
        <v>0</v>
      </c>
      <c r="V191" s="232">
        <f t="array" ref="V191">SUM(IF((D10:D35=170605)*(B10:B35="Demolition"),J10:J35,0))</f>
        <v>0</v>
      </c>
      <c r="W191" s="232">
        <f t="array" ref="W191">SUM(IF((D10:D35=170605)*(B10:B35="Demolition"),K10:K35,0))</f>
        <v>0</v>
      </c>
      <c r="X191" s="232">
        <f t="array" ref="X191">SUM(IF((D10:D35=170605)*(B10:B35="Demolition"),L10:L35,0))</f>
        <v>0</v>
      </c>
      <c r="Y191" s="192">
        <f t="shared" si="117"/>
        <v>0</v>
      </c>
      <c r="Z191" s="501">
        <f t="shared" si="118"/>
        <v>0</v>
      </c>
    </row>
    <row r="192" spans="15:26" x14ac:dyDescent="0.25">
      <c r="O192" s="871"/>
      <c r="P192" s="868"/>
      <c r="Q192" s="235" t="s">
        <v>126</v>
      </c>
      <c r="R192" s="234" t="s">
        <v>236</v>
      </c>
      <c r="S192" s="191">
        <f t="array" ref="S192">SUM(IF((D10:D35=170605)*(B10:B35="Excavation"),G10:G35,0))</f>
        <v>0</v>
      </c>
      <c r="T192" s="191">
        <f t="array" ref="T192">SUM(IF((D10:D35=170605)*(B10:B35="Excavation"),H10:H35,0))</f>
        <v>0</v>
      </c>
      <c r="U192" s="191">
        <f t="array" ref="U192">SUM(IF((D10:D35=170605)*(B10:B35="Excavation"),I10:I35,0))</f>
        <v>0</v>
      </c>
      <c r="V192" s="191">
        <f t="array" ref="V192">SUM(IF((D10:D35=170605)*(B10:B35="Excavation"),J10:J35,0))</f>
        <v>0</v>
      </c>
      <c r="W192" s="191">
        <f t="array" ref="W192">SUM(IF((D10:D35=170605)*(B10:B35="Excavation"),K10:K35,0))</f>
        <v>0</v>
      </c>
      <c r="X192" s="191">
        <f t="array" ref="X192">SUM(IF((D10:D35=170605)*(B10:B35="Excavation"),L10:L35,0))</f>
        <v>0</v>
      </c>
      <c r="Y192" s="192">
        <f t="shared" si="117"/>
        <v>0</v>
      </c>
      <c r="Z192" s="501">
        <f t="shared" si="118"/>
        <v>0</v>
      </c>
    </row>
    <row r="193" spans="15:26" ht="13.8" thickBot="1" x14ac:dyDescent="0.3">
      <c r="O193" s="874"/>
      <c r="P193" s="869"/>
      <c r="Q193" s="235" t="s">
        <v>126</v>
      </c>
      <c r="R193" s="234" t="s">
        <v>237</v>
      </c>
      <c r="S193" s="191">
        <f t="array" ref="S193">SUM(IF((D10:D35=170605)*(B10:B35="Construction"),G10:G35,0))</f>
        <v>0</v>
      </c>
      <c r="T193" s="191">
        <f t="array" ref="T193">SUM(IF((D10:D35=170605)*(B10:B35="Construction"),H10:H35,0))</f>
        <v>0</v>
      </c>
      <c r="U193" s="191">
        <f t="array" ref="U193">SUM(IF((D10:D35=170605)*(B10:B35="Construction"),I10:I35,0))</f>
        <v>0</v>
      </c>
      <c r="V193" s="191">
        <f t="array" ref="V193">SUM(IF((D10:D35=170605)*(B10:B35="Construction"),J10:J35,0))</f>
        <v>0</v>
      </c>
      <c r="W193" s="191">
        <f t="array" ref="W193">SUM(IF((D10:D35=170605)*(B10:B35="Construction"),K10:K35,0))</f>
        <v>0</v>
      </c>
      <c r="X193" s="191">
        <f t="array" ref="X193">SUM(IF((D10:D35=170605)*(B10:B35="Construction"),L10:L35,0))</f>
        <v>0</v>
      </c>
      <c r="Y193" s="192">
        <f t="shared" si="117"/>
        <v>0</v>
      </c>
      <c r="Z193" s="501">
        <f t="shared" si="118"/>
        <v>0</v>
      </c>
    </row>
    <row r="194" spans="15:26" x14ac:dyDescent="0.25">
      <c r="O194" s="865" t="s">
        <v>151</v>
      </c>
      <c r="P194" s="867">
        <v>170506</v>
      </c>
      <c r="Q194" s="235" t="s">
        <v>123</v>
      </c>
      <c r="R194" s="231" t="s">
        <v>235</v>
      </c>
      <c r="S194" s="232">
        <f t="array" ref="S194">SUM(IF((D10:D35=170505)*(B10:B35="Demolition"),G10:G35,0))</f>
        <v>0</v>
      </c>
      <c r="T194" s="232">
        <f t="array" ref="T194">SUM(IF((D10:D35=170505)*(B10:B35="Demolition"),H10:H35,0))</f>
        <v>0</v>
      </c>
      <c r="U194" s="232">
        <f t="array" ref="U194">SUM(IF((D10:D35=170505)*(B10:B35="Demolition"),I10:I35,0))</f>
        <v>0</v>
      </c>
      <c r="V194" s="232">
        <f t="array" ref="V194">SUM(IF((D10:D35=170505)*(B10:B35="Demolition"),J10:J35,0))</f>
        <v>0</v>
      </c>
      <c r="W194" s="232">
        <f t="array" ref="W194">SUM(IF((D10:D35=170505)*(B10:B35="Demolition"),K10:K35,0))</f>
        <v>0</v>
      </c>
      <c r="X194" s="232">
        <f t="array" ref="X194">SUM(IF((D10:D35=170505)*(B10:B35="Demolition"),L10:L35,0))</f>
        <v>0</v>
      </c>
      <c r="Y194" s="192">
        <f t="shared" si="117"/>
        <v>0</v>
      </c>
      <c r="Z194" s="501">
        <f t="shared" si="118"/>
        <v>0</v>
      </c>
    </row>
    <row r="195" spans="15:26" x14ac:dyDescent="0.25">
      <c r="O195" s="871"/>
      <c r="P195" s="868"/>
      <c r="Q195" s="235" t="s">
        <v>123</v>
      </c>
      <c r="R195" s="234" t="s">
        <v>236</v>
      </c>
      <c r="S195" s="191">
        <f t="array" ref="S195">SUM(IF((D10:D35=170505)*(B10:B35="Excavation"),G10:G35,0))</f>
        <v>0</v>
      </c>
      <c r="T195" s="191">
        <f t="array" ref="T195">SUM(IF((D10:D35=170505)*(B10:B35="Excavation"),H10:H35,0))</f>
        <v>0</v>
      </c>
      <c r="U195" s="191">
        <f t="array" ref="U195">SUM(IF((D10:D35=170505)*(B10:B35="Excavation"),I10:I35,0))</f>
        <v>0</v>
      </c>
      <c r="V195" s="191">
        <f t="array" ref="V195">SUM(IF((D10:D35=170505)*(B10:B35="Excavation"),J10:J35,0))</f>
        <v>0</v>
      </c>
      <c r="W195" s="191">
        <f t="array" ref="W195">SUM(IF((D10:D35=170505)*(B10:B35="Excavation"),K10:K35,0))</f>
        <v>0</v>
      </c>
      <c r="X195" s="191">
        <f t="array" ref="X195">SUM(IF((D10:D35=170505)*(B10:B35="Excavation"),L10:L35,0))</f>
        <v>0</v>
      </c>
      <c r="Y195" s="192">
        <f t="shared" si="117"/>
        <v>0</v>
      </c>
      <c r="Z195" s="501">
        <f t="shared" si="118"/>
        <v>0</v>
      </c>
    </row>
    <row r="196" spans="15:26" ht="13.8" thickBot="1" x14ac:dyDescent="0.3">
      <c r="O196" s="874"/>
      <c r="P196" s="869"/>
      <c r="Q196" s="235" t="s">
        <v>123</v>
      </c>
      <c r="R196" s="234" t="s">
        <v>237</v>
      </c>
      <c r="S196" s="191">
        <f t="array" ref="S196">SUM(IF((D10:D35=170505)*(B10:B35="Construction"),G10:G35,0))</f>
        <v>0</v>
      </c>
      <c r="T196" s="191">
        <f t="array" ref="T196">SUM(IF((D10:D35=170505)*(B10:B35="Construction"),H10:H35,0))</f>
        <v>0</v>
      </c>
      <c r="U196" s="191">
        <f t="array" ref="U196">SUM(IF((D10:D35=170505)*(B10:B35="Construction"),I10:I35,0))</f>
        <v>0</v>
      </c>
      <c r="V196" s="191">
        <f t="array" ref="V196">SUM(IF((D10:D35=170505)*(B10:B35="Construction"),J10:J35,0))</f>
        <v>0</v>
      </c>
      <c r="W196" s="191">
        <f t="array" ref="W196">SUM(IF((D10:D35=170505)*(B10:B35="Construction"),K10:K35,0))</f>
        <v>0</v>
      </c>
      <c r="X196" s="191">
        <f t="array" ref="X196">SUM(IF((D10:D35=170505)*(B10:B35="Construction"),L10:L35,0))</f>
        <v>0</v>
      </c>
      <c r="Y196" s="192">
        <f t="shared" si="117"/>
        <v>0</v>
      </c>
      <c r="Z196" s="501">
        <f t="shared" si="118"/>
        <v>0</v>
      </c>
    </row>
    <row r="197" spans="15:26" x14ac:dyDescent="0.25">
      <c r="O197" s="865" t="s">
        <v>152</v>
      </c>
      <c r="P197" s="867">
        <v>170505</v>
      </c>
      <c r="Q197" s="235" t="s">
        <v>126</v>
      </c>
      <c r="R197" s="231" t="s">
        <v>235</v>
      </c>
      <c r="S197" s="232">
        <f t="array" ref="S197">SUM(IF((D10:D35=170505)*(B10:B35="Demolition"),G10:G35,0))</f>
        <v>0</v>
      </c>
      <c r="T197" s="232">
        <f t="array" ref="T197">SUM(IF((D10:D35=170505)*(B10:B35="Demolition"),H10:H35,0))</f>
        <v>0</v>
      </c>
      <c r="U197" s="232">
        <f t="array" ref="U197">SUM(IF((D10:D35=170505)*(B10:B35="Demolition"),I10:I35,0))</f>
        <v>0</v>
      </c>
      <c r="V197" s="232">
        <f t="array" ref="V197">SUM(IF((D10:D35=170505)*(B10:B35="Demolition"),J10:J35,0))</f>
        <v>0</v>
      </c>
      <c r="W197" s="232">
        <f t="array" ref="W197">SUM(IF((D10:D35=170505)*(B10:B35="Demolition"),K10:K35,0))</f>
        <v>0</v>
      </c>
      <c r="X197" s="232">
        <f t="array" ref="X197">SUM(IF((D10:D35=170505)*(B10:B35="Demolition"),L10:L35,0))</f>
        <v>0</v>
      </c>
      <c r="Y197" s="192">
        <f t="shared" si="117"/>
        <v>0</v>
      </c>
      <c r="Z197" s="501">
        <f t="shared" si="118"/>
        <v>0</v>
      </c>
    </row>
    <row r="198" spans="15:26" x14ac:dyDescent="0.25">
      <c r="O198" s="871"/>
      <c r="P198" s="868"/>
      <c r="Q198" s="235" t="s">
        <v>126</v>
      </c>
      <c r="R198" s="234" t="s">
        <v>236</v>
      </c>
      <c r="S198" s="191">
        <f t="array" ref="S198">SUM(IF((D10:D35=170505)*(B10:B35="Excavation"),G10:G35,0))</f>
        <v>0</v>
      </c>
      <c r="T198" s="191">
        <f t="array" ref="T198">SUM(IF((D10:D35=170505)*(B10:B35="Excavation"),H10:H35,0))</f>
        <v>0</v>
      </c>
      <c r="U198" s="191">
        <f t="array" ref="U198">SUM(IF((D10:D35=170505)*(B10:B35="Excavation"),I10:I35,0))</f>
        <v>0</v>
      </c>
      <c r="V198" s="191">
        <f t="array" ref="V198">SUM(IF((D10:D35=170505)*(B10:B35="Excavation"),J10:J35,0))</f>
        <v>0</v>
      </c>
      <c r="W198" s="191">
        <f t="array" ref="W198">SUM(IF((D10:D35=170505)*(B10:B35="Excavation"),K10:K35,0))</f>
        <v>0</v>
      </c>
      <c r="X198" s="191">
        <f t="array" ref="X198">SUM(IF((D10:D35=170505)*(B10:B35="Excavation"),L10:L35,0))</f>
        <v>0</v>
      </c>
      <c r="Y198" s="192">
        <f t="shared" si="117"/>
        <v>0</v>
      </c>
      <c r="Z198" s="501">
        <f t="shared" si="118"/>
        <v>0</v>
      </c>
    </row>
    <row r="199" spans="15:26" ht="13.8" thickBot="1" x14ac:dyDescent="0.3">
      <c r="O199" s="874"/>
      <c r="P199" s="869"/>
      <c r="Q199" s="235" t="s">
        <v>126</v>
      </c>
      <c r="R199" s="234" t="s">
        <v>237</v>
      </c>
      <c r="S199" s="191">
        <f t="array" ref="S199">SUM(IF((D10:D35=170505)*(B10:B35="Construction"),G10:G35,0))</f>
        <v>0</v>
      </c>
      <c r="T199" s="191">
        <f t="array" ref="T199">SUM(IF((D10:D35=170505)*(B10:B35="Construction"),H10:H35,0))</f>
        <v>0</v>
      </c>
      <c r="U199" s="191">
        <f t="array" ref="U199">SUM(IF((D10:D35=170505)*(B10:B35="Construction"),I10:I35,0))</f>
        <v>0</v>
      </c>
      <c r="V199" s="191">
        <f t="array" ref="V199">SUM(IF((D10:D35=170505)*(B10:B35="Construction"),J10:J35,0))</f>
        <v>0</v>
      </c>
      <c r="W199" s="191">
        <f t="array" ref="W199">SUM(IF((D10:D35=170505)*(B10:B35="Construction"),K10:K35,0))</f>
        <v>0</v>
      </c>
      <c r="X199" s="191">
        <f t="array" ref="X199">SUM(IF((D10:D35=170505)*(B10:B35="Construction"),L10:L35,0))</f>
        <v>0</v>
      </c>
      <c r="Y199" s="192">
        <f t="shared" si="117"/>
        <v>0</v>
      </c>
      <c r="Z199" s="501">
        <f t="shared" si="118"/>
        <v>0</v>
      </c>
    </row>
    <row r="200" spans="15:26" x14ac:dyDescent="0.25">
      <c r="O200" s="865" t="s">
        <v>153</v>
      </c>
      <c r="P200" s="867">
        <v>160214</v>
      </c>
      <c r="Q200" s="235" t="s">
        <v>123</v>
      </c>
      <c r="R200" s="231" t="s">
        <v>235</v>
      </c>
      <c r="S200" s="232">
        <f t="array" ref="S200">SUM(IF((D10:D35=160214)*(B10:B35="Demolition"),G10:G35,0))</f>
        <v>0</v>
      </c>
      <c r="T200" s="232">
        <f t="array" ref="T200">SUM(IF((D10:D35=160214)*(B10:B35="Demolition"),H10:H35,0))</f>
        <v>0</v>
      </c>
      <c r="U200" s="232">
        <f t="array" ref="U200">SUM(IF((D10:D35=160214)*(B10:B35="Demolition"),I10:I35,0))</f>
        <v>0</v>
      </c>
      <c r="V200" s="232">
        <f t="array" ref="V200">SUM(IF((D10:D35=160214)*(B10:B35="Demolition"),J10:J35,0))</f>
        <v>0</v>
      </c>
      <c r="W200" s="232">
        <f t="array" ref="W200">SUM(IF((D10:D35=160214)*(B10:B35="Demolition"),K10:K35,0))</f>
        <v>0</v>
      </c>
      <c r="X200" s="232">
        <f t="array" ref="X200">SUM(IF((D10:D35=160214)*(B10:B35="Demolition"),L10:L35,0))</f>
        <v>0</v>
      </c>
      <c r="Y200" s="192">
        <f t="shared" si="117"/>
        <v>0</v>
      </c>
      <c r="Z200" s="501">
        <f t="shared" si="118"/>
        <v>0</v>
      </c>
    </row>
    <row r="201" spans="15:26" x14ac:dyDescent="0.25">
      <c r="O201" s="871"/>
      <c r="P201" s="868"/>
      <c r="Q201" s="235" t="s">
        <v>123</v>
      </c>
      <c r="R201" s="234" t="s">
        <v>236</v>
      </c>
      <c r="S201" s="191">
        <f t="array" ref="S201">SUM(IF((D10:D35=160214)*(B10:B35="Excavation"),G10:G35,0))</f>
        <v>0</v>
      </c>
      <c r="T201" s="191">
        <f t="array" ref="T201">SUM(IF((D10:D35=160214)*(B10:B35="Excavation"),H10:H35,0))</f>
        <v>0</v>
      </c>
      <c r="U201" s="191">
        <f t="array" ref="U201">SUM(IF((D10:D35=160214)*(B10:B35="Excavation"),I10:I35,0))</f>
        <v>0</v>
      </c>
      <c r="V201" s="191">
        <f t="array" ref="V201">SUM(IF((D10:D35=160214)*(B10:B35="Excavation"),J10:J35,0))</f>
        <v>0</v>
      </c>
      <c r="W201" s="191">
        <f t="array" ref="W201">SUM(IF((D10:D35=160214)*(B10:B35="Excavation"),K10:K35,0))</f>
        <v>0</v>
      </c>
      <c r="X201" s="191">
        <f t="array" ref="X201">SUM(IF((D10:D35=160214)*(B10:B35="Excavation"),L10:L35,0))</f>
        <v>0</v>
      </c>
      <c r="Y201" s="192">
        <f t="shared" si="117"/>
        <v>0</v>
      </c>
      <c r="Z201" s="501">
        <f t="shared" si="118"/>
        <v>0</v>
      </c>
    </row>
    <row r="202" spans="15:26" ht="13.8" thickBot="1" x14ac:dyDescent="0.3">
      <c r="O202" s="874"/>
      <c r="P202" s="869"/>
      <c r="Q202" s="235" t="s">
        <v>123</v>
      </c>
      <c r="R202" s="234" t="s">
        <v>237</v>
      </c>
      <c r="S202" s="191">
        <f t="array" ref="S202">SUM(IF((D10:D35=160214)*(B10:B35="Construction"),G10:G35,0))</f>
        <v>0</v>
      </c>
      <c r="T202" s="191">
        <f t="array" ref="T202">SUM(IF((D10:D35=160214)*(B10:B35="Construction"),H10:H35,0))</f>
        <v>0</v>
      </c>
      <c r="U202" s="191">
        <f t="array" ref="U202">SUM(IF((D10:D35=160214)*(B10:B35="Construction"),I10:I35,0))</f>
        <v>0</v>
      </c>
      <c r="V202" s="191">
        <f t="array" ref="V202">SUM(IF((D10:D35=160214)*(B10:B35="Construction"),J10:J35,0))</f>
        <v>0</v>
      </c>
      <c r="W202" s="191">
        <f t="array" ref="W202">SUM(IF((D10:D35=160214)*(B10:B35="Construction"),K10:K35,0))</f>
        <v>0</v>
      </c>
      <c r="X202" s="191">
        <f t="array" ref="X202">SUM(IF((D10:D35=160214)*(B10:B35="Construction"),L10:L35,0))</f>
        <v>0</v>
      </c>
      <c r="Y202" s="192">
        <f t="shared" si="117"/>
        <v>0</v>
      </c>
      <c r="Z202" s="501">
        <f t="shared" si="118"/>
        <v>0</v>
      </c>
    </row>
    <row r="203" spans="15:26" x14ac:dyDescent="0.25">
      <c r="O203" s="865" t="s">
        <v>154</v>
      </c>
      <c r="P203" s="867">
        <v>160211</v>
      </c>
      <c r="Q203" s="235" t="s">
        <v>126</v>
      </c>
      <c r="R203" s="231" t="s">
        <v>235</v>
      </c>
      <c r="S203" s="232">
        <f t="array" ref="S203">SUM(IF((D10:D35=160211)*(B10:B35="Demolition"),G10:G35,0))</f>
        <v>0</v>
      </c>
      <c r="T203" s="232">
        <f t="array" ref="T203">SUM(IF((D10:D35=160211)*(B10:B35="Demolition"),H10:H35,0))</f>
        <v>0</v>
      </c>
      <c r="U203" s="232">
        <f t="array" ref="U203">SUM(IF((D10:D35=160211)*(B10:B35="Demolition"),I10:I35,0))</f>
        <v>0</v>
      </c>
      <c r="V203" s="232">
        <f t="array" ref="V203">SUM(IF((D10:D35=160211)*(B10:B35="Demolition"),J10:J35,0))</f>
        <v>0</v>
      </c>
      <c r="W203" s="232">
        <f t="array" ref="W203">SUM(IF((D10:D35=160211)*(B10:B35="Demolition"),K10:K35,0))</f>
        <v>0</v>
      </c>
      <c r="X203" s="232">
        <f t="array" ref="X203">SUM(IF((D10:D35=160211)*(B10:B35="Demolition"),L10:L35,0))</f>
        <v>0</v>
      </c>
      <c r="Y203" s="192">
        <f t="shared" si="117"/>
        <v>0</v>
      </c>
      <c r="Z203" s="501">
        <f t="shared" si="118"/>
        <v>0</v>
      </c>
    </row>
    <row r="204" spans="15:26" x14ac:dyDescent="0.25">
      <c r="O204" s="871"/>
      <c r="P204" s="868"/>
      <c r="Q204" s="235" t="s">
        <v>126</v>
      </c>
      <c r="R204" s="234" t="s">
        <v>236</v>
      </c>
      <c r="S204" s="191">
        <f t="array" ref="S204">SUM(IF((D10:D35=160211)*(B10:B35="Excavation"),G10:G35,0))</f>
        <v>0</v>
      </c>
      <c r="T204" s="191">
        <f t="array" ref="T204">SUM(IF((D10:D35=160211)*(B10:B35="Excavation"),H10:H35,0))</f>
        <v>0</v>
      </c>
      <c r="U204" s="191">
        <f t="array" ref="U204">SUM(IF((D10:D35=160211)*(B10:B35="Excavation"),I10:I35,0))</f>
        <v>0</v>
      </c>
      <c r="V204" s="191">
        <f t="array" ref="V204">SUM(IF((D10:D35=160211)*(B10:B35="Excavation"),J10:J35,0))</f>
        <v>0</v>
      </c>
      <c r="W204" s="191">
        <f t="array" ref="W204">SUM(IF((D10:D35=160211)*(B10:B35="Excavation"),K10:K35,0))</f>
        <v>0</v>
      </c>
      <c r="X204" s="191">
        <f t="array" ref="X204">SUM(IF((D10:D35=160211)*(B10:B35="Excavation"),L10:L35,0))</f>
        <v>0</v>
      </c>
      <c r="Y204" s="192">
        <f t="shared" si="117"/>
        <v>0</v>
      </c>
      <c r="Z204" s="501">
        <f t="shared" si="118"/>
        <v>0</v>
      </c>
    </row>
    <row r="205" spans="15:26" ht="13.8" thickBot="1" x14ac:dyDescent="0.3">
      <c r="O205" s="874"/>
      <c r="P205" s="869"/>
      <c r="Q205" s="235" t="s">
        <v>126</v>
      </c>
      <c r="R205" s="234" t="s">
        <v>237</v>
      </c>
      <c r="S205" s="191">
        <f t="array" ref="S205">SUM(IF((D10:D35=160211)*(B10:B35="Construction"),G10:G35,0))</f>
        <v>0</v>
      </c>
      <c r="T205" s="191">
        <f t="array" ref="T205">SUM(IF((D10:D35=160211)*(B10:B35="Construction"),H10:H35,0))</f>
        <v>0</v>
      </c>
      <c r="U205" s="191">
        <f t="array" ref="U205">SUM(IF((D10:D35=160211)*(B10:B35="Construction"),I10:I35,0))</f>
        <v>0</v>
      </c>
      <c r="V205" s="191">
        <f t="array" ref="V205">SUM(IF((D10:D35=160211)*(B10:B35="Construction"),J10:J35,0))</f>
        <v>0</v>
      </c>
      <c r="W205" s="191">
        <f t="array" ref="W205">SUM(IF((D10:D35=160211)*(B10:B35="Construction"),K10:K35,0))</f>
        <v>0</v>
      </c>
      <c r="X205" s="191">
        <f t="array" ref="X205">SUM(IF((D10:D35=160211)*(B10:B35="Construction"),L10:L35,0))</f>
        <v>0</v>
      </c>
      <c r="Y205" s="192">
        <f t="shared" si="117"/>
        <v>0</v>
      </c>
      <c r="Z205" s="501">
        <f t="shared" si="118"/>
        <v>0</v>
      </c>
    </row>
    <row r="206" spans="15:26" x14ac:dyDescent="0.25">
      <c r="O206" s="865" t="s">
        <v>155</v>
      </c>
      <c r="P206" s="867">
        <v>160213</v>
      </c>
      <c r="Q206" s="235" t="s">
        <v>126</v>
      </c>
      <c r="R206" s="231" t="s">
        <v>235</v>
      </c>
      <c r="S206" s="232">
        <f t="array" ref="S206">SUM(IF((D10:D35=160213)*(B10:B35="Demolition"),G10:G35,0))</f>
        <v>0</v>
      </c>
      <c r="T206" s="232">
        <f t="array" ref="T206">SUM(IF((D10:D35=160213)*(B10:B35="Demolition"),H10:H35,0))</f>
        <v>0</v>
      </c>
      <c r="U206" s="232">
        <f t="array" ref="U206">SUM(IF((D10:D35=160213)*(B10:B35="Demolition"),I10:I35,0))</f>
        <v>0</v>
      </c>
      <c r="V206" s="232">
        <f t="array" ref="V206">SUM(IF((D10:D35=160213)*(B10:B35="Demolition"),J10:J35,0))</f>
        <v>0</v>
      </c>
      <c r="W206" s="232">
        <f t="array" ref="W206">SUM(IF((D10:D35=160213)*(B10:B35="Demolition"),K10:K35,0))</f>
        <v>0</v>
      </c>
      <c r="X206" s="232">
        <f t="array" ref="X206">SUM(IF((D10:D35=160213)*(B10:B35="Demolition"),L10:L35,0))</f>
        <v>0</v>
      </c>
      <c r="Y206" s="192">
        <f t="shared" si="117"/>
        <v>0</v>
      </c>
      <c r="Z206" s="501">
        <f t="shared" si="118"/>
        <v>0</v>
      </c>
    </row>
    <row r="207" spans="15:26" x14ac:dyDescent="0.25">
      <c r="O207" s="871"/>
      <c r="P207" s="868"/>
      <c r="Q207" s="235" t="s">
        <v>126</v>
      </c>
      <c r="R207" s="234" t="s">
        <v>236</v>
      </c>
      <c r="S207" s="191">
        <f t="array" ref="S207">SUM(IF((D10:D35=160213)*(B10:B35="Excavation"),G10:G35,0))</f>
        <v>0</v>
      </c>
      <c r="T207" s="191">
        <f t="array" ref="T207">SUM(IF((D10:D35=160213)*(B10:B35="Excavation"),H10:H35,0))</f>
        <v>0</v>
      </c>
      <c r="U207" s="191">
        <f t="array" ref="U207">SUM(IF((D10:D35=160213)*(B10:B35="Excavation"),I10:I35,0))</f>
        <v>0</v>
      </c>
      <c r="V207" s="191">
        <f t="array" ref="V207">SUM(IF((D10:D35=160213)*(B10:B35="Excavation"),J10:J35,0))</f>
        <v>0</v>
      </c>
      <c r="W207" s="191">
        <f t="array" ref="W207">SUM(IF((D10:D35=160213)*(B10:B35="Excavation"),K10:K35,0))</f>
        <v>0</v>
      </c>
      <c r="X207" s="191">
        <f t="array" ref="X207">SUM(IF((D10:D35=160213)*(B10:B35="Excavation"),L10:L35,0))</f>
        <v>0</v>
      </c>
      <c r="Y207" s="192">
        <f t="shared" si="117"/>
        <v>0</v>
      </c>
      <c r="Z207" s="501">
        <f t="shared" si="118"/>
        <v>0</v>
      </c>
    </row>
    <row r="208" spans="15:26" ht="13.8" thickBot="1" x14ac:dyDescent="0.3">
      <c r="O208" s="874"/>
      <c r="P208" s="869"/>
      <c r="Q208" s="235" t="s">
        <v>126</v>
      </c>
      <c r="R208" s="234" t="s">
        <v>237</v>
      </c>
      <c r="S208" s="191">
        <f t="array" ref="S208">SUM(IF((D10:D35=160213)*(B10:B35="Construction"),G10:G35,0))</f>
        <v>0</v>
      </c>
      <c r="T208" s="191">
        <f t="array" ref="T208">SUM(IF((D10:D35=160213)*(B10:B35="Construction"),H10:H35,0))</f>
        <v>0</v>
      </c>
      <c r="U208" s="191">
        <f t="array" ref="U208">SUM(IF((D10:D35=160213)*(B10:B35="Construction"),I10:I35,0))</f>
        <v>0</v>
      </c>
      <c r="V208" s="191">
        <f t="array" ref="V208">SUM(IF((D10:D35=160213)*(B10:B35="Construction"),J10:J35,0))</f>
        <v>0</v>
      </c>
      <c r="W208" s="191">
        <f t="array" ref="W208">SUM(IF((D10:D35=160213)*(B10:B35="Construction"),K10:K35,0))</f>
        <v>0</v>
      </c>
      <c r="X208" s="191">
        <f t="array" ref="X208">SUM(IF((D10:D35=160213)*(B10:B35="Construction"),L10:L35,0))</f>
        <v>0</v>
      </c>
      <c r="Y208" s="192">
        <f t="shared" si="117"/>
        <v>0</v>
      </c>
      <c r="Z208" s="501">
        <f t="shared" si="118"/>
        <v>0</v>
      </c>
    </row>
    <row r="209" spans="15:26" x14ac:dyDescent="0.25">
      <c r="O209" s="865" t="s">
        <v>156</v>
      </c>
      <c r="P209" s="867">
        <v>160210</v>
      </c>
      <c r="Q209" s="235" t="s">
        <v>126</v>
      </c>
      <c r="R209" s="231" t="s">
        <v>235</v>
      </c>
      <c r="S209" s="232">
        <f t="array" ref="S209">SUM(IF((D10:D35=160210)*(B10:B35="Demolition"),G10:G35,0))</f>
        <v>0</v>
      </c>
      <c r="T209" s="232">
        <f t="array" ref="T209">SUM(IF((D10:D35=160210)*(B10:B35="Demolition"),H10:H35,0))</f>
        <v>0</v>
      </c>
      <c r="U209" s="232">
        <f t="array" ref="U209">SUM(IF((D10:D35=160210)*(B10:B35="Demolition"),I10:I35,0))</f>
        <v>0</v>
      </c>
      <c r="V209" s="232">
        <f t="array" ref="V209">SUM(IF((D10:D35=160210)*(B10:B35="Demolition"),J10:J35,0))</f>
        <v>0</v>
      </c>
      <c r="W209" s="232">
        <f t="array" ref="W209">SUM(IF((D10:D35=160210)*(B10:B35="Demolition"),K10:K35,0))</f>
        <v>0</v>
      </c>
      <c r="X209" s="232">
        <f t="array" ref="X209">SUM(IF((D10:D35=160210)*(B10:B35="Demolition"),L10:L35,0))</f>
        <v>0</v>
      </c>
      <c r="Y209" s="192">
        <f t="shared" si="117"/>
        <v>0</v>
      </c>
      <c r="Z209" s="501">
        <f t="shared" si="118"/>
        <v>0</v>
      </c>
    </row>
    <row r="210" spans="15:26" x14ac:dyDescent="0.25">
      <c r="O210" s="871"/>
      <c r="P210" s="868"/>
      <c r="Q210" s="235" t="s">
        <v>126</v>
      </c>
      <c r="R210" s="234" t="s">
        <v>236</v>
      </c>
      <c r="S210" s="191">
        <f t="array" ref="S210">SUM(IF((D10:D35=160210)*(B10:B35="Excavation"),G10:G35,0))</f>
        <v>0</v>
      </c>
      <c r="T210" s="191">
        <f t="array" ref="T210">SUM(IF((D10:D35=160210)*(B10:B35="Excavation"),H10:H35,0))</f>
        <v>0</v>
      </c>
      <c r="U210" s="191">
        <f t="array" ref="U210">SUM(IF((D10:D35=160210)*(B10:B35="Excavation"),I10:I35,0))</f>
        <v>0</v>
      </c>
      <c r="V210" s="191">
        <f t="array" ref="V210">SUM(IF((D10:D35=160210)*(B10:B35="Excavation"),J10:J35,0))</f>
        <v>0</v>
      </c>
      <c r="W210" s="191">
        <f t="array" ref="W210">SUM(IF((D10:D35=160210)*(B10:B35="Excavation"),K10:K35,0))</f>
        <v>0</v>
      </c>
      <c r="X210" s="191">
        <f t="array" ref="X210">SUM(IF((D10:D35=160210)*(B10:B35="Excavation"),L10:L35,0))</f>
        <v>0</v>
      </c>
      <c r="Y210" s="192">
        <f t="shared" si="117"/>
        <v>0</v>
      </c>
      <c r="Z210" s="501">
        <f t="shared" si="118"/>
        <v>0</v>
      </c>
    </row>
    <row r="211" spans="15:26" ht="13.8" thickBot="1" x14ac:dyDescent="0.3">
      <c r="O211" s="874"/>
      <c r="P211" s="869"/>
      <c r="Q211" s="235" t="s">
        <v>126</v>
      </c>
      <c r="R211" s="234" t="s">
        <v>237</v>
      </c>
      <c r="S211" s="191">
        <f t="array" ref="S211">SUM(IF((D10:D35=160210)*(B10:B35="Construction"),G10:G35,0))</f>
        <v>0</v>
      </c>
      <c r="T211" s="191">
        <f t="array" ref="T211">SUM(IF((D10:D35=160210)*(B10:B35="Construction"),H10:H35,0))</f>
        <v>0</v>
      </c>
      <c r="U211" s="191">
        <f t="array" ref="U211">SUM(IF((D10:D35=160210)*(B10:B35="Construction"),I10:I35,0))</f>
        <v>0</v>
      </c>
      <c r="V211" s="191">
        <f t="array" ref="V211">SUM(IF((D10:D35=160210)*(B10:B35="Construction"),J10:J35,0))</f>
        <v>0</v>
      </c>
      <c r="W211" s="191">
        <f t="array" ref="W211">SUM(IF((D10:D35=160210)*(B10:B35="Construction"),K10:K35,0))</f>
        <v>0</v>
      </c>
      <c r="X211" s="191">
        <f t="array" ref="X211">SUM(IF((D10:D35=160210)*(B10:B35="Construction"),L10:L35,0))</f>
        <v>0</v>
      </c>
      <c r="Y211" s="192">
        <f t="shared" si="117"/>
        <v>0</v>
      </c>
      <c r="Z211" s="501">
        <f t="shared" si="118"/>
        <v>0</v>
      </c>
    </row>
    <row r="212" spans="15:26" x14ac:dyDescent="0.25">
      <c r="O212" s="865" t="s">
        <v>157</v>
      </c>
      <c r="P212" s="867">
        <v>200199</v>
      </c>
      <c r="Q212" s="235" t="s">
        <v>123</v>
      </c>
      <c r="R212" s="231" t="s">
        <v>235</v>
      </c>
      <c r="S212" s="232">
        <f t="array" ref="S212">SUM(IF((D10:D35=200199)*(B10:B35="Demolition"),G10:G35,0))</f>
        <v>0</v>
      </c>
      <c r="T212" s="232">
        <f t="array" ref="T212">SUM(IF((D10:D35=200199)*(B10:B35="Demolition"),H10:H35,0))</f>
        <v>0</v>
      </c>
      <c r="U212" s="232">
        <f t="array" ref="U212">SUM(IF((D10:D35=200199)*(B10:B35="Demolition"),I10:I35,0))</f>
        <v>0</v>
      </c>
      <c r="V212" s="232">
        <f t="array" ref="V212">SUM(IF((D10:D35=200199)*(B10:B35="Demolition"),J10:J35,0))</f>
        <v>0</v>
      </c>
      <c r="W212" s="232">
        <f t="array" ref="W212">SUM(IF((D10:D35=200199)*(B10:B35="Demolition"),K10:K35,0))</f>
        <v>0</v>
      </c>
      <c r="X212" s="232">
        <f t="array" ref="X212">SUM(IF((D10:D35=200199)*(B10:B35="Demolition"),L10:L35,0))</f>
        <v>0</v>
      </c>
      <c r="Y212" s="192">
        <f t="shared" si="117"/>
        <v>0</v>
      </c>
      <c r="Z212" s="501">
        <f t="shared" si="118"/>
        <v>0</v>
      </c>
    </row>
    <row r="213" spans="15:26" x14ac:dyDescent="0.25">
      <c r="O213" s="871"/>
      <c r="P213" s="868"/>
      <c r="Q213" s="235" t="s">
        <v>123</v>
      </c>
      <c r="R213" s="234" t="s">
        <v>236</v>
      </c>
      <c r="S213" s="191">
        <f t="array" ref="S213">SUM(IF((D10:D35=200199)*(B10:B35="Excavation"),G10:G35,0))</f>
        <v>0</v>
      </c>
      <c r="T213" s="191">
        <f t="array" ref="T213">SUM(IF((D10:D35=200199)*(B10:B35="Excavation"),H10:H35,0))</f>
        <v>0</v>
      </c>
      <c r="U213" s="191">
        <f t="array" ref="U213">SUM(IF((D10:D35=200199)*(B10:B35="Excavation"),I10:I35,0))</f>
        <v>0</v>
      </c>
      <c r="V213" s="191">
        <f t="array" ref="V213">SUM(IF((D10:D35=200199)*(B10:B35="Excavation"),J10:J35,0))</f>
        <v>0</v>
      </c>
      <c r="W213" s="191">
        <f t="array" ref="W213">SUM(IF((D10:D35=200199)*(B10:B35="Excavation"),K10:K35,0))</f>
        <v>0</v>
      </c>
      <c r="X213" s="191">
        <f t="array" ref="X213">SUM(IF((D10:D35=200199)*(B10:B35="Excavation"),L10:L35,0))</f>
        <v>0</v>
      </c>
      <c r="Y213" s="192">
        <f t="shared" si="117"/>
        <v>0</v>
      </c>
      <c r="Z213" s="501">
        <f t="shared" si="118"/>
        <v>0</v>
      </c>
    </row>
    <row r="214" spans="15:26" ht="13.8" thickBot="1" x14ac:dyDescent="0.3">
      <c r="O214" s="874"/>
      <c r="P214" s="869"/>
      <c r="Q214" s="235" t="s">
        <v>123</v>
      </c>
      <c r="R214" s="234" t="s">
        <v>237</v>
      </c>
      <c r="S214" s="191">
        <f t="array" ref="S214">SUM(IF((D10:D35=200199)*(B10:B35="Construction"),G10:G35,0))</f>
        <v>0</v>
      </c>
      <c r="T214" s="191">
        <f t="array" ref="T214">SUM(IF((D10:D35=200199)*(B10:B35="Construction"),H10:H35,0))</f>
        <v>0</v>
      </c>
      <c r="U214" s="191">
        <f t="array" ref="U214">SUM(IF((D10:D35=200199)*(B10:B35="Construction"),I10:I35,0))</f>
        <v>0</v>
      </c>
      <c r="V214" s="191">
        <f t="array" ref="V214">SUM(IF((D10:D35=200199)*(B10:B35="Construction"),J10:J35,0))</f>
        <v>0</v>
      </c>
      <c r="W214" s="191">
        <f t="array" ref="W214">SUM(IF((D10:D35=200199)*(B10:B35="Construction"),K10:K35,0))</f>
        <v>0</v>
      </c>
      <c r="X214" s="191">
        <f t="array" ref="X214">SUM(IF((D10:D35=200199)*(B10:B35="Construction"),L10:L35,0))</f>
        <v>0</v>
      </c>
      <c r="Y214" s="192">
        <f t="shared" si="117"/>
        <v>0</v>
      </c>
      <c r="Z214" s="501">
        <f t="shared" si="118"/>
        <v>0</v>
      </c>
    </row>
    <row r="215" spans="15:26" x14ac:dyDescent="0.25">
      <c r="O215" s="865" t="s">
        <v>158</v>
      </c>
      <c r="P215" s="867">
        <v>200121</v>
      </c>
      <c r="Q215" s="235" t="s">
        <v>126</v>
      </c>
      <c r="R215" s="231" t="s">
        <v>235</v>
      </c>
      <c r="S215" s="232">
        <f t="array" ref="S215">SUM(IF((D10:D35=200121)*(B10:B35="Demolition"),G10:G35,0))</f>
        <v>0</v>
      </c>
      <c r="T215" s="232">
        <f t="array" ref="T215">SUM(IF((D10:D35=200121)*(B10:B35="Demolition"),H10:H35,0))</f>
        <v>0</v>
      </c>
      <c r="U215" s="232">
        <f t="array" ref="U215">SUM(IF((D10:D35=200121)*(B10:B35="Demolition"),I10:I35,0))</f>
        <v>0</v>
      </c>
      <c r="V215" s="232">
        <f t="array" ref="V215">SUM(IF((D10:D35=200121)*(B10:B35="Demolition"),J10:J35,0))</f>
        <v>0</v>
      </c>
      <c r="W215" s="232">
        <f t="array" ref="W215">SUM(IF((D10:D35=200121)*(B10:B35="Demolition"),K10:K35,0))</f>
        <v>0</v>
      </c>
      <c r="X215" s="232">
        <f t="array" ref="X215">SUM(IF((D10:D35=200121)*(B10:B35="Demolition"),L10:L35,0))</f>
        <v>0</v>
      </c>
      <c r="Y215" s="192">
        <f t="shared" si="117"/>
        <v>0</v>
      </c>
      <c r="Z215" s="501">
        <f t="shared" si="118"/>
        <v>0</v>
      </c>
    </row>
    <row r="216" spans="15:26" x14ac:dyDescent="0.25">
      <c r="O216" s="871"/>
      <c r="P216" s="868"/>
      <c r="Q216" s="235" t="s">
        <v>126</v>
      </c>
      <c r="R216" s="234" t="s">
        <v>236</v>
      </c>
      <c r="S216" s="191">
        <f t="array" ref="S216">SUM(IF((D10:D35=200121)*(B10:B35="Excavation"),G10:G35,0))</f>
        <v>0</v>
      </c>
      <c r="T216" s="191">
        <f t="array" ref="T216">SUM(IF((D10:D35=200121)*(B10:B35="Excavation"),H10:H35,0))</f>
        <v>0</v>
      </c>
      <c r="U216" s="191">
        <f t="array" ref="U216">SUM(IF((D10:D35=200121)*(B10:B35="Excavation"),I10:I35,0))</f>
        <v>0</v>
      </c>
      <c r="V216" s="191">
        <f t="array" ref="V216">SUM(IF((D10:D35=200121)*(B10:B35="Excavation"),J10:J35,0))</f>
        <v>0</v>
      </c>
      <c r="W216" s="191">
        <f t="array" ref="W216">SUM(IF((D10:D35=200121)*(B10:B35="Excavation"),K10:K35,0))</f>
        <v>0</v>
      </c>
      <c r="X216" s="191">
        <f t="array" ref="X216">SUM(IF((D10:D35=200121)*(B10:B35="Excavation"),L10:L35,0))</f>
        <v>0</v>
      </c>
      <c r="Y216" s="192">
        <f t="shared" si="117"/>
        <v>0</v>
      </c>
      <c r="Z216" s="501">
        <f t="shared" si="118"/>
        <v>0</v>
      </c>
    </row>
    <row r="217" spans="15:26" ht="13.8" thickBot="1" x14ac:dyDescent="0.3">
      <c r="O217" s="874"/>
      <c r="P217" s="869"/>
      <c r="Q217" s="235" t="s">
        <v>126</v>
      </c>
      <c r="R217" s="234" t="s">
        <v>237</v>
      </c>
      <c r="S217" s="191">
        <f t="array" ref="S217">SUM(IF((D10:D35=200121)*(B10:B35="Construction"),G10:G35,0))</f>
        <v>0</v>
      </c>
      <c r="T217" s="191">
        <f t="array" ref="T217">SUM(IF((D10:D35=200121)*(B10:B35="Construction"),H10:H35,0))</f>
        <v>0</v>
      </c>
      <c r="U217" s="191">
        <f t="array" ref="U217">SUM(IF((D10:D35=200121)*(B10:B35="Construction"),I10:I35,0))</f>
        <v>0</v>
      </c>
      <c r="V217" s="191">
        <f t="array" ref="V217">SUM(IF((D10:D35=200121)*(B10:B35="Construction"),J10:J35,0))</f>
        <v>0</v>
      </c>
      <c r="W217" s="191">
        <f t="array" ref="W217">SUM(IF((D10:D35=200121)*(B10:B35="Construction"),K10:K35,0))</f>
        <v>0</v>
      </c>
      <c r="X217" s="191">
        <f t="array" ref="X217">SUM(IF((D10:D35=200121)*(B10:B35="Construction"),L10:L35,0))</f>
        <v>0</v>
      </c>
      <c r="Y217" s="192">
        <f t="shared" si="117"/>
        <v>0</v>
      </c>
      <c r="Z217" s="501">
        <f t="shared" si="118"/>
        <v>0</v>
      </c>
    </row>
    <row r="218" spans="15:26" x14ac:dyDescent="0.25">
      <c r="O218" s="865" t="s">
        <v>159</v>
      </c>
      <c r="P218" s="867">
        <v>200123</v>
      </c>
      <c r="Q218" s="235" t="s">
        <v>126</v>
      </c>
      <c r="R218" s="231" t="s">
        <v>235</v>
      </c>
      <c r="S218" s="232">
        <f t="array" ref="S218">SUM(IF((D10:D35=200123)*(B10:B35="Demolition"),G10:G35,0))</f>
        <v>0</v>
      </c>
      <c r="T218" s="232">
        <f t="array" ref="T218">SUM(IF((D10:D35=200123)*(B10:B35="Demolition"),H10:H35,0))</f>
        <v>0</v>
      </c>
      <c r="U218" s="232">
        <f t="array" ref="U218">SUM(IF((D10:D35=200123)*(B10:B35="Demolition"),I10:I35,0))</f>
        <v>0</v>
      </c>
      <c r="V218" s="232">
        <f t="array" ref="V218">SUM(IF((D10:D35=200123)*(B10:B35="Demolition"),J10:J35,0))</f>
        <v>0</v>
      </c>
      <c r="W218" s="232">
        <f t="array" ref="W218">SUM(IF((D10:D35=200123)*(B10:B35="Demolition"),K10:K35,0))</f>
        <v>0</v>
      </c>
      <c r="X218" s="232">
        <f t="array" ref="X218">SUM(IF((D10:D35=200123)*(B10:B35="Demolition"),L10:L35,0))</f>
        <v>0</v>
      </c>
      <c r="Y218" s="192">
        <f t="shared" si="117"/>
        <v>0</v>
      </c>
      <c r="Z218" s="501">
        <f t="shared" si="118"/>
        <v>0</v>
      </c>
    </row>
    <row r="219" spans="15:26" x14ac:dyDescent="0.25">
      <c r="O219" s="871"/>
      <c r="P219" s="868"/>
      <c r="Q219" s="235" t="s">
        <v>126</v>
      </c>
      <c r="R219" s="234" t="s">
        <v>236</v>
      </c>
      <c r="S219" s="191">
        <f t="array" ref="S219">SUM(IF((D10:D35=200123)*(B10:B35="Excavation"),G10:G35,0))</f>
        <v>0</v>
      </c>
      <c r="T219" s="191">
        <f t="array" ref="T219">SUM(IF((D10:D35=200123)*(B10:B35="Excavation"),H10:H35,0))</f>
        <v>0</v>
      </c>
      <c r="U219" s="191">
        <f t="array" ref="U219">SUM(IF((D10:D35=200123)*(B10:B35="Excavation"),I10:I35,0))</f>
        <v>0</v>
      </c>
      <c r="V219" s="191">
        <f t="array" ref="V219">SUM(IF((D10:D35=200123)*(B10:B35="Excavation"),J10:J35,0))</f>
        <v>0</v>
      </c>
      <c r="W219" s="191">
        <f t="array" ref="W219">SUM(IF((D10:D35=200123)*(B10:B35="Excavation"),K10:K35,0))</f>
        <v>0</v>
      </c>
      <c r="X219" s="191">
        <f t="array" ref="X219">SUM(IF((D10:D35=200123)*(B10:B35="Excavation"),L10:L35,0))</f>
        <v>0</v>
      </c>
      <c r="Y219" s="192">
        <f t="shared" si="117"/>
        <v>0</v>
      </c>
      <c r="Z219" s="501">
        <f t="shared" si="118"/>
        <v>0</v>
      </c>
    </row>
    <row r="220" spans="15:26" ht="13.8" thickBot="1" x14ac:dyDescent="0.3">
      <c r="O220" s="874"/>
      <c r="P220" s="869"/>
      <c r="Q220" s="235" t="s">
        <v>126</v>
      </c>
      <c r="R220" s="234" t="s">
        <v>237</v>
      </c>
      <c r="S220" s="191">
        <f t="array" ref="S220">SUM(IF((D10:D35=200123)*(B10:B35="Construction"),G10:G35,0))</f>
        <v>0</v>
      </c>
      <c r="T220" s="191">
        <f t="array" ref="T220">SUM(IF((D10:D35=200123)*(B10:B35="Construction"),H10:H35,0))</f>
        <v>0</v>
      </c>
      <c r="U220" s="191">
        <f t="array" ref="U220">SUM(IF((D10:D35=200123)*(B10:B35="Construction"),I10:I35,0))</f>
        <v>0</v>
      </c>
      <c r="V220" s="191">
        <f t="array" ref="V220">SUM(IF((D10:D35=200123)*(B10:B35="Construction"),J10:J35,0))</f>
        <v>0</v>
      </c>
      <c r="W220" s="191">
        <f t="array" ref="W220">SUM(IF((D10:D35=200123)*(B10:B35="Construction"),K10:K35,0))</f>
        <v>0</v>
      </c>
      <c r="X220" s="191">
        <f t="array" ref="X220">SUM(IF((D10:D35=200123)*(B10:B35="Construction"),L10:L35,0))</f>
        <v>0</v>
      </c>
      <c r="Y220" s="192">
        <f t="shared" si="117"/>
        <v>0</v>
      </c>
      <c r="Z220" s="501">
        <f t="shared" si="118"/>
        <v>0</v>
      </c>
    </row>
    <row r="221" spans="15:26" x14ac:dyDescent="0.25">
      <c r="O221" s="865" t="s">
        <v>160</v>
      </c>
      <c r="P221" s="867">
        <v>130703</v>
      </c>
      <c r="Q221" s="235" t="s">
        <v>126</v>
      </c>
      <c r="R221" s="231" t="s">
        <v>235</v>
      </c>
      <c r="S221" s="232">
        <f t="array" ref="S221">SUM(IF((D10:D35=130703)*(B10:B35="Demolition"),G10:G35,0))</f>
        <v>0</v>
      </c>
      <c r="T221" s="232">
        <f t="array" ref="T221">SUM(IF((D10:D35=130703)*(B10:B35="Demolition"),H10:H35,0))</f>
        <v>0</v>
      </c>
      <c r="U221" s="232">
        <f t="array" ref="U221">SUM(IF((D10:D35=130703)*(B10:B35="Demolition"),I10:I35,0))</f>
        <v>0</v>
      </c>
      <c r="V221" s="232">
        <f t="array" ref="V221">SUM(IF((D10:D35=130703)*(B10:B35="Demolition"),J10:J35,0))</f>
        <v>0</v>
      </c>
      <c r="W221" s="232">
        <f t="array" ref="W221">SUM(IF((D10:D35=130703)*(B10:B35="Demolition"),K10:K35,0))</f>
        <v>0</v>
      </c>
      <c r="X221" s="232">
        <f t="array" ref="X221">SUM(IF((D10:D35=130703)*(B10:B35="Demolition"),L10:L35,0))</f>
        <v>0</v>
      </c>
      <c r="Y221" s="192">
        <f t="shared" si="117"/>
        <v>0</v>
      </c>
      <c r="Z221" s="501">
        <f t="shared" si="118"/>
        <v>0</v>
      </c>
    </row>
    <row r="222" spans="15:26" x14ac:dyDescent="0.25">
      <c r="O222" s="871"/>
      <c r="P222" s="868"/>
      <c r="Q222" s="235" t="s">
        <v>126</v>
      </c>
      <c r="R222" s="234" t="s">
        <v>236</v>
      </c>
      <c r="S222" s="191">
        <f t="array" ref="S222">SUM(IF((D10:D35=130703)*(B10:B35="Excavation"),G10:G35,0))</f>
        <v>0</v>
      </c>
      <c r="T222" s="191">
        <f t="array" ref="T222">SUM(IF((D10:D35=130703)*(B10:B35="Excavation"),H10:H35,0))</f>
        <v>0</v>
      </c>
      <c r="U222" s="191">
        <f t="array" ref="U222">SUM(IF((D10:D35=130703)*(B10:B35="Excavation"),I10:I35,0))</f>
        <v>0</v>
      </c>
      <c r="V222" s="191">
        <f t="array" ref="V222">SUM(IF((D10:D35=130703)*(B10:B35="Excavation"),J10:J35,0))</f>
        <v>0</v>
      </c>
      <c r="W222" s="191">
        <f t="array" ref="W222">SUM(IF((D10:D35=130703)*(B10:B35="Excavation"),K10:K35,0))</f>
        <v>0</v>
      </c>
      <c r="X222" s="191">
        <f t="array" ref="X222">SUM(IF((D10:D35=130703)*(B10:B35="Excavation"),L10:L35,0))</f>
        <v>0</v>
      </c>
      <c r="Y222" s="192">
        <f t="shared" si="117"/>
        <v>0</v>
      </c>
      <c r="Z222" s="501">
        <f t="shared" si="118"/>
        <v>0</v>
      </c>
    </row>
    <row r="223" spans="15:26" ht="13.8" thickBot="1" x14ac:dyDescent="0.3">
      <c r="O223" s="874"/>
      <c r="P223" s="869"/>
      <c r="Q223" s="235" t="s">
        <v>126</v>
      </c>
      <c r="R223" s="234" t="s">
        <v>237</v>
      </c>
      <c r="S223" s="191">
        <f t="array" ref="S223">SUM(IF((D10:D35=130703)*(B10:B35="Construction"),G10:G35,0))</f>
        <v>0</v>
      </c>
      <c r="T223" s="191">
        <f t="array" ref="T223">SUM(IF((D10:D35=130703)*(B10:B35="Construction"),H10:H35,0))</f>
        <v>0</v>
      </c>
      <c r="U223" s="191">
        <f t="array" ref="U223">SUM(IF((D10:D35=130703)*(B10:B35="Construction"),I10:I35,0))</f>
        <v>0</v>
      </c>
      <c r="V223" s="191">
        <f t="array" ref="V223">SUM(IF((D10:D35=130703)*(B10:B35="Construction"),J10:J35,0))</f>
        <v>0</v>
      </c>
      <c r="W223" s="191">
        <f t="array" ref="W223">SUM(IF((D10:D35=130703)*(B10:B35="Construction"),K10:K35,0))</f>
        <v>0</v>
      </c>
      <c r="X223" s="191">
        <f t="array" ref="X223">SUM(IF((D10:D35=130703)*(B10:B35="Construction"),L10:L35,0))</f>
        <v>0</v>
      </c>
      <c r="Y223" s="192">
        <f t="shared" si="117"/>
        <v>0</v>
      </c>
      <c r="Z223" s="501">
        <f t="shared" si="118"/>
        <v>0</v>
      </c>
    </row>
    <row r="224" spans="15:26" x14ac:dyDescent="0.25">
      <c r="O224" s="865" t="s">
        <v>161</v>
      </c>
      <c r="P224" s="867">
        <v>130702</v>
      </c>
      <c r="Q224" s="235" t="s">
        <v>126</v>
      </c>
      <c r="R224" s="231" t="s">
        <v>235</v>
      </c>
      <c r="S224" s="232">
        <f t="array" ref="S224">SUM(IF((D10:D35=130702)*(B10:B35="Demolition"),G10:G35,0))</f>
        <v>0</v>
      </c>
      <c r="T224" s="232">
        <f t="array" ref="T224">SUM(IF((D10:D35=130702)*(B10:B35="Demolition"),H10:H35,0))</f>
        <v>0</v>
      </c>
      <c r="U224" s="232">
        <f t="array" ref="U224">SUM(IF((D10:D35=130702)*(B10:B35="Demolition"),I10:I35,0))</f>
        <v>0</v>
      </c>
      <c r="V224" s="232">
        <f t="array" ref="V224">SUM(IF((D10:D35=130702)*(B10:B35="Demolition"),J10:J35,0))</f>
        <v>0</v>
      </c>
      <c r="W224" s="232">
        <f t="array" ref="W224">SUM(IF((D10:D35=130702)*(B10:B35="Demolition"),K10:K35,0))</f>
        <v>0</v>
      </c>
      <c r="X224" s="232">
        <f t="array" ref="X224">SUM(IF((D10:D35=130702)*(B10:B35="Demolition"),L10:L35,0))</f>
        <v>0</v>
      </c>
      <c r="Y224" s="192">
        <f t="shared" si="117"/>
        <v>0</v>
      </c>
      <c r="Z224" s="501">
        <f t="shared" si="118"/>
        <v>0</v>
      </c>
    </row>
    <row r="225" spans="15:26" x14ac:dyDescent="0.25">
      <c r="O225" s="871"/>
      <c r="P225" s="868"/>
      <c r="Q225" s="235" t="s">
        <v>126</v>
      </c>
      <c r="R225" s="234" t="s">
        <v>236</v>
      </c>
      <c r="S225" s="191">
        <f t="array" ref="S225">SUM(IF((D10:D35=130702)*(B10:B35="Excavation"),G10:G35,0))</f>
        <v>0</v>
      </c>
      <c r="T225" s="191">
        <f t="array" ref="T225">SUM(IF((D10:D35=130702)*(B10:B35="Excavation"),H10:H35,0))</f>
        <v>0</v>
      </c>
      <c r="U225" s="191">
        <f t="array" ref="U225">SUM(IF((D10:D35=130702)*(B10:B35="Excavation"),I10:I35,0))</f>
        <v>0</v>
      </c>
      <c r="V225" s="191">
        <f t="array" ref="V225">SUM(IF((D10:D35=130702)*(B10:B35="Excavation"),J10:J35,0))</f>
        <v>0</v>
      </c>
      <c r="W225" s="191">
        <f t="array" ref="W225">SUM(IF((D10:D35=130702)*(B10:B35="Excavation"),K10:K35,0))</f>
        <v>0</v>
      </c>
      <c r="X225" s="191">
        <f t="array" ref="X225">SUM(IF((D10:D35=130702)*(B10:B35="Excavation"),L10:L35,0))</f>
        <v>0</v>
      </c>
      <c r="Y225" s="192">
        <f t="shared" si="117"/>
        <v>0</v>
      </c>
      <c r="Z225" s="501">
        <f t="shared" si="118"/>
        <v>0</v>
      </c>
    </row>
    <row r="226" spans="15:26" ht="13.8" thickBot="1" x14ac:dyDescent="0.3">
      <c r="O226" s="874"/>
      <c r="P226" s="869"/>
      <c r="Q226" s="235" t="s">
        <v>126</v>
      </c>
      <c r="R226" s="234" t="s">
        <v>237</v>
      </c>
      <c r="S226" s="191">
        <f t="array" ref="S226">SUM(IF((D10:D35=130702)*(B10:B35="Construction"),G10:G35,0))</f>
        <v>0</v>
      </c>
      <c r="T226" s="191">
        <f t="array" ref="T226">SUM(IF((D10:D35=130702)*(B10:B35="Construction"),H10:H35,0))</f>
        <v>0</v>
      </c>
      <c r="U226" s="191">
        <f t="array" ref="U226">SUM(IF((D10:D35=130702)*(B10:B35="Construction"),I10:I35,0))</f>
        <v>0</v>
      </c>
      <c r="V226" s="191">
        <f t="array" ref="V226">SUM(IF((D10:D35=130702)*(B10:B35="Construction"),J10:J35,0))</f>
        <v>0</v>
      </c>
      <c r="W226" s="191">
        <f t="array" ref="W226">SUM(IF((D10:D35=130702)*(B10:B35="Construction"),K10:K35,0))</f>
        <v>0</v>
      </c>
      <c r="X226" s="191">
        <f t="array" ref="X226">SUM(IF((D10:D35=130702)*(B10:B35="Construction"),L10:L35,0))</f>
        <v>0</v>
      </c>
      <c r="Y226" s="192">
        <f t="shared" si="117"/>
        <v>0</v>
      </c>
      <c r="Z226" s="501">
        <f t="shared" si="118"/>
        <v>0</v>
      </c>
    </row>
    <row r="227" spans="15:26" x14ac:dyDescent="0.25">
      <c r="O227" s="865" t="s">
        <v>162</v>
      </c>
      <c r="P227" s="867">
        <v>130701</v>
      </c>
      <c r="Q227" s="235" t="s">
        <v>126</v>
      </c>
      <c r="R227" s="231" t="s">
        <v>235</v>
      </c>
      <c r="S227" s="232">
        <f t="array" ref="S227">SUM(IF((D10:D35=130701)*(B10:B35="Demolition"),G10:G35,0))</f>
        <v>0</v>
      </c>
      <c r="T227" s="232">
        <f t="array" ref="T227">SUM(IF((D10:D35=130701)*(B10:B35="Demolition"),H10:H35,0))</f>
        <v>0</v>
      </c>
      <c r="U227" s="232">
        <f t="array" ref="U227">SUM(IF((D10:D35=130701)*(B10:B35="Demolition"),I10:I35,0))</f>
        <v>0</v>
      </c>
      <c r="V227" s="232">
        <f t="array" ref="V227">SUM(IF((D10:D35=130701)*(B10:B35="Demolition"),J10:J35,0))</f>
        <v>0</v>
      </c>
      <c r="W227" s="232">
        <f t="array" ref="W227">SUM(IF((D10:D35=130701)*(B10:B35="Demolition"),K10:K35,0))</f>
        <v>0</v>
      </c>
      <c r="X227" s="232">
        <f t="array" ref="X227">SUM(IF((D10:D35=130701)*(B10:B35="Demolition"),L10:L35,0))</f>
        <v>0</v>
      </c>
      <c r="Y227" s="192">
        <f t="shared" si="117"/>
        <v>0</v>
      </c>
      <c r="Z227" s="501">
        <f t="shared" si="118"/>
        <v>0</v>
      </c>
    </row>
    <row r="228" spans="15:26" x14ac:dyDescent="0.25">
      <c r="O228" s="871"/>
      <c r="P228" s="868"/>
      <c r="Q228" s="235" t="s">
        <v>126</v>
      </c>
      <c r="R228" s="234" t="s">
        <v>236</v>
      </c>
      <c r="S228" s="191">
        <f t="array" ref="S228">SUM(IF((D10:D35=130701)*(B10:B35="Excavation"),G10:G35,0))</f>
        <v>0</v>
      </c>
      <c r="T228" s="191">
        <f t="array" ref="T228">SUM(IF((D10:D35=130701)*(B10:B35="Excavation"),H10:H35,0))</f>
        <v>0</v>
      </c>
      <c r="U228" s="191">
        <f t="array" ref="U228">SUM(IF((D10:D35=130701)*(B10:B35="Excavation"),I10:I35,0))</f>
        <v>0</v>
      </c>
      <c r="V228" s="191">
        <f t="array" ref="V228">SUM(IF((D10:D35=130701)*(B10:B35="Excavation"),J10:J35,0))</f>
        <v>0</v>
      </c>
      <c r="W228" s="191">
        <f t="array" ref="W228">SUM(IF((D10:D35=130701)*(B10:B35="Excavation"),K10:K35,0))</f>
        <v>0</v>
      </c>
      <c r="X228" s="191">
        <f t="array" ref="X228">SUM(IF((D10:D35=130701)*(B10:B35="Excavation"),L10:L35,0))</f>
        <v>0</v>
      </c>
      <c r="Y228" s="192">
        <f t="shared" si="117"/>
        <v>0</v>
      </c>
      <c r="Z228" s="501">
        <f t="shared" si="118"/>
        <v>0</v>
      </c>
    </row>
    <row r="229" spans="15:26" ht="13.8" thickBot="1" x14ac:dyDescent="0.3">
      <c r="O229" s="874"/>
      <c r="P229" s="869"/>
      <c r="Q229" s="235" t="s">
        <v>126</v>
      </c>
      <c r="R229" s="234" t="s">
        <v>237</v>
      </c>
      <c r="S229" s="191">
        <f t="array" ref="S229">SUM(IF((D10:D35=130701)*(B10:B35="Construction"),G10:G35,0))</f>
        <v>0</v>
      </c>
      <c r="T229" s="191">
        <f t="array" ref="T229">SUM(IF((D10:D35=130701)*(B10:B35="Construction"),H10:H35,0))</f>
        <v>0</v>
      </c>
      <c r="U229" s="191">
        <f t="array" ref="U229">SUM(IF((D10:D35=130701)*(B10:B35="Construction"),I10:I35,0))</f>
        <v>0</v>
      </c>
      <c r="V229" s="191">
        <f t="array" ref="V229">SUM(IF((D10:D35=130701)*(B10:B35="Construction"),J10:J35,0))</f>
        <v>0</v>
      </c>
      <c r="W229" s="191">
        <f t="array" ref="W229">SUM(IF((D10:D35=130701)*(B10:B35="Construction"),K10:K35,0))</f>
        <v>0</v>
      </c>
      <c r="X229" s="191">
        <f t="array" ref="X229">SUM(IF((D10:D35=130701)*(B10:B35="Construction"),L10:L35,0))</f>
        <v>0</v>
      </c>
      <c r="Y229" s="192">
        <f t="shared" si="117"/>
        <v>0</v>
      </c>
      <c r="Z229" s="501">
        <f t="shared" si="118"/>
        <v>0</v>
      </c>
    </row>
    <row r="230" spans="15:26" x14ac:dyDescent="0.25">
      <c r="O230" s="865" t="s">
        <v>163</v>
      </c>
      <c r="P230" s="867">
        <v>170202</v>
      </c>
      <c r="Q230" s="235" t="s">
        <v>141</v>
      </c>
      <c r="R230" s="231" t="s">
        <v>235</v>
      </c>
      <c r="S230" s="232">
        <f t="array" ref="S230">SUM(IF((D10:D35=170202)*(B10:B35="Demolition"),G10:G35,0))</f>
        <v>0</v>
      </c>
      <c r="T230" s="232">
        <f t="array" ref="T230">SUM(IF((D10:D35=170202)*(B10:B35="Demolition"),H10:H35,0))</f>
        <v>0</v>
      </c>
      <c r="U230" s="232">
        <f t="array" ref="U230">SUM(IF((D10:D35=170202)*(B10:B35="Demolition"),I10:I35,0))</f>
        <v>0</v>
      </c>
      <c r="V230" s="232">
        <f t="array" ref="V230">SUM(IF((D10:D35=170202)*(B10:B35="Demolition"),J10:J35,0))</f>
        <v>0</v>
      </c>
      <c r="W230" s="232">
        <f t="array" ref="W230">SUM(IF((D10:D35=170202)*(B10:B35="Demolition"),K10:K35,0))</f>
        <v>0</v>
      </c>
      <c r="X230" s="232">
        <f t="array" ref="X230">SUM(IF((D10:D35=170202)*(B10:B35="Demolition"),L10:L35,0))</f>
        <v>0</v>
      </c>
      <c r="Y230" s="192">
        <f t="shared" si="117"/>
        <v>0</v>
      </c>
      <c r="Z230" s="501">
        <f t="shared" si="118"/>
        <v>0</v>
      </c>
    </row>
    <row r="231" spans="15:26" x14ac:dyDescent="0.25">
      <c r="O231" s="871"/>
      <c r="P231" s="868"/>
      <c r="Q231" s="235" t="s">
        <v>141</v>
      </c>
      <c r="R231" s="234" t="s">
        <v>236</v>
      </c>
      <c r="S231" s="191">
        <f t="array" ref="S231">SUM(IF((D10:D35=170202)*(B10:B35="Excavation"),G10:G35,0))</f>
        <v>0</v>
      </c>
      <c r="T231" s="191">
        <f t="array" ref="T231">SUM(IF((D10:D35=170202)*(B10:B35="Excavation"),H10:H35,0))</f>
        <v>0</v>
      </c>
      <c r="U231" s="191">
        <f t="array" ref="U231">SUM(IF((D10:D35=170202)*(B10:B35="Excavation"),I10:I35,0))</f>
        <v>0</v>
      </c>
      <c r="V231" s="191">
        <f t="array" ref="V231">SUM(IF((D10:D35=170202)*(B10:B35="Excavation"),J10:J35,0))</f>
        <v>0</v>
      </c>
      <c r="W231" s="191">
        <f t="array" ref="W231">SUM(IF((D10:D35=170202)*(B10:B35="Excavation"),K10:K35,0))</f>
        <v>0</v>
      </c>
      <c r="X231" s="191">
        <f t="array" ref="X231">SUM(IF((D10:D35=170202)*(B10:B35="Excavation"),L10:L35,0))</f>
        <v>0</v>
      </c>
      <c r="Y231" s="192">
        <f t="shared" si="117"/>
        <v>0</v>
      </c>
      <c r="Z231" s="501">
        <f t="shared" si="118"/>
        <v>0</v>
      </c>
    </row>
    <row r="232" spans="15:26" ht="13.8" thickBot="1" x14ac:dyDescent="0.3">
      <c r="O232" s="874"/>
      <c r="P232" s="869"/>
      <c r="Q232" s="235" t="s">
        <v>141</v>
      </c>
      <c r="R232" s="234" t="s">
        <v>237</v>
      </c>
      <c r="S232" s="191">
        <f t="array" ref="S232">SUM(IF((D10:D35=170202)*(B10:B35="Construction"),G10:G35,0))</f>
        <v>0</v>
      </c>
      <c r="T232" s="191">
        <f t="array" ref="T232">SUM(IF((D10:D35=170202)*(B10:B35="Construction"),H10:H35,0))</f>
        <v>0</v>
      </c>
      <c r="U232" s="191">
        <f t="array" ref="U232">SUM(IF((D10:D35=170202)*(B10:B35="Construction"),I10:I35,0))</f>
        <v>0</v>
      </c>
      <c r="V232" s="191">
        <f t="array" ref="V232">SUM(IF((D10:D35=170202)*(B10:B35="Construction"),J10:J35,0))</f>
        <v>0</v>
      </c>
      <c r="W232" s="191">
        <f t="array" ref="W232">SUM(IF((D10:D35=170202)*(B10:B35="Construction"),K10:K35,0))</f>
        <v>0</v>
      </c>
      <c r="X232" s="191">
        <f t="array" ref="X232">SUM(IF((D10:D35=170202)*(B10:B35="Construction"),L10:L35,0))</f>
        <v>0</v>
      </c>
      <c r="Y232" s="192">
        <f t="shared" si="117"/>
        <v>0</v>
      </c>
      <c r="Z232" s="501">
        <f t="shared" si="118"/>
        <v>0</v>
      </c>
    </row>
    <row r="233" spans="15:26" x14ac:dyDescent="0.25">
      <c r="O233" s="865" t="s">
        <v>164</v>
      </c>
      <c r="P233" s="867">
        <v>170204</v>
      </c>
      <c r="Q233" s="235" t="s">
        <v>126</v>
      </c>
      <c r="R233" s="231" t="s">
        <v>235</v>
      </c>
      <c r="S233" s="232">
        <f t="array" ref="S233">SUM(IF((D10:D35=170204)*(B10:B35="Demolition"),G10:G35,0))</f>
        <v>0</v>
      </c>
      <c r="T233" s="232">
        <f t="array" ref="T233">SUM(IF((D10:D35=170204)*(B10:B35="Demolition"),H10:H35,0))</f>
        <v>0</v>
      </c>
      <c r="U233" s="232">
        <f t="array" ref="U233">SUM(IF((D10:D35=170204)*(B10:B35="Demolition"),I10:I35,0))</f>
        <v>0</v>
      </c>
      <c r="V233" s="232">
        <f t="array" ref="V233">SUM(IF((D10:D35=170204)*(B10:B35="Demolition"),J10:J35,0))</f>
        <v>0</v>
      </c>
      <c r="W233" s="232">
        <f t="array" ref="W233">SUM(IF((D10:D35=170204)*(B10:B35="Demolition"),K10:K35,0))</f>
        <v>0</v>
      </c>
      <c r="X233" s="232">
        <f t="array" ref="X233">SUM(IF((D10:D35=170204)*(B10:B35="Demolition"),L10:L35,0))</f>
        <v>0</v>
      </c>
      <c r="Y233" s="192">
        <f t="shared" si="117"/>
        <v>0</v>
      </c>
      <c r="Z233" s="501">
        <f t="shared" si="118"/>
        <v>0</v>
      </c>
    </row>
    <row r="234" spans="15:26" x14ac:dyDescent="0.25">
      <c r="O234" s="871"/>
      <c r="P234" s="868"/>
      <c r="Q234" s="235" t="s">
        <v>126</v>
      </c>
      <c r="R234" s="234" t="s">
        <v>236</v>
      </c>
      <c r="S234" s="191">
        <f t="array" ref="S234">SUM(IF((D10:D35=170204)*(B10:B35="Excavation"),G10:G35,0))</f>
        <v>0</v>
      </c>
      <c r="T234" s="191">
        <f t="array" ref="T234">SUM(IF((D10:D35=170204)*(B10:B35="Excavation"),H10:H35,0))</f>
        <v>0</v>
      </c>
      <c r="U234" s="191">
        <f t="array" ref="U234">SUM(IF((D10:D35=170204)*(B10:B35="Excavation"),I10:I35,0))</f>
        <v>0</v>
      </c>
      <c r="V234" s="191">
        <f t="array" ref="V234">SUM(IF((D10:D35=170204)*(B10:B35="Excavation"),J10:J35,0))</f>
        <v>0</v>
      </c>
      <c r="W234" s="191">
        <f t="array" ref="W234">SUM(IF((D10:D35=170204)*(B10:B35="Excavation"),K10:K35,0))</f>
        <v>0</v>
      </c>
      <c r="X234" s="191">
        <f t="array" ref="X234">SUM(IF((D10:D35=170204)*(B10:B35="Excavation"),L10:L35,0))</f>
        <v>0</v>
      </c>
      <c r="Y234" s="192">
        <f t="shared" si="117"/>
        <v>0</v>
      </c>
      <c r="Z234" s="501">
        <f t="shared" si="118"/>
        <v>0</v>
      </c>
    </row>
    <row r="235" spans="15:26" ht="13.8" thickBot="1" x14ac:dyDescent="0.3">
      <c r="O235" s="874"/>
      <c r="P235" s="869"/>
      <c r="Q235" s="235" t="s">
        <v>126</v>
      </c>
      <c r="R235" s="234" t="s">
        <v>237</v>
      </c>
      <c r="S235" s="191">
        <f t="array" ref="S235">SUM(IF((D10:D35=170204)*(B10:B35="Construction"),G10:G35,0))</f>
        <v>0</v>
      </c>
      <c r="T235" s="191">
        <f t="array" ref="T235">SUM(IF((D10:D35=170204)*(B10:B35="Construction"),H10:H35,0))</f>
        <v>0</v>
      </c>
      <c r="U235" s="191">
        <f t="array" ref="U235">SUM(IF((D10:D35=170204)*(B10:B35="Construction"),I10:I35,0))</f>
        <v>0</v>
      </c>
      <c r="V235" s="191">
        <f t="array" ref="V235">SUM(IF((D10:D35=170204)*(B10:B35="Construction"),J10:J35,0))</f>
        <v>0</v>
      </c>
      <c r="W235" s="191">
        <f t="array" ref="W235">SUM(IF((D10:D35=170204)*(B10:B35="Construction"),K10:K35,0))</f>
        <v>0</v>
      </c>
      <c r="X235" s="191">
        <f t="array" ref="X235">SUM(IF((D10:D35=170204)*(B10:B35="Construction"),L10:L35,0))</f>
        <v>0</v>
      </c>
      <c r="Y235" s="192">
        <f t="shared" si="117"/>
        <v>0</v>
      </c>
      <c r="Z235" s="501">
        <f t="shared" si="118"/>
        <v>0</v>
      </c>
    </row>
    <row r="236" spans="15:26" x14ac:dyDescent="0.25">
      <c r="O236" s="865" t="s">
        <v>165</v>
      </c>
      <c r="P236" s="867">
        <v>120117</v>
      </c>
      <c r="Q236" s="235" t="s">
        <v>123</v>
      </c>
      <c r="R236" s="231" t="s">
        <v>235</v>
      </c>
      <c r="S236" s="232">
        <f t="array" ref="S236">SUM(IF((D10:D35=120117)*(B10:B35="Demolition"),G10:G35,0))</f>
        <v>0</v>
      </c>
      <c r="T236" s="232">
        <f t="array" ref="T236">SUM(IF((D10:D35=120117)*(B10:B35="Demolition"),H10:H35,0))</f>
        <v>0</v>
      </c>
      <c r="U236" s="232">
        <f t="array" ref="U236">SUM(IF((D10:D35=120117)*(B10:B35="Demolition"),I10:I35,0))</f>
        <v>0</v>
      </c>
      <c r="V236" s="232">
        <f t="array" ref="V236">SUM(IF((D10:D35=120117)*(B10:B35="Demolition"),J10:J35,0))</f>
        <v>0</v>
      </c>
      <c r="W236" s="232">
        <f t="array" ref="W236">SUM(IF((D10:D35=120117)*(B10:B35="Demolition"),K10:K35,0))</f>
        <v>0</v>
      </c>
      <c r="X236" s="232">
        <f t="array" ref="X236">SUM(IF((D10:D35=120117)*(B10:B35="Demolition"),L10:L35,0))</f>
        <v>0</v>
      </c>
      <c r="Y236" s="192">
        <f t="shared" si="117"/>
        <v>0</v>
      </c>
      <c r="Z236" s="501">
        <f t="shared" si="118"/>
        <v>0</v>
      </c>
    </row>
    <row r="237" spans="15:26" x14ac:dyDescent="0.25">
      <c r="O237" s="871"/>
      <c r="P237" s="868"/>
      <c r="Q237" s="235" t="s">
        <v>123</v>
      </c>
      <c r="R237" s="234" t="s">
        <v>236</v>
      </c>
      <c r="S237" s="191">
        <f t="array" ref="S237">SUM(IF((D10:D35=120117)*(B10:B35="Excavation"),G10:G35,0))</f>
        <v>0</v>
      </c>
      <c r="T237" s="191">
        <f t="array" ref="T237">SUM(IF((D10:D35=120117)*(B10:B35="Excavation"),H10:H35,0))</f>
        <v>0</v>
      </c>
      <c r="U237" s="191">
        <f t="array" ref="U237">SUM(IF((D10:D35=120117)*(B10:B35="Excavation"),I10:I35,0))</f>
        <v>0</v>
      </c>
      <c r="V237" s="191">
        <f t="array" ref="V237">SUM(IF((D10:D35=120117)*(B10:B35="Excavation"),J10:J35,0))</f>
        <v>0</v>
      </c>
      <c r="W237" s="191">
        <f t="array" ref="W237">SUM(IF((D10:D35=120117)*(B10:B35="Excavation"),K10:K35,0))</f>
        <v>0</v>
      </c>
      <c r="X237" s="191">
        <f t="array" ref="X237">SUM(IF((D10:D35=120117)*(B10:B35="Excavation"),L10:L35,0))</f>
        <v>0</v>
      </c>
      <c r="Y237" s="192">
        <f t="shared" si="117"/>
        <v>0</v>
      </c>
      <c r="Z237" s="501">
        <f t="shared" si="118"/>
        <v>0</v>
      </c>
    </row>
    <row r="238" spans="15:26" ht="13.8" thickBot="1" x14ac:dyDescent="0.3">
      <c r="O238" s="874"/>
      <c r="P238" s="869"/>
      <c r="Q238" s="235" t="s">
        <v>123</v>
      </c>
      <c r="R238" s="234" t="s">
        <v>237</v>
      </c>
      <c r="S238" s="191">
        <f t="array" ref="S238">SUM(IF((D10:D35=120117)*(B10:B35="Construction"),G10:G35,0))</f>
        <v>0</v>
      </c>
      <c r="T238" s="191">
        <f t="array" ref="T238">SUM(IF((D10:D35=120117)*(B10:B35="Construction"),H10:H35,0))</f>
        <v>0</v>
      </c>
      <c r="U238" s="191">
        <f t="array" ref="U238">SUM(IF((D10:D35=120117)*(B10:B35="Construction"),I10:I35,0))</f>
        <v>0</v>
      </c>
      <c r="V238" s="191">
        <f t="array" ref="V238">SUM(IF((D10:D35=120117)*(B10:B35="Construction"),J10:J35,0))</f>
        <v>0</v>
      </c>
      <c r="W238" s="191">
        <f t="array" ref="W238">SUM(IF((D10:D35=120117)*(B10:B35="Construction"),K10:K35,0))</f>
        <v>0</v>
      </c>
      <c r="X238" s="191">
        <f t="array" ref="X238">SUM(IF((D10:D35=120117)*(B10:B35="Construction"),L10:L35,0))</f>
        <v>0</v>
      </c>
      <c r="Y238" s="192">
        <f t="shared" si="117"/>
        <v>0</v>
      </c>
      <c r="Z238" s="501">
        <f t="shared" si="118"/>
        <v>0</v>
      </c>
    </row>
    <row r="239" spans="15:26" x14ac:dyDescent="0.25">
      <c r="O239" s="865" t="s">
        <v>166</v>
      </c>
      <c r="P239" s="867">
        <v>120116</v>
      </c>
      <c r="Q239" s="235" t="s">
        <v>126</v>
      </c>
      <c r="R239" s="231" t="s">
        <v>235</v>
      </c>
      <c r="S239" s="232">
        <f t="array" ref="S239">SUM(IF((D10:D35=120116)*(B10:B35="Demolition"),G10:G35,0))</f>
        <v>0</v>
      </c>
      <c r="T239" s="232">
        <f t="array" ref="T239">SUM(IF((D10:D35=120116)*(B10:B35="Demolition"),H10:H35,0))</f>
        <v>0</v>
      </c>
      <c r="U239" s="232">
        <f t="array" ref="U239">SUM(IF((D10:D35=120116)*(B10:B35="Demolition"),I10:I35,0))</f>
        <v>0</v>
      </c>
      <c r="V239" s="232">
        <f t="array" ref="V239">SUM(IF((D10:D35=120116)*(B10:B35="Demolition"),J10:J35,0))</f>
        <v>0</v>
      </c>
      <c r="W239" s="232">
        <f t="array" ref="W239">SUM(IF((D10:D35=120116)*(B10:B35="Demolition"),K10:K35,0))</f>
        <v>0</v>
      </c>
      <c r="X239" s="232">
        <f t="array" ref="X239">SUM(IF((D10:D35=120116)*(B10:B35="Demolition"),L10:L35,0))</f>
        <v>0</v>
      </c>
      <c r="Y239" s="192">
        <f t="shared" si="117"/>
        <v>0</v>
      </c>
      <c r="Z239" s="501">
        <f t="shared" si="118"/>
        <v>0</v>
      </c>
    </row>
    <row r="240" spans="15:26" x14ac:dyDescent="0.25">
      <c r="O240" s="871"/>
      <c r="P240" s="868"/>
      <c r="Q240" s="235" t="s">
        <v>126</v>
      </c>
      <c r="R240" s="234" t="s">
        <v>236</v>
      </c>
      <c r="S240" s="191">
        <f t="array" ref="S240">SUM(IF((D10:D35=120116)*(B10:B35="Excavation"),G10:G35,0))</f>
        <v>0</v>
      </c>
      <c r="T240" s="191">
        <f t="array" ref="T240">SUM(IF((D10:D35=120116)*(B10:B35="Excavation"),H10:H35,0))</f>
        <v>0</v>
      </c>
      <c r="U240" s="191">
        <f t="array" ref="U240">SUM(IF((D10:D35=120116)*(B10:B35="Excavation"),I10:I35,0))</f>
        <v>0</v>
      </c>
      <c r="V240" s="191">
        <f t="array" ref="V240">SUM(IF((D10:D35=120116)*(B10:B35="Excavation"),J10:J35,0))</f>
        <v>0</v>
      </c>
      <c r="W240" s="191">
        <f t="array" ref="W240">SUM(IF((D10:D35=120116)*(B10:B35="Excavation"),K10:K35,0))</f>
        <v>0</v>
      </c>
      <c r="X240" s="191">
        <f t="array" ref="X240">SUM(IF((D10:D35=120116)*(B10:B35="Excavation"),L10:L35,0))</f>
        <v>0</v>
      </c>
      <c r="Y240" s="192">
        <f t="shared" si="117"/>
        <v>0</v>
      </c>
      <c r="Z240" s="501">
        <f t="shared" si="118"/>
        <v>0</v>
      </c>
    </row>
    <row r="241" spans="15:26" ht="13.8" thickBot="1" x14ac:dyDescent="0.3">
      <c r="O241" s="874"/>
      <c r="P241" s="869"/>
      <c r="Q241" s="235" t="s">
        <v>126</v>
      </c>
      <c r="R241" s="234" t="s">
        <v>237</v>
      </c>
      <c r="S241" s="191">
        <f t="array" ref="S241">SUM(IF((D10:D35=120116)*(B10:B35="Construction"),G10:G35,0))</f>
        <v>0</v>
      </c>
      <c r="T241" s="191">
        <f t="array" ref="T241">SUM(IF((D10:D35=120116)*(B10:B35="Construction"),H10:H35,0))</f>
        <v>0</v>
      </c>
      <c r="U241" s="191">
        <f t="array" ref="U241">SUM(IF((D10:D35=120116)*(B10:B35="Construction"),I10:I35,0))</f>
        <v>0</v>
      </c>
      <c r="V241" s="191">
        <f t="array" ref="V241">SUM(IF((D10:D35=120116)*(B10:B35="Construction"),J10:J35,0))</f>
        <v>0</v>
      </c>
      <c r="W241" s="191">
        <f t="array" ref="W241">SUM(IF((D10:D35=120116)*(B10:B35="Construction"),K10:K35,0))</f>
        <v>0</v>
      </c>
      <c r="X241" s="191">
        <f t="array" ref="X241">SUM(IF((D10:D35=120116)*(B10:B35="Construction"),L10:L35,0))</f>
        <v>0</v>
      </c>
      <c r="Y241" s="192">
        <f t="shared" si="117"/>
        <v>0</v>
      </c>
      <c r="Z241" s="501">
        <f t="shared" si="118"/>
        <v>0</v>
      </c>
    </row>
    <row r="242" spans="15:26" x14ac:dyDescent="0.25">
      <c r="O242" s="865" t="s">
        <v>167</v>
      </c>
      <c r="P242" s="867">
        <v>130508</v>
      </c>
      <c r="Q242" s="235" t="s">
        <v>126</v>
      </c>
      <c r="R242" s="231" t="s">
        <v>235</v>
      </c>
      <c r="S242" s="232">
        <f t="array" ref="S242">SUM(IF((D10:D35=130508)*(B10:B35="Demolition"),G10:G35,0))</f>
        <v>0</v>
      </c>
      <c r="T242" s="232">
        <f t="array" ref="T242">SUM(IF((D10:D35=130508)*(B10:B35="Demolition"),H10:H35,0))</f>
        <v>0</v>
      </c>
      <c r="U242" s="232">
        <f t="array" ref="U242">SUM(IF((D10:D35=130508)*(B10:B35="Demolition"),I10:I35,0))</f>
        <v>0</v>
      </c>
      <c r="V242" s="232">
        <f t="array" ref="V242">SUM(IF((D10:D35=130508)*(B10:B35="Demolition"),J10:J35,0))</f>
        <v>0</v>
      </c>
      <c r="W242" s="232">
        <f t="array" ref="W242">SUM(IF((D10:D35=130508)*(B10:B35="Demolition"),K10:K35,0))</f>
        <v>0</v>
      </c>
      <c r="X242" s="232">
        <f t="array" ref="X242">SUM(IF((D10:D35=130508)*(B10:B35="Demolition"),L10:L35,0))</f>
        <v>0</v>
      </c>
      <c r="Y242" s="192">
        <f t="shared" si="117"/>
        <v>0</v>
      </c>
      <c r="Z242" s="501">
        <f t="shared" si="118"/>
        <v>0</v>
      </c>
    </row>
    <row r="243" spans="15:26" x14ac:dyDescent="0.25">
      <c r="O243" s="871"/>
      <c r="P243" s="868"/>
      <c r="Q243" s="235" t="s">
        <v>126</v>
      </c>
      <c r="R243" s="234" t="s">
        <v>236</v>
      </c>
      <c r="S243" s="191">
        <f t="array" ref="S243">SUM(IF((D10:D35=130508)*(B10:B35="Excavation"),G10:G35,0))</f>
        <v>0</v>
      </c>
      <c r="T243" s="191">
        <f t="array" ref="T243">SUM(IF((D10:D35=130508)*(B10:B35="Excavation"),H10:H35,0))</f>
        <v>0</v>
      </c>
      <c r="U243" s="191">
        <f t="array" ref="U243">SUM(IF((D10:D35=130508)*(B10:B35="Excavation"),I10:I35,0))</f>
        <v>0</v>
      </c>
      <c r="V243" s="191">
        <f t="array" ref="V243">SUM(IF((D10:D35=130508)*(B10:B35="Excavation"),J10:J35,0))</f>
        <v>0</v>
      </c>
      <c r="W243" s="191">
        <f t="array" ref="W243">SUM(IF((D10:D35=130508)*(B10:B35="Excavation"),K10:K35,0))</f>
        <v>0</v>
      </c>
      <c r="X243" s="191">
        <f t="array" ref="X243">SUM(IF((D10:D35=130508)*(B10:B35="Excavation"),L10:L35,0))</f>
        <v>0</v>
      </c>
      <c r="Y243" s="192">
        <f t="shared" si="117"/>
        <v>0</v>
      </c>
      <c r="Z243" s="501">
        <f t="shared" si="118"/>
        <v>0</v>
      </c>
    </row>
    <row r="244" spans="15:26" ht="13.8" thickBot="1" x14ac:dyDescent="0.3">
      <c r="O244" s="874"/>
      <c r="P244" s="869"/>
      <c r="Q244" s="235" t="s">
        <v>126</v>
      </c>
      <c r="R244" s="234" t="s">
        <v>237</v>
      </c>
      <c r="S244" s="191">
        <f t="array" ref="S244">SUM(IF((D10:D35=130508)*(B10:B35="Construction"),G10:G35,0))</f>
        <v>0</v>
      </c>
      <c r="T244" s="191">
        <f t="array" ref="T244">SUM(IF((D10:D35=130508)*(B10:B35="Construction"),H10:H35,0))</f>
        <v>0</v>
      </c>
      <c r="U244" s="191">
        <f t="array" ref="U244">SUM(IF((D10:D35=130508)*(B10:B35="Construction"),I10:I35,0))</f>
        <v>0</v>
      </c>
      <c r="V244" s="191">
        <f t="array" ref="V244">SUM(IF((D10:D35=130508)*(B10:B35="Construction"),J10:J35,0))</f>
        <v>0</v>
      </c>
      <c r="W244" s="191">
        <f t="array" ref="W244">SUM(IF((D10:D35=130508)*(B10:B35="Construction"),K10:K35,0))</f>
        <v>0</v>
      </c>
      <c r="X244" s="191">
        <f t="array" ref="X244">SUM(IF((D10:D35=130508)*(B10:B35="Construction"),L10:L35,0))</f>
        <v>0</v>
      </c>
      <c r="Y244" s="192">
        <f t="shared" si="117"/>
        <v>0</v>
      </c>
      <c r="Z244" s="501">
        <f t="shared" si="118"/>
        <v>0</v>
      </c>
    </row>
    <row r="245" spans="15:26" x14ac:dyDescent="0.25">
      <c r="O245" s="865" t="s">
        <v>168</v>
      </c>
      <c r="P245" s="867">
        <v>200303</v>
      </c>
      <c r="Q245" s="235" t="s">
        <v>123</v>
      </c>
      <c r="R245" s="231" t="s">
        <v>235</v>
      </c>
      <c r="S245" s="232">
        <f t="array" ref="S245">SUM(IF((D10:D35=200303)*(B10:B35="Demolition"),G10:G35,0))</f>
        <v>0</v>
      </c>
      <c r="T245" s="232">
        <f t="array" ref="T245">SUM(IF((D10:D35=200303)*(B10:B35="Demolition"),H10:H35,0))</f>
        <v>0</v>
      </c>
      <c r="U245" s="232">
        <f t="array" ref="U245">SUM(IF((D10:D35=200303)*(B10:B35="Demolition"),I10:I35,0))</f>
        <v>0</v>
      </c>
      <c r="V245" s="232">
        <f t="array" ref="V245">SUM(IF((D10:D35=200303)*(B10:B35="Demolition"),J10:J35,0))</f>
        <v>0</v>
      </c>
      <c r="W245" s="232">
        <f t="array" ref="W245">SUM(IF((D10:D35=200303)*(B10:B35="Demolition"),K10:K35,0))</f>
        <v>0</v>
      </c>
      <c r="X245" s="232">
        <f t="array" ref="X245">SUM(IF((D10:D35=200303)*(B10:B35="Demolition"),L10:L35,0))</f>
        <v>0</v>
      </c>
      <c r="Y245" s="192">
        <f t="shared" si="117"/>
        <v>0</v>
      </c>
      <c r="Z245" s="501">
        <f t="shared" si="118"/>
        <v>0</v>
      </c>
    </row>
    <row r="246" spans="15:26" x14ac:dyDescent="0.25">
      <c r="O246" s="871"/>
      <c r="P246" s="868"/>
      <c r="Q246" s="235" t="s">
        <v>123</v>
      </c>
      <c r="R246" s="234" t="s">
        <v>236</v>
      </c>
      <c r="S246" s="191">
        <f t="array" ref="S246">SUM(IF((D10:D35=200303)*(B10:B35="Excavation"),G10:G35,0))</f>
        <v>0</v>
      </c>
      <c r="T246" s="191">
        <f t="array" ref="T246">SUM(IF((D10:D35=200303)*(B10:B35="Excavation"),H10:H35,0))</f>
        <v>0</v>
      </c>
      <c r="U246" s="191">
        <f t="array" ref="U246">SUM(IF((D10:D35=200303)*(B10:B35="Excavation"),I10:I35,0))</f>
        <v>0</v>
      </c>
      <c r="V246" s="191">
        <f t="array" ref="V246">SUM(IF((D10:D35=200303)*(B10:B35="Excavation"),J10:J35,0))</f>
        <v>0</v>
      </c>
      <c r="W246" s="191">
        <f t="array" ref="W246">SUM(IF((D10:D35=200303)*(B10:B35="Excavation"),K10:K35,0))</f>
        <v>0</v>
      </c>
      <c r="X246" s="191">
        <f t="array" ref="X246">SUM(IF((D10:D35=200303)*(B10:B35="Excavation"),L10:L35,0))</f>
        <v>0</v>
      </c>
      <c r="Y246" s="192">
        <f t="shared" si="117"/>
        <v>0</v>
      </c>
      <c r="Z246" s="501">
        <f t="shared" si="118"/>
        <v>0</v>
      </c>
    </row>
    <row r="247" spans="15:26" ht="13.8" thickBot="1" x14ac:dyDescent="0.3">
      <c r="O247" s="874"/>
      <c r="P247" s="869"/>
      <c r="Q247" s="235" t="s">
        <v>123</v>
      </c>
      <c r="R247" s="234" t="s">
        <v>237</v>
      </c>
      <c r="S247" s="191">
        <f t="array" ref="S247">SUM(IF((D10:D35=200303)*(B10:B35="Construction"),G10:G35,0))</f>
        <v>0</v>
      </c>
      <c r="T247" s="191">
        <f t="array" ref="T247">SUM(IF((D10:D35=200303)*(B10:B35="Construction"),H10:H35,0))</f>
        <v>0</v>
      </c>
      <c r="U247" s="191">
        <f t="array" ref="U247">SUM(IF((D10:D35=200303)*(B10:B35="Construction"),I10:I35,0))</f>
        <v>0</v>
      </c>
      <c r="V247" s="191">
        <f t="array" ref="V247">SUM(IF((D10:D35=200303)*(B10:B35="Construction"),J10:J35,0))</f>
        <v>0</v>
      </c>
      <c r="W247" s="191">
        <f t="array" ref="W247">SUM(IF((D10:D35=200303)*(B10:B35="Construction"),K10:K35,0))</f>
        <v>0</v>
      </c>
      <c r="X247" s="191">
        <f t="array" ref="X247">SUM(IF((D10:D35=200303)*(B10:B35="Construction"),L10:L35,0))</f>
        <v>0</v>
      </c>
      <c r="Y247" s="192">
        <f t="shared" si="117"/>
        <v>0</v>
      </c>
      <c r="Z247" s="501">
        <f t="shared" si="118"/>
        <v>0</v>
      </c>
    </row>
    <row r="248" spans="15:26" x14ac:dyDescent="0.25">
      <c r="O248" s="865" t="s">
        <v>169</v>
      </c>
      <c r="P248" s="867">
        <v>170802</v>
      </c>
      <c r="Q248" s="235" t="s">
        <v>123</v>
      </c>
      <c r="R248" s="231" t="s">
        <v>235</v>
      </c>
      <c r="S248" s="232">
        <f t="array" ref="S248">SUM(IF((D10:D35=170802)*(B10:B35="Demolition"),G10:G35,0))</f>
        <v>0</v>
      </c>
      <c r="T248" s="232">
        <f t="array" ref="T248">SUM(IF((D10:D35=170802)*(B10:B35="Demolition"),H10:H35,0))</f>
        <v>0</v>
      </c>
      <c r="U248" s="232">
        <f t="array" ref="U248">SUM(IF((D10:D35=170802)*(B10:B35="Demolition"),I10:I35,0))</f>
        <v>0</v>
      </c>
      <c r="V248" s="232">
        <f t="array" ref="V248">SUM(IF((D10:D35=170802)*(B10:B35="Demolition"),J10:J35,0))</f>
        <v>0</v>
      </c>
      <c r="W248" s="232">
        <f t="array" ref="W248">SUM(IF((D10:D35=170802)*(B10:B35="Demolition"),K10:K35,0))</f>
        <v>0</v>
      </c>
      <c r="X248" s="232">
        <f t="array" ref="X248">SUM(IF((D10:D35=170802)*(B10:B35="Demolition"),L10:L35,0))</f>
        <v>0</v>
      </c>
      <c r="Y248" s="192">
        <f t="shared" si="117"/>
        <v>0</v>
      </c>
      <c r="Z248" s="501">
        <f t="shared" si="118"/>
        <v>0</v>
      </c>
    </row>
    <row r="249" spans="15:26" x14ac:dyDescent="0.25">
      <c r="O249" s="871"/>
      <c r="P249" s="868"/>
      <c r="Q249" s="235" t="s">
        <v>123</v>
      </c>
      <c r="R249" s="234" t="s">
        <v>236</v>
      </c>
      <c r="S249" s="191">
        <f t="array" ref="S249">SUM(IF((D10:D35=170802)*(B10:B35="Excavation"),G10:G35,0))</f>
        <v>0</v>
      </c>
      <c r="T249" s="191">
        <f t="array" ref="T249">SUM(IF((D10:D35=170802)*(B10:B35="Excavation"),H10:H35,0))</f>
        <v>0</v>
      </c>
      <c r="U249" s="191">
        <f t="array" ref="U249">SUM(IF((D10:D35=170802)*(B10:B35="Excavation"),I10:I35,0))</f>
        <v>0</v>
      </c>
      <c r="V249" s="191">
        <f t="array" ref="V249">SUM(IF((D10:D35=170802)*(B10:B35="Excavation"),J10:J35,0))</f>
        <v>0</v>
      </c>
      <c r="W249" s="191">
        <f t="array" ref="W249">SUM(IF((D10:D35=170802)*(B10:B35="Excavation"),K10:K35,0))</f>
        <v>0</v>
      </c>
      <c r="X249" s="191">
        <f t="array" ref="X249">SUM(IF((D10:D35=170802)*(B10:B35="Excavation"),L10:L35,0))</f>
        <v>0</v>
      </c>
      <c r="Y249" s="192">
        <f t="shared" si="117"/>
        <v>0</v>
      </c>
      <c r="Z249" s="501">
        <f t="shared" si="118"/>
        <v>0</v>
      </c>
    </row>
    <row r="250" spans="15:26" ht="13.8" thickBot="1" x14ac:dyDescent="0.3">
      <c r="O250" s="874"/>
      <c r="P250" s="869"/>
      <c r="Q250" s="235" t="s">
        <v>123</v>
      </c>
      <c r="R250" s="234" t="s">
        <v>237</v>
      </c>
      <c r="S250" s="191">
        <f t="array" ref="S250">SUM(IF((D10:D35=170802)*(B10:B35="Construction"),G10:G35,0))</f>
        <v>0</v>
      </c>
      <c r="T250" s="191">
        <f t="array" ref="T250">SUM(IF((D10:D35=170802)*(B10:B35="Construction"),H10:H35,0))</f>
        <v>0</v>
      </c>
      <c r="U250" s="191">
        <f t="array" ref="U250">SUM(IF((D10:D35=170802)*(B10:B35="Construction"),I10:I35,0))</f>
        <v>0</v>
      </c>
      <c r="V250" s="191">
        <f t="array" ref="V250">SUM(IF((D10:D35=170802)*(B10:B35="Construction"),J10:J35,0))</f>
        <v>0</v>
      </c>
      <c r="W250" s="191">
        <f t="array" ref="W250">SUM(IF((D10:D35=170802)*(B10:B35="Construction"),K10:K35,0))</f>
        <v>0</v>
      </c>
      <c r="X250" s="191">
        <f t="array" ref="X250">SUM(IF((D10:D35=170802)*(B10:B35="Construction"),L10:L35,0))</f>
        <v>0</v>
      </c>
      <c r="Y250" s="192">
        <f t="shared" ref="Y250:Y313" si="119">S250+T250+U250+V250+X250</f>
        <v>0</v>
      </c>
      <c r="Z250" s="501">
        <f t="shared" ref="Z250:Z313" si="120">T250+V250+X250</f>
        <v>0</v>
      </c>
    </row>
    <row r="251" spans="15:26" x14ac:dyDescent="0.25">
      <c r="O251" s="865" t="s">
        <v>170</v>
      </c>
      <c r="P251" s="867">
        <v>170801</v>
      </c>
      <c r="Q251" s="235" t="s">
        <v>126</v>
      </c>
      <c r="R251" s="231" t="s">
        <v>235</v>
      </c>
      <c r="S251" s="232">
        <f t="array" ref="S251">SUM(IF((D10:D35=170801)*(B10:B35="Demolition"),G10:G35,0))</f>
        <v>0</v>
      </c>
      <c r="T251" s="232">
        <f t="array" ref="T251">SUM(IF((D10:D35=170801)*(B10:B35="Demolition"),H10:H35,0))</f>
        <v>0</v>
      </c>
      <c r="U251" s="232">
        <f t="array" ref="U251">SUM(IF((D10:D35=170801)*(B10:B35="Demolition"),I10:I35,0))</f>
        <v>0</v>
      </c>
      <c r="V251" s="232">
        <f t="array" ref="V251">SUM(IF((D10:D35=170801)*(B10:B35="Demolition"),J10:J35,0))</f>
        <v>0</v>
      </c>
      <c r="W251" s="232">
        <f t="array" ref="W251">SUM(IF((D10:D35=170801)*(B10:B35="Demolition"),K10:K35,0))</f>
        <v>0</v>
      </c>
      <c r="X251" s="232">
        <f t="array" ref="X251">SUM(IF((D10:D35=170801)*(B10:B35="Demolition"),L10:L35,0))</f>
        <v>0</v>
      </c>
      <c r="Y251" s="192">
        <f t="shared" si="119"/>
        <v>0</v>
      </c>
      <c r="Z251" s="501">
        <f t="shared" si="120"/>
        <v>0</v>
      </c>
    </row>
    <row r="252" spans="15:26" x14ac:dyDescent="0.25">
      <c r="O252" s="871"/>
      <c r="P252" s="868"/>
      <c r="Q252" s="235" t="s">
        <v>126</v>
      </c>
      <c r="R252" s="234" t="s">
        <v>236</v>
      </c>
      <c r="S252" s="191">
        <f t="array" ref="S252">SUM(IF((D10:D35=170801)*(B10:B35="Excavation"),G10:G35,0))</f>
        <v>0</v>
      </c>
      <c r="T252" s="191">
        <f t="array" ref="T252">SUM(IF((D10:D35=170801)*(B10:B35="Excavation"),H10:H35,0))</f>
        <v>0</v>
      </c>
      <c r="U252" s="191">
        <f t="array" ref="U252">SUM(IF((D10:D35=170801)*(B10:B35="Excavation"),I10:I35,0))</f>
        <v>0</v>
      </c>
      <c r="V252" s="191">
        <f t="array" ref="V252">SUM(IF((D10:D35=170801)*(B10:B35="Excavation"),J10:J35,0))</f>
        <v>0</v>
      </c>
      <c r="W252" s="191">
        <f t="array" ref="W252">SUM(IF((D10:D35=170801)*(B10:B35="Excavation"),K10:K35,0))</f>
        <v>0</v>
      </c>
      <c r="X252" s="191">
        <f t="array" ref="X252">SUM(IF((D10:D35=170801)*(B10:B35="Excavation"),L10:L35,0))</f>
        <v>0</v>
      </c>
      <c r="Y252" s="192">
        <f t="shared" si="119"/>
        <v>0</v>
      </c>
      <c r="Z252" s="501">
        <f t="shared" si="120"/>
        <v>0</v>
      </c>
    </row>
    <row r="253" spans="15:26" ht="13.8" thickBot="1" x14ac:dyDescent="0.3">
      <c r="O253" s="874"/>
      <c r="P253" s="869"/>
      <c r="Q253" s="235" t="s">
        <v>126</v>
      </c>
      <c r="R253" s="234" t="s">
        <v>237</v>
      </c>
      <c r="S253" s="191">
        <f t="array" ref="S253">SUM(IF((D10:D35=170801)*(B10:B35="Construction"),G10:G35,0))</f>
        <v>0</v>
      </c>
      <c r="T253" s="191">
        <f t="array" ref="T253">SUM(IF((D10:D35=170801)*(B10:B35="Construction"),H10:H35,0))</f>
        <v>0</v>
      </c>
      <c r="U253" s="191">
        <f t="array" ref="U253">SUM(IF((D10:D35=170801)*(B10:B35="Construction"),I10:I35,0))</f>
        <v>0</v>
      </c>
      <c r="V253" s="191">
        <f t="array" ref="V253">SUM(IF((D10:D35=170801)*(B10:B35="Construction"),J10:J35,0))</f>
        <v>0</v>
      </c>
      <c r="W253" s="191">
        <f t="array" ref="W253">SUM(IF((D10:D35=170801)*(B10:B35="Construction"),K10:K35,0))</f>
        <v>0</v>
      </c>
      <c r="X253" s="191">
        <f t="array" ref="X253">SUM(IF((D10:D35=170801)*(B10:B35="Construction"),L10:L35,0))</f>
        <v>0</v>
      </c>
      <c r="Y253" s="192">
        <f t="shared" si="119"/>
        <v>0</v>
      </c>
      <c r="Z253" s="501">
        <f t="shared" si="120"/>
        <v>0</v>
      </c>
    </row>
    <row r="254" spans="15:26" x14ac:dyDescent="0.25">
      <c r="O254" s="865" t="s">
        <v>171</v>
      </c>
      <c r="P254" s="867">
        <v>170604</v>
      </c>
      <c r="Q254" s="235" t="s">
        <v>123</v>
      </c>
      <c r="R254" s="231" t="s">
        <v>235</v>
      </c>
      <c r="S254" s="232">
        <f t="array" ref="S254">SUM(IF((D10:D35=170604)*(B10:B35="Demolition"),G10:G35,0))</f>
        <v>0</v>
      </c>
      <c r="T254" s="232">
        <f t="array" ref="T254">SUM(IF((D10:D35=170604)*(B10:B35="Demolition"),H10:H35,0))</f>
        <v>0</v>
      </c>
      <c r="U254" s="232">
        <f t="array" ref="U254">SUM(IF((D10:D35=170604)*(B10:B35="Demolition"),I10:I35,0))</f>
        <v>0</v>
      </c>
      <c r="V254" s="232">
        <f t="array" ref="V254">SUM(IF((D10:D35=170604)*(B10:B35="Demolition"),J10:J35,0))</f>
        <v>0</v>
      </c>
      <c r="W254" s="232">
        <f t="array" ref="W254">SUM(IF((D10:D35=170604)*(B10:B35="Demolition"),K10:K35,0))</f>
        <v>0</v>
      </c>
      <c r="X254" s="232">
        <f t="array" ref="X254">SUM(IF((D10:D35=170604)*(B10:B35="Demolition"),L10:L35,0))</f>
        <v>0</v>
      </c>
      <c r="Y254" s="192">
        <f t="shared" si="119"/>
        <v>0</v>
      </c>
      <c r="Z254" s="501">
        <f t="shared" si="120"/>
        <v>0</v>
      </c>
    </row>
    <row r="255" spans="15:26" x14ac:dyDescent="0.25">
      <c r="O255" s="871"/>
      <c r="P255" s="868"/>
      <c r="Q255" s="235" t="s">
        <v>123</v>
      </c>
      <c r="R255" s="234" t="s">
        <v>236</v>
      </c>
      <c r="S255" s="191">
        <f t="array" ref="S255">SUM(IF((D10:D35=170604)*(B10:B35="Excavation"),G10:G35,0))</f>
        <v>0</v>
      </c>
      <c r="T255" s="191">
        <f t="array" ref="T255">SUM(IF((D10:D35=170604)*(B10:B35="Excavation"),H10:H35,0))</f>
        <v>0</v>
      </c>
      <c r="U255" s="191">
        <f t="array" ref="U255">SUM(IF((D10:D35=170604)*(B10:B35="Excavation"),I10:I35,0))</f>
        <v>0</v>
      </c>
      <c r="V255" s="191">
        <f t="array" ref="V255">SUM(IF((D10:D35=170604)*(B10:B35="Excavation"),J10:J35,0))</f>
        <v>0</v>
      </c>
      <c r="W255" s="191">
        <f t="array" ref="W255">SUM(IF((D10:D35=170604)*(B10:B35="Excavation"),K10:K35,0))</f>
        <v>0</v>
      </c>
      <c r="X255" s="191">
        <f t="array" ref="X255">SUM(IF((D10:D35=170604)*(B10:B35="Excavation"),L10:L35,0))</f>
        <v>0</v>
      </c>
      <c r="Y255" s="192">
        <f t="shared" si="119"/>
        <v>0</v>
      </c>
      <c r="Z255" s="501">
        <f t="shared" si="120"/>
        <v>0</v>
      </c>
    </row>
    <row r="256" spans="15:26" ht="13.8" thickBot="1" x14ac:dyDescent="0.3">
      <c r="O256" s="874"/>
      <c r="P256" s="869"/>
      <c r="Q256" s="235" t="s">
        <v>123</v>
      </c>
      <c r="R256" s="234" t="s">
        <v>237</v>
      </c>
      <c r="S256" s="191">
        <f t="array" ref="S256">SUM(IF((D10:D35=170604)*(B10:B35="Construction"),G10:G35,0))</f>
        <v>0</v>
      </c>
      <c r="T256" s="191">
        <f t="array" ref="T256">SUM(IF((D10:D35=170604)*(B10:B35="Construction"),H10:H35,0))</f>
        <v>0</v>
      </c>
      <c r="U256" s="191">
        <f t="array" ref="U256">SUM(IF((D10:D35=170604)*(B10:B35="Construction"),I10:I35,0))</f>
        <v>0</v>
      </c>
      <c r="V256" s="191">
        <f t="array" ref="V256">SUM(IF((D10:D35=170604)*(B10:B35="Construction"),J10:J35,0))</f>
        <v>0</v>
      </c>
      <c r="W256" s="191">
        <f t="array" ref="W256">SUM(IF((D10:D35=170604)*(B10:B35="Construction"),K10:K35,0))</f>
        <v>0</v>
      </c>
      <c r="X256" s="191">
        <f t="array" ref="X256">SUM(IF((D10:D35=170604)*(B10:B35="Construction"),L10:L35,0))</f>
        <v>0</v>
      </c>
      <c r="Y256" s="192">
        <f t="shared" si="119"/>
        <v>0</v>
      </c>
      <c r="Z256" s="501">
        <f t="shared" si="120"/>
        <v>0</v>
      </c>
    </row>
    <row r="257" spans="15:26" x14ac:dyDescent="0.25">
      <c r="O257" s="865" t="s">
        <v>172</v>
      </c>
      <c r="P257" s="867">
        <v>170603</v>
      </c>
      <c r="Q257" s="235" t="s">
        <v>126</v>
      </c>
      <c r="R257" s="231" t="s">
        <v>235</v>
      </c>
      <c r="S257" s="232">
        <f t="array" ref="S257">SUM(IF((D10:D35=170603)*(B10:B35="Demolition"),G10:G35,0))</f>
        <v>0</v>
      </c>
      <c r="T257" s="232">
        <f t="array" ref="T257">SUM(IF((D10:D35=170603)*(B10:B35="Demolition"),H10:H35,0))</f>
        <v>0</v>
      </c>
      <c r="U257" s="232">
        <f t="array" ref="U257">SUM(IF((D10:D35=170603)*(B10:B35="Demolition"),I10:I35,0))</f>
        <v>0</v>
      </c>
      <c r="V257" s="232">
        <f t="array" ref="V257">SUM(IF((D10:D35=170603)*(B10:B35="Demolition"),J10:J35,0))</f>
        <v>0</v>
      </c>
      <c r="W257" s="232">
        <f t="array" ref="W257">SUM(IF((D10:D35=170603)*(B10:B35="Demolition"),K10:K35,0))</f>
        <v>0</v>
      </c>
      <c r="X257" s="232">
        <f t="array" ref="X257">SUM(IF((D10:D35=170603)*(B10:B35="Demolition"),L10:L35,0))</f>
        <v>0</v>
      </c>
      <c r="Y257" s="192">
        <f t="shared" si="119"/>
        <v>0</v>
      </c>
      <c r="Z257" s="501">
        <f t="shared" si="120"/>
        <v>0</v>
      </c>
    </row>
    <row r="258" spans="15:26" x14ac:dyDescent="0.25">
      <c r="O258" s="871"/>
      <c r="P258" s="868"/>
      <c r="Q258" s="235" t="s">
        <v>126</v>
      </c>
      <c r="R258" s="234" t="s">
        <v>236</v>
      </c>
      <c r="S258" s="191">
        <f t="array" ref="S258">SUM(IF((D10:D35=170603)*(B10:B35="Excavation"),G10:G35,0))</f>
        <v>0</v>
      </c>
      <c r="T258" s="191">
        <f t="array" ref="T258">SUM(IF((D10:D35=170603)*(B10:B35="Excavation"),H10:H35,0))</f>
        <v>0</v>
      </c>
      <c r="U258" s="191">
        <f t="array" ref="U258">SUM(IF((D10:D35=170603)*(B10:B35="Excavation"),I10:I35,0))</f>
        <v>0</v>
      </c>
      <c r="V258" s="191">
        <f t="array" ref="V258">SUM(IF((D10:D35=170603)*(B10:B35="Excavation"),J10:J35,0))</f>
        <v>0</v>
      </c>
      <c r="W258" s="191">
        <f t="array" ref="W258">SUM(IF((D10:D35=170603)*(B10:B35="Excavation"),K10:K35,0))</f>
        <v>0</v>
      </c>
      <c r="X258" s="191">
        <f t="array" ref="X258">SUM(IF((D10:D35=170603)*(B10:B35="Excavation"),L10:L35,0))</f>
        <v>0</v>
      </c>
      <c r="Y258" s="192">
        <f t="shared" si="119"/>
        <v>0</v>
      </c>
      <c r="Z258" s="501">
        <f t="shared" si="120"/>
        <v>0</v>
      </c>
    </row>
    <row r="259" spans="15:26" ht="13.8" thickBot="1" x14ac:dyDescent="0.3">
      <c r="O259" s="874"/>
      <c r="P259" s="869"/>
      <c r="Q259" s="235" t="s">
        <v>126</v>
      </c>
      <c r="R259" s="234" t="s">
        <v>237</v>
      </c>
      <c r="S259" s="191">
        <f t="array" ref="S259">SUM(IF((D10:D35=170603)*(B10:B35="Construction"),G10:G35,0))</f>
        <v>0</v>
      </c>
      <c r="T259" s="191">
        <f t="array" ref="T259">SUM(IF((D10:D35=170603)*(B10:B35="Construction"),H10:H35,0))</f>
        <v>0</v>
      </c>
      <c r="U259" s="191">
        <f t="array" ref="U259">SUM(IF((D10:D35=170603)*(B10:B35="Construction"),I10:I35,0))</f>
        <v>0</v>
      </c>
      <c r="V259" s="191">
        <f t="array" ref="V259">SUM(IF((D10:D35=170603)*(B10:B35="Construction"),J10:J35,0))</f>
        <v>0</v>
      </c>
      <c r="W259" s="191">
        <f t="array" ref="W259">SUM(IF((D10:D35=170603)*(B10:B35="Construction"),K10:K35,0))</f>
        <v>0</v>
      </c>
      <c r="X259" s="191">
        <f t="array" ref="X259">SUM(IF((D10:D35=170603)*(B10:B35="Construction"),L10:L35,0))</f>
        <v>0</v>
      </c>
      <c r="Y259" s="192">
        <f t="shared" si="119"/>
        <v>0</v>
      </c>
      <c r="Z259" s="501">
        <f t="shared" si="120"/>
        <v>0</v>
      </c>
    </row>
    <row r="260" spans="15:26" x14ac:dyDescent="0.25">
      <c r="O260" s="865" t="s">
        <v>173</v>
      </c>
      <c r="P260" s="867">
        <v>170601</v>
      </c>
      <c r="Q260" s="235" t="s">
        <v>126</v>
      </c>
      <c r="R260" s="231" t="s">
        <v>235</v>
      </c>
      <c r="S260" s="232">
        <f t="array" ref="S260">SUM(IF((D10:D35=170601)*(B10:B35="Demolition"),G10:G35,0))</f>
        <v>0</v>
      </c>
      <c r="T260" s="232">
        <f t="array" ref="T260">SUM(IF((D10:D35=170601)*(B10:B35="Demolition"),H10:H35,0))</f>
        <v>0</v>
      </c>
      <c r="U260" s="232">
        <f t="array" ref="U260">SUM(IF((D10:D35=170601)*(B10:B35="Demolition"),I10:I35,0))</f>
        <v>0</v>
      </c>
      <c r="V260" s="232">
        <f t="array" ref="V260">SUM(IF((D10:D35=170601)*(B10:B35="Demolition"),J10:J35,0))</f>
        <v>0</v>
      </c>
      <c r="W260" s="232">
        <f t="array" ref="W260">SUM(IF((D10:D35=170601)*(B10:B35="Demolition"),K10:K35,0))</f>
        <v>0</v>
      </c>
      <c r="X260" s="232">
        <f t="array" ref="X260">SUM(IF((D10:D35=170601)*(B10:B35="Demolition"),L10:L35,0))</f>
        <v>0</v>
      </c>
      <c r="Y260" s="192">
        <f t="shared" si="119"/>
        <v>0</v>
      </c>
      <c r="Z260" s="501">
        <f t="shared" si="120"/>
        <v>0</v>
      </c>
    </row>
    <row r="261" spans="15:26" x14ac:dyDescent="0.25">
      <c r="O261" s="871"/>
      <c r="P261" s="868"/>
      <c r="Q261" s="235" t="s">
        <v>126</v>
      </c>
      <c r="R261" s="234" t="s">
        <v>236</v>
      </c>
      <c r="S261" s="191">
        <f t="array" ref="S261">SUM(IF((D10:D35=170601)*(B10:B35="Excavation"),G10:G35,0))</f>
        <v>0</v>
      </c>
      <c r="T261" s="191">
        <f t="array" ref="T261">SUM(IF((D10:D35=170601)*(B10:B35="Excavation"),H10:H35,0))</f>
        <v>0</v>
      </c>
      <c r="U261" s="191">
        <f t="array" ref="U261">SUM(IF((D10:D35=170601)*(B10:B35="Excavation"),I10:I35,0))</f>
        <v>0</v>
      </c>
      <c r="V261" s="191">
        <f t="array" ref="V261">SUM(IF((D10:D35=170601)*(B10:B35="Excavation"),J10:J35,0))</f>
        <v>0</v>
      </c>
      <c r="W261" s="191">
        <f t="array" ref="W261">SUM(IF((D10:D35=170601)*(B10:B35="Excavation"),K10:K35,0))</f>
        <v>0</v>
      </c>
      <c r="X261" s="191">
        <f t="array" ref="X261">SUM(IF((D10:D35=170601)*(B10:B35="Excavation"),L10:L35,0))</f>
        <v>0</v>
      </c>
      <c r="Y261" s="192">
        <f t="shared" si="119"/>
        <v>0</v>
      </c>
      <c r="Z261" s="501">
        <f t="shared" si="120"/>
        <v>0</v>
      </c>
    </row>
    <row r="262" spans="15:26" ht="13.8" thickBot="1" x14ac:dyDescent="0.3">
      <c r="O262" s="874"/>
      <c r="P262" s="869"/>
      <c r="Q262" s="235" t="s">
        <v>126</v>
      </c>
      <c r="R262" s="234" t="s">
        <v>237</v>
      </c>
      <c r="S262" s="191">
        <f t="array" ref="S262">SUM(IF((D10:D35=170601)*(B10:B35="Construction"),G10:G35,0))</f>
        <v>0</v>
      </c>
      <c r="T262" s="191">
        <f t="array" ref="T262">SUM(IF((D10:D35=170601)*(B10:B35="Construction"),H10:H35,0))</f>
        <v>0</v>
      </c>
      <c r="U262" s="191">
        <f t="array" ref="U262">SUM(IF((D10:D35=170601)*(B10:B35="Construction"),I10:I35,0))</f>
        <v>0</v>
      </c>
      <c r="V262" s="191">
        <f t="array" ref="V262">SUM(IF((D10:D35=170601)*(B10:B35="Construction"),J10:J35,0))</f>
        <v>0</v>
      </c>
      <c r="W262" s="191">
        <f t="array" ref="W262">SUM(IF((D10:D35=170601)*(B10:B35="Construction"),K10:K35,0))</f>
        <v>0</v>
      </c>
      <c r="X262" s="191">
        <f t="array" ref="X262">SUM(IF((D10:D35=170601)*(B10:B35="Construction"),L10:L35,0))</f>
        <v>0</v>
      </c>
      <c r="Y262" s="192">
        <f t="shared" si="119"/>
        <v>0</v>
      </c>
      <c r="Z262" s="501">
        <f t="shared" si="120"/>
        <v>0</v>
      </c>
    </row>
    <row r="263" spans="15:26" x14ac:dyDescent="0.25">
      <c r="O263" s="865" t="s">
        <v>174</v>
      </c>
      <c r="P263" s="875">
        <v>130503</v>
      </c>
      <c r="Q263" s="235" t="s">
        <v>123</v>
      </c>
      <c r="R263" s="231" t="s">
        <v>235</v>
      </c>
      <c r="S263" s="232">
        <f t="array" ref="S263">SUM(IF((D10:D35=130503)*(B10:B35="Demolition"),G10:G35,0))</f>
        <v>0</v>
      </c>
      <c r="T263" s="232">
        <f t="array" ref="T263">SUM(IF((D10:D35=130503)*(B10:B35="Demolition"),H10:H35,0))</f>
        <v>0</v>
      </c>
      <c r="U263" s="232">
        <f t="array" ref="U263">SUM(IF((D10:D35=130503)*(B10:B35="Demolition"),I10:I35,0))</f>
        <v>0</v>
      </c>
      <c r="V263" s="232">
        <f t="array" ref="V263">SUM(IF((D10:D35=130503)*(B10:B35="Demolition"),J10:J35,0))</f>
        <v>0</v>
      </c>
      <c r="W263" s="232">
        <f t="array" ref="W263">SUM(IF((D10:D35=130503)*(B10:B35="Demolition"),K10:K35,0))</f>
        <v>0</v>
      </c>
      <c r="X263" s="232">
        <f t="array" ref="X263">SUM(IF((D10:D35=130503)*(B10:B35="Demolition"),L10:L35,0))</f>
        <v>0</v>
      </c>
      <c r="Y263" s="192">
        <f t="shared" si="119"/>
        <v>0</v>
      </c>
      <c r="Z263" s="501">
        <f t="shared" si="120"/>
        <v>0</v>
      </c>
    </row>
    <row r="264" spans="15:26" x14ac:dyDescent="0.25">
      <c r="O264" s="871"/>
      <c r="P264" s="876"/>
      <c r="Q264" s="235" t="s">
        <v>123</v>
      </c>
      <c r="R264" s="234" t="s">
        <v>236</v>
      </c>
      <c r="S264" s="191">
        <f t="array" ref="S264">SUM(IF((D10:D35=130503)*(B10:B35="Excavation"),G10:G35,0))</f>
        <v>0</v>
      </c>
      <c r="T264" s="191">
        <f t="array" ref="T264">SUM(IF((D10:D35=130503)*(B10:B35="Excavation"),H10:H35,0))</f>
        <v>0</v>
      </c>
      <c r="U264" s="191">
        <f t="array" ref="U264">SUM(IF((D10:D35=130503)*(B10:B35="Excavation"),I10:I35,0))</f>
        <v>0</v>
      </c>
      <c r="V264" s="191">
        <f t="array" ref="V264">SUM(IF((D10:D35=130503)*(B10:B35="Excavation"),J10:J35,0))</f>
        <v>0</v>
      </c>
      <c r="W264" s="191">
        <f t="array" ref="W264">SUM(IF((D10:D35=130503)*(B10:B35="Excavation"),K10:K35,0))</f>
        <v>0</v>
      </c>
      <c r="X264" s="191">
        <f t="array" ref="X264">SUM(IF((D10:D35=130503)*(B10:B35="Excavation"),L10:L35,0))</f>
        <v>0</v>
      </c>
      <c r="Y264" s="192">
        <f t="shared" si="119"/>
        <v>0</v>
      </c>
      <c r="Z264" s="501">
        <f t="shared" si="120"/>
        <v>0</v>
      </c>
    </row>
    <row r="265" spans="15:26" ht="13.8" thickBot="1" x14ac:dyDescent="0.3">
      <c r="O265" s="874"/>
      <c r="P265" s="877"/>
      <c r="Q265" s="235" t="s">
        <v>123</v>
      </c>
      <c r="R265" s="234" t="s">
        <v>237</v>
      </c>
      <c r="S265" s="191">
        <f t="array" ref="S265">SUM(IF((D10:D35=130503)*(B10:B35="Construction"),G10:G35,0))</f>
        <v>0</v>
      </c>
      <c r="T265" s="191">
        <f t="array" ref="T265">SUM(IF((D10:D35=130503)*(B10:B35="Construction"),H10:H35,0))</f>
        <v>0</v>
      </c>
      <c r="U265" s="191">
        <f t="array" ref="U265">SUM(IF((D10:D35=130503)*(B10:B35="Construction"),I10:I35,0))</f>
        <v>0</v>
      </c>
      <c r="V265" s="191">
        <f t="array" ref="V265">SUM(IF((D10:D35=130503)*(B10:B35="Construction"),J10:J35,0))</f>
        <v>0</v>
      </c>
      <c r="W265" s="191">
        <f t="array" ref="W265">SUM(IF((D10:D35=130503)*(B10:B35="Construction"),K10:K35,0))</f>
        <v>0</v>
      </c>
      <c r="X265" s="191">
        <f t="array" ref="X265">SUM(IF((D10:D35=130503)*(B10:B35="Construction"),L10:L35,0))</f>
        <v>0</v>
      </c>
      <c r="Y265" s="192">
        <f t="shared" si="119"/>
        <v>0</v>
      </c>
      <c r="Z265" s="501">
        <f t="shared" si="120"/>
        <v>0</v>
      </c>
    </row>
    <row r="266" spans="15:26" x14ac:dyDescent="0.25">
      <c r="O266" s="865" t="s">
        <v>175</v>
      </c>
      <c r="P266" s="867">
        <v>170402</v>
      </c>
      <c r="Q266" s="235" t="s">
        <v>123</v>
      </c>
      <c r="R266" s="231" t="s">
        <v>235</v>
      </c>
      <c r="S266" s="232">
        <f t="array" ref="S266">SUM(IF((D10:D35=170402)*(B10:B35="Demolition"),G10:G35,0))</f>
        <v>0</v>
      </c>
      <c r="T266" s="232">
        <f t="array" ref="T266">SUM(IF((D10:D35=170402)*(B10:B35="Demolition"),H10:H35,0))</f>
        <v>0</v>
      </c>
      <c r="U266" s="232">
        <f t="array" ref="U266">SUM(IF((D10:D35=170402)*(B10:B35="Demolition"),I10:I35,0))</f>
        <v>0</v>
      </c>
      <c r="V266" s="232">
        <f t="array" ref="V266">SUM(IF((D10:D35=170402)*(B10:B35="Demolition"),J10:J35,0))</f>
        <v>0</v>
      </c>
      <c r="W266" s="232">
        <f t="array" ref="W266">SUM(IF((D10:D35=170402)*(B10:B35="Demolition"),K10:K35,0))</f>
        <v>0</v>
      </c>
      <c r="X266" s="232">
        <f t="array" ref="X266">SUM(IF((D10:D35=170402)*(B10:B35="Demolition"),L10:L35,0))</f>
        <v>0</v>
      </c>
      <c r="Y266" s="192">
        <f t="shared" si="119"/>
        <v>0</v>
      </c>
      <c r="Z266" s="501">
        <f t="shared" si="120"/>
        <v>0</v>
      </c>
    </row>
    <row r="267" spans="15:26" x14ac:dyDescent="0.25">
      <c r="O267" s="871"/>
      <c r="P267" s="868"/>
      <c r="Q267" s="235" t="s">
        <v>123</v>
      </c>
      <c r="R267" s="234" t="s">
        <v>236</v>
      </c>
      <c r="S267" s="191">
        <f t="array" ref="S267">SUM(IF((D10:D35=170402)*(B10:B35="Excavation"),G10:G35,0))</f>
        <v>0</v>
      </c>
      <c r="T267" s="191">
        <f t="array" ref="T267">SUM(IF((D10:D35=170402)*(B10:B35="Excavation"),H10:H35,0))</f>
        <v>0</v>
      </c>
      <c r="U267" s="191">
        <f t="array" ref="U267">SUM(IF((D10:D35=170402)*(B10:B35="Excavation"),I10:I35,0))</f>
        <v>0</v>
      </c>
      <c r="V267" s="191">
        <f t="array" ref="V267">SUM(IF((D10:D35=170402)*(B10:B35="Excavation"),J10:J35,0))</f>
        <v>0</v>
      </c>
      <c r="W267" s="191">
        <f t="array" ref="W267">SUM(IF((D10:D35=170402)*(B10:B35="Excavation"),K10:K35,0))</f>
        <v>0</v>
      </c>
      <c r="X267" s="191">
        <f t="array" ref="X267">SUM(IF((D10:D35=170402)*(B10:B35="Excavation"),L10:L35,0))</f>
        <v>0</v>
      </c>
      <c r="Y267" s="192">
        <f t="shared" si="119"/>
        <v>0</v>
      </c>
      <c r="Z267" s="501">
        <f t="shared" si="120"/>
        <v>0</v>
      </c>
    </row>
    <row r="268" spans="15:26" ht="13.8" thickBot="1" x14ac:dyDescent="0.3">
      <c r="O268" s="874"/>
      <c r="P268" s="869"/>
      <c r="Q268" s="235" t="s">
        <v>123</v>
      </c>
      <c r="R268" s="234" t="s">
        <v>237</v>
      </c>
      <c r="S268" s="191">
        <f t="array" ref="S268">SUM(IF((D10:D35=170402)*(B10:B35="Construction"),G10:G35,0))</f>
        <v>0</v>
      </c>
      <c r="T268" s="191">
        <f t="array" ref="T268">SUM(IF((D10:D35=170402)*(B10:B35="Construction"),H10:H35,0))</f>
        <v>0</v>
      </c>
      <c r="U268" s="191">
        <f t="array" ref="U268">SUM(IF((D10:D35=170402)*(B10:B35="Construction"),I10:I35,0))</f>
        <v>0</v>
      </c>
      <c r="V268" s="191">
        <f t="array" ref="V268">SUM(IF((D10:D35=170402)*(B10:B35="Construction"),J10:J35,0))</f>
        <v>0</v>
      </c>
      <c r="W268" s="191">
        <f t="array" ref="W268">SUM(IF((D10:D35=170402)*(B10:B35="Construction"),K10:K35,0))</f>
        <v>0</v>
      </c>
      <c r="X268" s="191">
        <f t="array" ref="X268">SUM(IF((D10:D35=170402)*(B10:B35="Construction"),L10:L35,0))</f>
        <v>0</v>
      </c>
      <c r="Y268" s="192">
        <f t="shared" si="119"/>
        <v>0</v>
      </c>
      <c r="Z268" s="501">
        <f t="shared" si="120"/>
        <v>0</v>
      </c>
    </row>
    <row r="269" spans="15:26" x14ac:dyDescent="0.25">
      <c r="O269" s="865" t="s">
        <v>176</v>
      </c>
      <c r="P269" s="867">
        <v>170401</v>
      </c>
      <c r="Q269" s="235" t="s">
        <v>123</v>
      </c>
      <c r="R269" s="231" t="s">
        <v>235</v>
      </c>
      <c r="S269" s="232">
        <f t="array" ref="S269">SUM(IF((D10:D35=170401)*(B10:B35="Demolition"),G10:G35,0))</f>
        <v>0</v>
      </c>
      <c r="T269" s="232">
        <f t="array" ref="T269">SUM(IF((D10:D35=170401)*(B10:B35="Demolition"),H10:H35,0))</f>
        <v>0</v>
      </c>
      <c r="U269" s="232">
        <f t="array" ref="U269">SUM(IF((D10:D35=170401)*(B10:B35="Demolition"),I10:I35,0))</f>
        <v>0</v>
      </c>
      <c r="V269" s="232">
        <f t="array" ref="V269">SUM(IF((D10:D35=170401)*(B10:B35="Demolition"),J10:J35,0))</f>
        <v>0</v>
      </c>
      <c r="W269" s="232">
        <f t="array" ref="W269">SUM(IF((D10:D35=170401)*(B10:B35="Demolition"),K10:K35,0))</f>
        <v>0</v>
      </c>
      <c r="X269" s="232">
        <f t="array" ref="X269">SUM(IF((D10:D35=170401)*(B10:B35="Demolition"),L10:L35,0))</f>
        <v>0</v>
      </c>
      <c r="Y269" s="192">
        <f t="shared" si="119"/>
        <v>0</v>
      </c>
      <c r="Z269" s="501">
        <f t="shared" si="120"/>
        <v>0</v>
      </c>
    </row>
    <row r="270" spans="15:26" x14ac:dyDescent="0.25">
      <c r="O270" s="871"/>
      <c r="P270" s="868"/>
      <c r="Q270" s="235" t="s">
        <v>123</v>
      </c>
      <c r="R270" s="234" t="s">
        <v>236</v>
      </c>
      <c r="S270" s="191">
        <f t="array" ref="S270">SUM(IF((D10:D35=170401)*(B10:B35="Excavation"),G10:G35,0))</f>
        <v>0</v>
      </c>
      <c r="T270" s="191">
        <f t="array" ref="T270">SUM(IF((D10:D35=170401)*(B10:B35="Excavation"),H10:H35,0))</f>
        <v>0</v>
      </c>
      <c r="U270" s="191">
        <f t="array" ref="U270">SUM(IF((D10:D35=170401)*(B10:B35="Excavation"),I10:I35,0))</f>
        <v>0</v>
      </c>
      <c r="V270" s="191">
        <f t="array" ref="V270">SUM(IF((D10:D35=170401)*(B10:B35="Excavation"),J10:J35,0))</f>
        <v>0</v>
      </c>
      <c r="W270" s="191">
        <f t="array" ref="W270">SUM(IF((D10:D35=170401)*(B10:B35="Excavation"),K10:K35,0))</f>
        <v>0</v>
      </c>
      <c r="X270" s="191">
        <f t="array" ref="X270">SUM(IF((D10:D35=170401)*(B10:B35="Excavation"),L10:L35,0))</f>
        <v>0</v>
      </c>
      <c r="Y270" s="192">
        <f t="shared" si="119"/>
        <v>0</v>
      </c>
      <c r="Z270" s="501">
        <f t="shared" si="120"/>
        <v>0</v>
      </c>
    </row>
    <row r="271" spans="15:26" ht="13.8" thickBot="1" x14ac:dyDescent="0.3">
      <c r="O271" s="874"/>
      <c r="P271" s="869"/>
      <c r="Q271" s="235" t="s">
        <v>123</v>
      </c>
      <c r="R271" s="234" t="s">
        <v>237</v>
      </c>
      <c r="S271" s="191">
        <f t="array" ref="S271">SUM(IF((D10:D35=170401)*(B10:B35="Construction"),G10:G35,0))</f>
        <v>0</v>
      </c>
      <c r="T271" s="191">
        <f t="array" ref="T271">SUM(IF((D10:D35=170401)*(B10:B35="Construction"),H10:H35,0))</f>
        <v>0</v>
      </c>
      <c r="U271" s="191">
        <f t="array" ref="U271">SUM(IF((D10:D35=170401)*(B10:B35="Construction"),I10:I35,0))</f>
        <v>0</v>
      </c>
      <c r="V271" s="191">
        <f t="array" ref="V271">SUM(IF((D10:D35=170401)*(B10:B35="Construction"),J10:J35,0))</f>
        <v>0</v>
      </c>
      <c r="W271" s="191">
        <f t="array" ref="W271">SUM(IF((D10:D35=170401)*(B10:B35="Construction"),K10:K35,0))</f>
        <v>0</v>
      </c>
      <c r="X271" s="191">
        <f t="array" ref="X271">SUM(IF((D10:D35=170401)*(B10:B35="Construction"),L10:L35,0))</f>
        <v>0</v>
      </c>
      <c r="Y271" s="192">
        <f t="shared" si="119"/>
        <v>0</v>
      </c>
      <c r="Z271" s="501">
        <f t="shared" si="120"/>
        <v>0</v>
      </c>
    </row>
    <row r="272" spans="15:26" x14ac:dyDescent="0.25">
      <c r="O272" s="865" t="s">
        <v>177</v>
      </c>
      <c r="P272" s="867">
        <v>170405</v>
      </c>
      <c r="Q272" s="235" t="s">
        <v>123</v>
      </c>
      <c r="R272" s="231" t="s">
        <v>235</v>
      </c>
      <c r="S272" s="232">
        <f t="array" ref="S272">SUM(IF((D10:D35=170405)*(B10:B35="Demolition"),G10:G35,0))</f>
        <v>0</v>
      </c>
      <c r="T272" s="232">
        <f t="array" ref="T272">SUM(IF((D10:D35=170405)*(B10:B35="Demolition"),H10:H35,0))</f>
        <v>0</v>
      </c>
      <c r="U272" s="232">
        <f t="array" ref="U272">SUM(IF((D10:D35=170405)*(B10:B35="Demolition"),I10:I35,0))</f>
        <v>0</v>
      </c>
      <c r="V272" s="232">
        <f t="array" ref="V272">SUM(IF((D10:D35=170405)*(B10:B35="Demolition"),J10:J35,0))</f>
        <v>0</v>
      </c>
      <c r="W272" s="232">
        <f t="array" ref="W272">SUM(IF((D10:D35=170405)*(B10:B35="Demolition"),K10:K35,0))</f>
        <v>0</v>
      </c>
      <c r="X272" s="232">
        <f t="array" ref="X272">SUM(IF((D10:D35=170405)*(B10:B35="Demolition"),L10:L35,0))</f>
        <v>0</v>
      </c>
      <c r="Y272" s="192">
        <f t="shared" si="119"/>
        <v>0</v>
      </c>
      <c r="Z272" s="501">
        <f t="shared" si="120"/>
        <v>0</v>
      </c>
    </row>
    <row r="273" spans="15:26" x14ac:dyDescent="0.25">
      <c r="O273" s="871"/>
      <c r="P273" s="868"/>
      <c r="Q273" s="235" t="s">
        <v>123</v>
      </c>
      <c r="R273" s="234" t="s">
        <v>236</v>
      </c>
      <c r="S273" s="191">
        <f t="array" ref="S273">SUM(IF((D10:D35=170405)*(B10:B35="Excavation"),G10:G35,0))</f>
        <v>0</v>
      </c>
      <c r="T273" s="191">
        <f t="array" ref="T273">SUM(IF((D10:D35=170405)*(B10:B35="Excavation"),H10:H35,0))</f>
        <v>0</v>
      </c>
      <c r="U273" s="191">
        <f t="array" ref="U273">SUM(IF((D10:D35=170405)*(B10:B35="Excavation"),I10:I35,0))</f>
        <v>0</v>
      </c>
      <c r="V273" s="191">
        <f t="array" ref="V273">SUM(IF((D10:D35=170405)*(B10:B35="Excavation"),J10:J35,0))</f>
        <v>0</v>
      </c>
      <c r="W273" s="191">
        <f t="array" ref="W273">SUM(IF((D10:D35=170405)*(B10:B35="Excavation"),K10:K35,0))</f>
        <v>0</v>
      </c>
      <c r="X273" s="191">
        <f t="array" ref="X273">SUM(IF((D10:D35=170405)*(B10:B35="Excavation"),L10:L35,0))</f>
        <v>0</v>
      </c>
      <c r="Y273" s="192">
        <f t="shared" si="119"/>
        <v>0</v>
      </c>
      <c r="Z273" s="501">
        <f t="shared" si="120"/>
        <v>0</v>
      </c>
    </row>
    <row r="274" spans="15:26" ht="13.8" thickBot="1" x14ac:dyDescent="0.3">
      <c r="O274" s="874"/>
      <c r="P274" s="869"/>
      <c r="Q274" s="235" t="s">
        <v>123</v>
      </c>
      <c r="R274" s="234" t="s">
        <v>237</v>
      </c>
      <c r="S274" s="191">
        <f t="array" ref="S274">SUM(IF((D10:D35=170405)*(B10:B35="Construction"),G10:G35,0))</f>
        <v>0</v>
      </c>
      <c r="T274" s="191">
        <f t="array" ref="T274">SUM(IF((D10:D35=170405)*(B10:B35="Construction"),H10:H35,0))</f>
        <v>0</v>
      </c>
      <c r="U274" s="191">
        <f t="array" ref="U274">SUM(IF((D10:D35=170405)*(B10:B35="Construction"),I10:I35,0))</f>
        <v>0</v>
      </c>
      <c r="V274" s="191">
        <f t="array" ref="V274">SUM(IF((D10:D35=170405)*(B10:B35="Construction"),J10:J35,0))</f>
        <v>0</v>
      </c>
      <c r="W274" s="191">
        <f t="array" ref="W274">SUM(IF((D10:D35=170405)*(B10:B35="Construction"),K10:K35,0))</f>
        <v>0</v>
      </c>
      <c r="X274" s="191">
        <f t="array" ref="X274">SUM(IF((D10:D35=170405)*(B10:B35="Construction"),L10:L35,0))</f>
        <v>0</v>
      </c>
      <c r="Y274" s="192">
        <f t="shared" si="119"/>
        <v>0</v>
      </c>
      <c r="Z274" s="501">
        <f t="shared" si="120"/>
        <v>0</v>
      </c>
    </row>
    <row r="275" spans="15:26" x14ac:dyDescent="0.25">
      <c r="O275" s="865" t="s">
        <v>178</v>
      </c>
      <c r="P275" s="875">
        <v>170403</v>
      </c>
      <c r="Q275" s="235" t="s">
        <v>123</v>
      </c>
      <c r="R275" s="231" t="s">
        <v>235</v>
      </c>
      <c r="S275" s="232">
        <f t="array" ref="S275">SUM(IF((D10:D35=170403)*(B10:B35="Demolition"),G10:G35,0))</f>
        <v>0</v>
      </c>
      <c r="T275" s="232">
        <f t="array" ref="T275">SUM(IF((D10:D35=170403)*(B10:B35="Demolition"),H10:H35,0))</f>
        <v>0</v>
      </c>
      <c r="U275" s="232">
        <f t="array" ref="U275">SUM(IF((D10:D35=170403)*(B10:B35="Demolition"),I10:I35,0))</f>
        <v>0</v>
      </c>
      <c r="V275" s="232">
        <f t="array" ref="V275">SUM(IF((D10:D35=170403)*(B10:B35="Demolition"),J10:J35,0))</f>
        <v>0</v>
      </c>
      <c r="W275" s="232">
        <f t="array" ref="W275">SUM(IF((D10:D35=170403)*(B10:B35="Demolition"),K10:K35,0))</f>
        <v>0</v>
      </c>
      <c r="X275" s="232">
        <f t="array" ref="X275">SUM(IF((D10:D35=170403)*(B10:B35="Demolition"),L10:L35,0))</f>
        <v>0</v>
      </c>
      <c r="Y275" s="192">
        <f t="shared" si="119"/>
        <v>0</v>
      </c>
      <c r="Z275" s="501">
        <f t="shared" si="120"/>
        <v>0</v>
      </c>
    </row>
    <row r="276" spans="15:26" x14ac:dyDescent="0.25">
      <c r="O276" s="871"/>
      <c r="P276" s="876"/>
      <c r="Q276" s="235" t="s">
        <v>123</v>
      </c>
      <c r="R276" s="234" t="s">
        <v>236</v>
      </c>
      <c r="S276" s="191">
        <f t="array" ref="S276">SUM(IF((D10:D35=170403)*(B10:B35="Excavation"),G10:G35,0))</f>
        <v>0</v>
      </c>
      <c r="T276" s="191">
        <f t="array" ref="T276">SUM(IF((D10:D35=170403)*(B10:B35="Excavation"),H10:H35,0))</f>
        <v>0</v>
      </c>
      <c r="U276" s="191">
        <f t="array" ref="U276">SUM(IF((D10:D35=170403)*(B10:B35="Excavation"),I10:I35,0))</f>
        <v>0</v>
      </c>
      <c r="V276" s="191">
        <f t="array" ref="V276">SUM(IF((D10:D35=170403)*(B10:B35="Excavation"),J10:J35,0))</f>
        <v>0</v>
      </c>
      <c r="W276" s="191">
        <f t="array" ref="W276">SUM(IF((D10:D35=170403)*(B10:B35="Excavation"),K10:K35,0))</f>
        <v>0</v>
      </c>
      <c r="X276" s="191">
        <f t="array" ref="X276">SUM(IF((D10:D35=170403)*(B10:B35="Excavation"),L10:L35,0))</f>
        <v>0</v>
      </c>
      <c r="Y276" s="192">
        <f t="shared" si="119"/>
        <v>0</v>
      </c>
      <c r="Z276" s="501">
        <f t="shared" si="120"/>
        <v>0</v>
      </c>
    </row>
    <row r="277" spans="15:26" ht="13.8" thickBot="1" x14ac:dyDescent="0.3">
      <c r="O277" s="874"/>
      <c r="P277" s="877"/>
      <c r="Q277" s="235" t="s">
        <v>123</v>
      </c>
      <c r="R277" s="234" t="s">
        <v>237</v>
      </c>
      <c r="S277" s="191">
        <f t="array" ref="S277">SUM(IF((D10:D35=170403)*(B10:B35="Construction"),G10:G35,0))</f>
        <v>0</v>
      </c>
      <c r="T277" s="191">
        <f t="array" ref="T277">SUM(IF((D10:D35=170403)*(B10:B35="Construction"),H10:H35,0))</f>
        <v>0</v>
      </c>
      <c r="U277" s="191">
        <f t="array" ref="U277">SUM(IF((D10:D35=170403)*(B10:B35="Construction"),I10:I35,0))</f>
        <v>0</v>
      </c>
      <c r="V277" s="191">
        <f t="array" ref="V277">SUM(IF((D10:D35=170403)*(B10:B35="Construction"),J10:J35,0))</f>
        <v>0</v>
      </c>
      <c r="W277" s="191">
        <f t="array" ref="W277">SUM(IF((D10:D35=170403)*(B10:B35="Construction"),K10:K35,0))</f>
        <v>0</v>
      </c>
      <c r="X277" s="191">
        <f t="array" ref="X277">SUM(IF((D10:D35=170403)*(B10:B35="Construction"),L10:L35,0))</f>
        <v>0</v>
      </c>
      <c r="Y277" s="192">
        <f t="shared" si="119"/>
        <v>0</v>
      </c>
      <c r="Z277" s="501">
        <f t="shared" si="120"/>
        <v>0</v>
      </c>
    </row>
    <row r="278" spans="15:26" x14ac:dyDescent="0.25">
      <c r="O278" s="865" t="s">
        <v>179</v>
      </c>
      <c r="P278" s="867">
        <v>170407</v>
      </c>
      <c r="Q278" s="235" t="s">
        <v>123</v>
      </c>
      <c r="R278" s="231" t="s">
        <v>235</v>
      </c>
      <c r="S278" s="232">
        <f t="array" ref="S278">SUM(IF((D10:D35=170407)*(B10:B35="Demolition"),G10:G35,0))</f>
        <v>0</v>
      </c>
      <c r="T278" s="232">
        <f t="array" ref="T278">SUM(IF((D10:D35=170407)*(B10:B35="Demolition"),H10:H35,0))</f>
        <v>0</v>
      </c>
      <c r="U278" s="232">
        <f t="array" ref="U278">SUM(IF((D10:D35=170407)*(B10:B35="Demolition"),I10:I35,0))</f>
        <v>0</v>
      </c>
      <c r="V278" s="232">
        <f t="array" ref="V278">SUM(IF((D10:D35=170407)*(B10:B35="Demolition"),J10:J35,0))</f>
        <v>0</v>
      </c>
      <c r="W278" s="232">
        <f t="array" ref="W278">SUM(IF((D10:D35=170407)*(B10:B35="Demolition"),K10:K35,0))</f>
        <v>0</v>
      </c>
      <c r="X278" s="232">
        <f t="array" ref="X278">SUM(IF((D10:D35=170407)*(B10:B35="Demolition"),L10:L35,0))</f>
        <v>0</v>
      </c>
      <c r="Y278" s="192">
        <f t="shared" si="119"/>
        <v>0</v>
      </c>
      <c r="Z278" s="501">
        <f t="shared" si="120"/>
        <v>0</v>
      </c>
    </row>
    <row r="279" spans="15:26" x14ac:dyDescent="0.25">
      <c r="O279" s="871"/>
      <c r="P279" s="868"/>
      <c r="Q279" s="235" t="s">
        <v>123</v>
      </c>
      <c r="R279" s="234" t="s">
        <v>236</v>
      </c>
      <c r="S279" s="191">
        <f t="array" ref="S279">SUM(IF((D10:D35=170407)*(B10:B35="Excavation"),G10:G35,0))</f>
        <v>0</v>
      </c>
      <c r="T279" s="191">
        <f t="array" ref="T279">SUM(IF((D10:D35=170407)*(B10:B35="Excavation"),H10:H35,0))</f>
        <v>0</v>
      </c>
      <c r="U279" s="191">
        <f t="array" ref="U279">SUM(IF((D10:D35=170407)*(B10:B35="Excavation"),I10:I35,0))</f>
        <v>0</v>
      </c>
      <c r="V279" s="191">
        <f t="array" ref="V279">SUM(IF((D10:D35=170407)*(B10:B35="Excavation"),J10:J35,0))</f>
        <v>0</v>
      </c>
      <c r="W279" s="191">
        <f t="array" ref="W279">SUM(IF((D10:D35=170407)*(B10:B35="Excavation"),K10:K35,0))</f>
        <v>0</v>
      </c>
      <c r="X279" s="191">
        <f t="array" ref="X279">SUM(IF((D10:D35=170407)*(B10:B35="Excavation"),L10:L35,0))</f>
        <v>0</v>
      </c>
      <c r="Y279" s="192">
        <f t="shared" si="119"/>
        <v>0</v>
      </c>
      <c r="Z279" s="501">
        <f t="shared" si="120"/>
        <v>0</v>
      </c>
    </row>
    <row r="280" spans="15:26" ht="13.8" thickBot="1" x14ac:dyDescent="0.3">
      <c r="O280" s="874"/>
      <c r="P280" s="869"/>
      <c r="Q280" s="235" t="s">
        <v>123</v>
      </c>
      <c r="R280" s="234" t="s">
        <v>237</v>
      </c>
      <c r="S280" s="191">
        <f t="array" ref="S280">SUM(IF((D10:D35=170407)*(B10:B35="Construction"),G10:G35,0))</f>
        <v>0</v>
      </c>
      <c r="T280" s="191">
        <f t="array" ref="T280">SUM(IF((D10:D35=170407)*(B10:B35="Construction"),H10:H35,0))</f>
        <v>0</v>
      </c>
      <c r="U280" s="191">
        <f t="array" ref="U280">SUM(IF((D10:D35=170407)*(B10:B35="Construction"),I10:I35,0))</f>
        <v>0</v>
      </c>
      <c r="V280" s="191">
        <f t="array" ref="V280">SUM(IF((D10:D35=170407)*(B10:B35="Construction"),J10:J35,0))</f>
        <v>0</v>
      </c>
      <c r="W280" s="191">
        <f t="array" ref="W280">SUM(IF((D10:D35=170407)*(B10:B35="Construction"),K10:K35,0))</f>
        <v>0</v>
      </c>
      <c r="X280" s="191">
        <f t="array" ref="X280">SUM(IF((D10:D35=170407)*(B10:B35="Construction"),L10:L35,0))</f>
        <v>0</v>
      </c>
      <c r="Y280" s="192">
        <f t="shared" si="119"/>
        <v>0</v>
      </c>
      <c r="Z280" s="501">
        <f t="shared" si="120"/>
        <v>0</v>
      </c>
    </row>
    <row r="281" spans="15:26" x14ac:dyDescent="0.25">
      <c r="O281" s="865" t="s">
        <v>180</v>
      </c>
      <c r="P281" s="867">
        <v>170409</v>
      </c>
      <c r="Q281" s="235" t="s">
        <v>126</v>
      </c>
      <c r="R281" s="231" t="s">
        <v>235</v>
      </c>
      <c r="S281" s="232">
        <f t="array" ref="S281">SUM(IF((D10:D35=170409)*(B10:B35="Demolition"),G10:G35,0))</f>
        <v>0</v>
      </c>
      <c r="T281" s="232">
        <f t="array" ref="T281">SUM(IF((D10:D35=170409)*(B10:B35="Demolition"),H10:H35,0))</f>
        <v>0</v>
      </c>
      <c r="U281" s="232">
        <f t="array" ref="U281">SUM(IF((D10:D35=170409)*(B10:B35="Demolition"),I10:I35,0))</f>
        <v>0</v>
      </c>
      <c r="V281" s="232">
        <f t="array" ref="V281">SUM(IF((D10:D35=170409)*(B10:B35="Demolition"),J10:J35,0))</f>
        <v>0</v>
      </c>
      <c r="W281" s="232">
        <f t="array" ref="W281">SUM(IF((D10:D35=170409)*(B10:B35="Demolition"),K10:K35,0))</f>
        <v>0</v>
      </c>
      <c r="X281" s="232">
        <f t="array" ref="X281">SUM(IF((D10:D35=170409)*(B10:B35="Demolition"),L10:L35,0))</f>
        <v>0</v>
      </c>
      <c r="Y281" s="192">
        <f t="shared" si="119"/>
        <v>0</v>
      </c>
      <c r="Z281" s="501">
        <f t="shared" si="120"/>
        <v>0</v>
      </c>
    </row>
    <row r="282" spans="15:26" x14ac:dyDescent="0.25">
      <c r="O282" s="871"/>
      <c r="P282" s="868"/>
      <c r="Q282" s="235" t="s">
        <v>126</v>
      </c>
      <c r="R282" s="234" t="s">
        <v>236</v>
      </c>
      <c r="S282" s="191">
        <f t="array" ref="S282">SUM(IF((D10:D35=170409)*(B10:B35="Excavation"),G10:G35,0))</f>
        <v>0</v>
      </c>
      <c r="T282" s="191">
        <f t="array" ref="T282">SUM(IF((D10:D35=170409)*(B10:B35="Excavation"),H10:H35,0))</f>
        <v>0</v>
      </c>
      <c r="U282" s="191">
        <f t="array" ref="U282">SUM(IF((D10:D35=170409)*(B10:B35="Excavation"),I10:I35,0))</f>
        <v>0</v>
      </c>
      <c r="V282" s="191">
        <f t="array" ref="V282">SUM(IF((D10:D35=170409)*(B10:B35="Excavation"),J10:J35,0))</f>
        <v>0</v>
      </c>
      <c r="W282" s="191">
        <f t="array" ref="W282">SUM(IF((D10:D35=170409)*(B10:B35="Excavation"),K10:K35,0))</f>
        <v>0</v>
      </c>
      <c r="X282" s="191">
        <f t="array" ref="X282">SUM(IF((D10:D35=170409)*(B10:B35="Excavation"),L10:L35,0))</f>
        <v>0</v>
      </c>
      <c r="Y282" s="192">
        <f t="shared" si="119"/>
        <v>0</v>
      </c>
      <c r="Z282" s="501">
        <f t="shared" si="120"/>
        <v>0</v>
      </c>
    </row>
    <row r="283" spans="15:26" ht="13.8" thickBot="1" x14ac:dyDescent="0.3">
      <c r="O283" s="874"/>
      <c r="P283" s="869"/>
      <c r="Q283" s="235" t="s">
        <v>126</v>
      </c>
      <c r="R283" s="234" t="s">
        <v>237</v>
      </c>
      <c r="S283" s="191">
        <f t="array" ref="S283">SUM(IF((D10:D35=170409)*(B10:B35="Construction"),G10:G35,0))</f>
        <v>0</v>
      </c>
      <c r="T283" s="191">
        <f t="array" ref="T283">SUM(IF((D10:D35=170409)*(B10:B35="Construction"),H10:H35,0))</f>
        <v>0</v>
      </c>
      <c r="U283" s="191">
        <f t="array" ref="U283">SUM(IF((D10:D35=170409)*(B10:B35="Construction"),I10:I35,0))</f>
        <v>0</v>
      </c>
      <c r="V283" s="191">
        <f t="array" ref="V283">SUM(IF((D10:D35=170409)*(B10:B35="Construction"),J10:J35,0))</f>
        <v>0</v>
      </c>
      <c r="W283" s="191">
        <f t="array" ref="W283">SUM(IF((D10:D35=170409)*(B10:B35="Construction"),K10:K35,0))</f>
        <v>0</v>
      </c>
      <c r="X283" s="191">
        <f t="array" ref="X283">SUM(IF((D10:D35=170409)*(B10:B35="Construction"),L10:L35,0))</f>
        <v>0</v>
      </c>
      <c r="Y283" s="192">
        <f t="shared" si="119"/>
        <v>0</v>
      </c>
      <c r="Z283" s="501">
        <f t="shared" si="120"/>
        <v>0</v>
      </c>
    </row>
    <row r="284" spans="15:26" x14ac:dyDescent="0.25">
      <c r="O284" s="865" t="s">
        <v>181</v>
      </c>
      <c r="P284" s="867">
        <v>170406</v>
      </c>
      <c r="Q284" s="235" t="s">
        <v>123</v>
      </c>
      <c r="R284" s="231" t="s">
        <v>235</v>
      </c>
      <c r="S284" s="232">
        <f t="array" ref="S284">SUM(IF((D10:D35=170406)*(B10:B35="Demolition"),G10:G35,0))</f>
        <v>0</v>
      </c>
      <c r="T284" s="232">
        <f t="array" ref="T284">SUM(IF((D10:D35=170406)*(B10:B35="Demolition"),H10:H35,0))</f>
        <v>0</v>
      </c>
      <c r="U284" s="232">
        <f t="array" ref="U284">SUM(IF((D10:D35=170406)*(B10:B35="Demolition"),I10:I35,0))</f>
        <v>0</v>
      </c>
      <c r="V284" s="232">
        <f t="array" ref="V284">SUM(IF((D10:D35=170406)*(B10:B35="Demolition"),J10:J35,0))</f>
        <v>0</v>
      </c>
      <c r="W284" s="232">
        <f t="array" ref="W284">SUM(IF((D10:D35=170406)*(B10:B35="Demolition"),K10:K35,0))</f>
        <v>0</v>
      </c>
      <c r="X284" s="232">
        <f t="array" ref="X284">SUM(IF((D10:D35=170406)*(B10:B35="Demolition"),L10:L35,0))</f>
        <v>0</v>
      </c>
      <c r="Y284" s="192">
        <f t="shared" si="119"/>
        <v>0</v>
      </c>
      <c r="Z284" s="501">
        <f t="shared" si="120"/>
        <v>0</v>
      </c>
    </row>
    <row r="285" spans="15:26" x14ac:dyDescent="0.25">
      <c r="O285" s="871"/>
      <c r="P285" s="868"/>
      <c r="Q285" s="235" t="s">
        <v>123</v>
      </c>
      <c r="R285" s="234" t="s">
        <v>236</v>
      </c>
      <c r="S285" s="191">
        <f t="array" ref="S285">SUM(IF((D10:D35=170406)*(B10:B35="Excavation"),G10:G35,0))</f>
        <v>0</v>
      </c>
      <c r="T285" s="191">
        <f t="array" ref="T285">SUM(IF((D10:D35=170406)*(B10:B35="Excavation"),H10:H35,0))</f>
        <v>0</v>
      </c>
      <c r="U285" s="191">
        <f t="array" ref="U285">SUM(IF((D10:D35=170406)*(B10:B35="Excavation"),I10:I35,0))</f>
        <v>0</v>
      </c>
      <c r="V285" s="191">
        <f t="array" ref="V285">SUM(IF((D10:D35=170406)*(B10:B35="Excavation"),J10:J35,0))</f>
        <v>0</v>
      </c>
      <c r="W285" s="191">
        <f t="array" ref="W285">SUM(IF((D10:D35=170406)*(B10:B35="Excavation"),K10:K35,0))</f>
        <v>0</v>
      </c>
      <c r="X285" s="191">
        <f t="array" ref="X285">SUM(IF((D10:D35=170406)*(B10:B35="Excavation"),L10:L35,0))</f>
        <v>0</v>
      </c>
      <c r="Y285" s="192">
        <f t="shared" si="119"/>
        <v>0</v>
      </c>
      <c r="Z285" s="501">
        <f t="shared" si="120"/>
        <v>0</v>
      </c>
    </row>
    <row r="286" spans="15:26" ht="13.8" thickBot="1" x14ac:dyDescent="0.3">
      <c r="O286" s="874"/>
      <c r="P286" s="869"/>
      <c r="Q286" s="235" t="s">
        <v>123</v>
      </c>
      <c r="R286" s="234" t="s">
        <v>237</v>
      </c>
      <c r="S286" s="191">
        <f t="array" ref="S286">SUM(IF((D10:D35=170406)*(B10:B35="Construction"),G10:G35,0))</f>
        <v>0</v>
      </c>
      <c r="T286" s="191">
        <f t="array" ref="T286">SUM(IF((D10:D35=170406)*(B10:B35="Construction"),H10:H35,0))</f>
        <v>0</v>
      </c>
      <c r="U286" s="191">
        <f t="array" ref="U286">SUM(IF((D10:D35=170406)*(B10:B35="Construction"),I10:I35,0))</f>
        <v>0</v>
      </c>
      <c r="V286" s="191">
        <f t="array" ref="V286">SUM(IF((D10:D35=170406)*(B10:B35="Construction"),J10:J35,0))</f>
        <v>0</v>
      </c>
      <c r="W286" s="191">
        <f t="array" ref="W286">SUM(IF((D10:D35=170406)*(B10:B35="Construction"),K10:K35,0))</f>
        <v>0</v>
      </c>
      <c r="X286" s="191">
        <f t="array" ref="X286">SUM(IF((D10:D35=170406)*(B10:B35="Construction"),L10:L35,0))</f>
        <v>0</v>
      </c>
      <c r="Y286" s="192">
        <f t="shared" si="119"/>
        <v>0</v>
      </c>
      <c r="Z286" s="501">
        <f t="shared" si="120"/>
        <v>0</v>
      </c>
    </row>
    <row r="287" spans="15:26" x14ac:dyDescent="0.25">
      <c r="O287" s="865" t="s">
        <v>182</v>
      </c>
      <c r="P287" s="867">
        <v>170404</v>
      </c>
      <c r="Q287" s="235" t="s">
        <v>123</v>
      </c>
      <c r="R287" s="231" t="s">
        <v>235</v>
      </c>
      <c r="S287" s="232">
        <f t="array" ref="S287">SUM(IF((D10:D35=170404)*(B10:B35="Demolition"),G10:G35,0))</f>
        <v>0</v>
      </c>
      <c r="T287" s="232">
        <f t="array" ref="T287">SUM(IF((D10:D35=170404)*(B10:B35="Demolition"),H10:H35,0))</f>
        <v>0</v>
      </c>
      <c r="U287" s="232">
        <f t="array" ref="U287">SUM(IF((D10:D35=170404)*(B10:B35="Demolition"),I10:I35,0))</f>
        <v>0</v>
      </c>
      <c r="V287" s="232">
        <f t="array" ref="V287">SUM(IF((D10:D35=170404)*(B10:B35="Demolition"),J10:J35,0))</f>
        <v>0</v>
      </c>
      <c r="W287" s="232">
        <f t="array" ref="W287">SUM(IF((D10:D35=170404)*(B10:B35="Demolition"),K10:K35,0))</f>
        <v>0</v>
      </c>
      <c r="X287" s="232">
        <f t="array" ref="X287">SUM(IF((D10:D35=170404)*(B10:B35="Demolition"),L10:L35,0))</f>
        <v>0</v>
      </c>
      <c r="Y287" s="192">
        <f t="shared" si="119"/>
        <v>0</v>
      </c>
      <c r="Z287" s="501">
        <f t="shared" si="120"/>
        <v>0</v>
      </c>
    </row>
    <row r="288" spans="15:26" x14ac:dyDescent="0.25">
      <c r="O288" s="871"/>
      <c r="P288" s="868"/>
      <c r="Q288" s="235" t="s">
        <v>123</v>
      </c>
      <c r="R288" s="234" t="s">
        <v>236</v>
      </c>
      <c r="S288" s="191">
        <f t="array" ref="S288">SUM(IF((D10:D35=170404)*(B10:B35="Excavation"),G10:G35,0))</f>
        <v>0</v>
      </c>
      <c r="T288" s="191">
        <f t="array" ref="T288">SUM(IF((D10:D35=170404)*(B10:B35="Excavation"),H10:H35,0))</f>
        <v>0</v>
      </c>
      <c r="U288" s="191">
        <f t="array" ref="U288">SUM(IF((D10:D35=170404)*(B10:B35="Excavation"),I10:I35,0))</f>
        <v>0</v>
      </c>
      <c r="V288" s="191">
        <f t="array" ref="V288">SUM(IF((D10:D35=170404)*(B10:B35="Excavation"),J10:J35,0))</f>
        <v>0</v>
      </c>
      <c r="W288" s="191">
        <f t="array" ref="W288">SUM(IF((D10:D35=170404)*(B10:B35="Excavation"),K10:K35,0))</f>
        <v>0</v>
      </c>
      <c r="X288" s="191">
        <f t="array" ref="X288">SUM(IF((D10:D35=170404)*(B10:B35="Excavation"),L10:L35,0))</f>
        <v>0</v>
      </c>
      <c r="Y288" s="192">
        <f t="shared" si="119"/>
        <v>0</v>
      </c>
      <c r="Z288" s="501">
        <f t="shared" si="120"/>
        <v>0</v>
      </c>
    </row>
    <row r="289" spans="15:26" ht="13.8" thickBot="1" x14ac:dyDescent="0.3">
      <c r="O289" s="874"/>
      <c r="P289" s="869"/>
      <c r="Q289" s="235" t="s">
        <v>123</v>
      </c>
      <c r="R289" s="234" t="s">
        <v>237</v>
      </c>
      <c r="S289" s="191">
        <f t="array" ref="S289">SUM(IF((D10:D35=170404)*(B10:B35="Construction"),G10:G35,0))</f>
        <v>0</v>
      </c>
      <c r="T289" s="191">
        <f t="array" ref="T289">SUM(IF((D10:D35=170404)*(B10:B35="Construction"),H10:H35,0))</f>
        <v>0</v>
      </c>
      <c r="U289" s="191">
        <f t="array" ref="U289">SUM(IF((D10:D35=170404)*(B10:B35="Construction"),I10:I35,0))</f>
        <v>0</v>
      </c>
      <c r="V289" s="191">
        <f t="array" ref="V289">SUM(IF((D10:D35=170404)*(B10:B35="Construction"),J10:J35,0))</f>
        <v>0</v>
      </c>
      <c r="W289" s="191">
        <f t="array" ref="W289">SUM(IF((D10:D35=170404)*(B10:B35="Construction"),K10:K35,0))</f>
        <v>0</v>
      </c>
      <c r="X289" s="191">
        <f t="array" ref="X289">SUM(IF((D10:D35=170404)*(B10:B35="Construction"),L10:L35,0))</f>
        <v>0</v>
      </c>
      <c r="Y289" s="192">
        <f t="shared" si="119"/>
        <v>0</v>
      </c>
      <c r="Z289" s="501">
        <f t="shared" si="120"/>
        <v>0</v>
      </c>
    </row>
    <row r="290" spans="15:26" x14ac:dyDescent="0.25">
      <c r="O290" s="865" t="s">
        <v>183</v>
      </c>
      <c r="P290" s="867">
        <v>130205</v>
      </c>
      <c r="Q290" s="235" t="s">
        <v>126</v>
      </c>
      <c r="R290" s="231" t="s">
        <v>235</v>
      </c>
      <c r="S290" s="232">
        <f t="array" ref="S290">SUM(IF((D10:D35=130205)*(B10:B35="Demolition"),G10:G35,0))</f>
        <v>0</v>
      </c>
      <c r="T290" s="232">
        <f t="array" ref="T290">SUM(IF((D10:D35=130205)*(B10:B35="Demolition"),H10:H35,0))</f>
        <v>0</v>
      </c>
      <c r="U290" s="232">
        <f t="array" ref="U290">SUM(IF((D10:D35=130205)*(B10:B35="Demolition"),I10:I35,0))</f>
        <v>0</v>
      </c>
      <c r="V290" s="232">
        <f t="array" ref="V290">SUM(IF((D10:D35=130205)*(B10:B35="Demolition"),J10:J35,0))</f>
        <v>0</v>
      </c>
      <c r="W290" s="232">
        <f t="array" ref="W290">SUM(IF((D10:D35=130205)*(B10:B35="Demolition"),K10:K35,0))</f>
        <v>0</v>
      </c>
      <c r="X290" s="232">
        <f t="array" ref="X290">SUM(IF((D10:D35=130205)*(B10:B35="Demolition"),L10:L35,0))</f>
        <v>0</v>
      </c>
      <c r="Y290" s="192">
        <f t="shared" si="119"/>
        <v>0</v>
      </c>
      <c r="Z290" s="501">
        <f t="shared" si="120"/>
        <v>0</v>
      </c>
    </row>
    <row r="291" spans="15:26" x14ac:dyDescent="0.25">
      <c r="O291" s="871"/>
      <c r="P291" s="868"/>
      <c r="Q291" s="235" t="s">
        <v>126</v>
      </c>
      <c r="R291" s="234" t="s">
        <v>236</v>
      </c>
      <c r="S291" s="191">
        <f t="array" ref="S291">SUM(IF((D10:D35=130205)*(B10:B35="Excavation"),G10:G35,0))</f>
        <v>0</v>
      </c>
      <c r="T291" s="191">
        <f t="array" ref="T291">SUM(IF((D10:D35=130205)*(B10:B35="Excavation"),H10:H35,0))</f>
        <v>0</v>
      </c>
      <c r="U291" s="191">
        <f t="array" ref="U291">SUM(IF((D10:D35=130205)*(B10:B35="Excavation"),I10:I35,0))</f>
        <v>0</v>
      </c>
      <c r="V291" s="191">
        <f t="array" ref="V291">SUM(IF((D10:D35=130205)*(B10:B35="Excavation"),J10:J35,0))</f>
        <v>0</v>
      </c>
      <c r="W291" s="191">
        <f t="array" ref="W291">SUM(IF((D10:D35=130205)*(B10:B35="Excavation"),K10:K35,0))</f>
        <v>0</v>
      </c>
      <c r="X291" s="191">
        <f t="array" ref="X291">SUM(IF((D10:D35=130205)*(B10:B35="Excavation"),L10:L35,0))</f>
        <v>0</v>
      </c>
      <c r="Y291" s="192">
        <f t="shared" si="119"/>
        <v>0</v>
      </c>
      <c r="Z291" s="501">
        <f t="shared" si="120"/>
        <v>0</v>
      </c>
    </row>
    <row r="292" spans="15:26" ht="13.8" thickBot="1" x14ac:dyDescent="0.3">
      <c r="O292" s="874"/>
      <c r="P292" s="869"/>
      <c r="Q292" s="235" t="s">
        <v>126</v>
      </c>
      <c r="R292" s="234" t="s">
        <v>237</v>
      </c>
      <c r="S292" s="191">
        <f t="array" ref="S292">SUM(IF((D10:D35=130205)*(B10:B35="Construction"),G10:G35,0))</f>
        <v>0</v>
      </c>
      <c r="T292" s="191">
        <f t="array" ref="T292">SUM(IF((D10:D35=130205)*(B10:B35="Construction"),H10:H35,0))</f>
        <v>0</v>
      </c>
      <c r="U292" s="191">
        <f t="array" ref="U292">SUM(IF((D10:D35=130205)*(B10:B35="Construction"),I10:I35,0))</f>
        <v>0</v>
      </c>
      <c r="V292" s="191">
        <f t="array" ref="V292">SUM(IF((D10:D35=130205)*(B10:B35="Construction"),J10:J35,0))</f>
        <v>0</v>
      </c>
      <c r="W292" s="191">
        <f t="array" ref="W292">SUM(IF((D10:D35=130205)*(B10:B35="Construction"),K10:K35,0))</f>
        <v>0</v>
      </c>
      <c r="X292" s="191">
        <f t="array" ref="X292">SUM(IF((D10:D35=130205)*(B10:B35="Construction"),L10:L35,0))</f>
        <v>0</v>
      </c>
      <c r="Y292" s="192">
        <f t="shared" si="119"/>
        <v>0</v>
      </c>
      <c r="Z292" s="501">
        <f t="shared" si="120"/>
        <v>0</v>
      </c>
    </row>
    <row r="293" spans="15:26" x14ac:dyDescent="0.25">
      <c r="O293" s="865" t="s">
        <v>184</v>
      </c>
      <c r="P293" s="867">
        <v>130112</v>
      </c>
      <c r="Q293" s="235" t="s">
        <v>126</v>
      </c>
      <c r="R293" s="231" t="s">
        <v>235</v>
      </c>
      <c r="S293" s="232">
        <f t="array" ref="S293">SUM(IF((D10:D35=130112)*(B10:B35="Demolition"),G10:G35,0))</f>
        <v>0</v>
      </c>
      <c r="T293" s="232">
        <f t="array" ref="T293">SUM(IF((D10:D35=130112)*(B10:B35="Demolition"),H10:H35,0))</f>
        <v>0</v>
      </c>
      <c r="U293" s="232">
        <f t="array" ref="U293">SUM(IF((D10:D35=130112)*(B10:B35="Demolition"),I10:I35,0))</f>
        <v>0</v>
      </c>
      <c r="V293" s="232">
        <f t="array" ref="V293">SUM(IF((D10:D35=130112)*(B10:B35="Demolition"),J10:J35,0))</f>
        <v>0</v>
      </c>
      <c r="W293" s="232">
        <f t="array" ref="W293">SUM(IF((D10:D35=130112)*(B10:B35="Demolition"),K10:K35,0))</f>
        <v>0</v>
      </c>
      <c r="X293" s="232">
        <f t="array" ref="X293">SUM(IF((D10:D35=130112)*(B10:B35="Demolition"),L10:L35,0))</f>
        <v>0</v>
      </c>
      <c r="Y293" s="192">
        <f t="shared" si="119"/>
        <v>0</v>
      </c>
      <c r="Z293" s="501">
        <f t="shared" si="120"/>
        <v>0</v>
      </c>
    </row>
    <row r="294" spans="15:26" x14ac:dyDescent="0.25">
      <c r="O294" s="871"/>
      <c r="P294" s="868"/>
      <c r="Q294" s="235" t="s">
        <v>126</v>
      </c>
      <c r="R294" s="234" t="s">
        <v>236</v>
      </c>
      <c r="S294" s="191">
        <f t="array" ref="S294">SUM(IF((D10:D35=130112)*(B10:B35="Excavation"),G10:G35,0))</f>
        <v>0</v>
      </c>
      <c r="T294" s="191">
        <f t="array" ref="T294">SUM(IF((D10:D35=130112)*(B10:B35="Excavation"),H10:H35,0))</f>
        <v>0</v>
      </c>
      <c r="U294" s="191">
        <f t="array" ref="U294">SUM(IF((D10:D35=130112)*(B10:B35="Excavation"),I10:I35,0))</f>
        <v>0</v>
      </c>
      <c r="V294" s="191">
        <f t="array" ref="V294">SUM(IF((D10:D35=130112)*(B10:B35="Excavation"),J10:J35,0))</f>
        <v>0</v>
      </c>
      <c r="W294" s="191">
        <f t="array" ref="W294">SUM(IF((D10:D35=130112)*(B10:B35="Excavation"),K10:K35,0))</f>
        <v>0</v>
      </c>
      <c r="X294" s="191">
        <f t="array" ref="X294">SUM(IF((D10:D35=130112)*(B10:B35="Excavation"),L10:L35,0))</f>
        <v>0</v>
      </c>
      <c r="Y294" s="192">
        <f t="shared" si="119"/>
        <v>0</v>
      </c>
      <c r="Z294" s="501">
        <f t="shared" si="120"/>
        <v>0</v>
      </c>
    </row>
    <row r="295" spans="15:26" ht="13.8" thickBot="1" x14ac:dyDescent="0.3">
      <c r="O295" s="874"/>
      <c r="P295" s="869"/>
      <c r="Q295" s="235" t="s">
        <v>126</v>
      </c>
      <c r="R295" s="234" t="s">
        <v>237</v>
      </c>
      <c r="S295" s="191">
        <f t="array" ref="S295">SUM(IF((D10:D35=130112)*(B10:B35="Construction"),G10:G35,0))</f>
        <v>0</v>
      </c>
      <c r="T295" s="191">
        <f t="array" ref="T295">SUM(IF((D10:D35=130112)*(B10:B35="Construction"),H10:H35,0))</f>
        <v>0</v>
      </c>
      <c r="U295" s="191">
        <f t="array" ref="U295">SUM(IF((D10:D35=130112)*(B10:B35="Construction"),I10:I35,0))</f>
        <v>0</v>
      </c>
      <c r="V295" s="191">
        <f t="array" ref="V295">SUM(IF((D10:D35=130112)*(B10:B35="Construction"),J10:J35,0))</f>
        <v>0</v>
      </c>
      <c r="W295" s="191">
        <f t="array" ref="W295">SUM(IF((D10:D35=130112)*(B10:B35="Construction"),K10:K35,0))</f>
        <v>0</v>
      </c>
      <c r="X295" s="191">
        <f t="array" ref="X295">SUM(IF((D10:D35=130112)*(B10:B35="Construction"),L10:L35,0))</f>
        <v>0</v>
      </c>
      <c r="Y295" s="192">
        <f t="shared" si="119"/>
        <v>0</v>
      </c>
      <c r="Z295" s="501">
        <f t="shared" si="120"/>
        <v>0</v>
      </c>
    </row>
    <row r="296" spans="15:26" x14ac:dyDescent="0.25">
      <c r="O296" s="865" t="s">
        <v>185</v>
      </c>
      <c r="P296" s="867">
        <v>130111</v>
      </c>
      <c r="Q296" s="235" t="s">
        <v>126</v>
      </c>
      <c r="R296" s="231" t="s">
        <v>235</v>
      </c>
      <c r="S296" s="232">
        <f t="array" ref="S296">SUM(IF((D10:D35=130111)*(B10:B35="Demolition"),G10:G35,0))</f>
        <v>0</v>
      </c>
      <c r="T296" s="232">
        <f t="array" ref="T296">SUM(IF((D10:D35=130111)*(B10:B35="Demolition"),H10:H35,0))</f>
        <v>0</v>
      </c>
      <c r="U296" s="232">
        <f t="array" ref="U296">SUM(IF((D10:D35=130111)*(B10:B35="Demolition"),I10:I35,0))</f>
        <v>0</v>
      </c>
      <c r="V296" s="232">
        <f t="array" ref="V296">SUM(IF((D10:D35=130111)*(B10:B35="Demolition"),J10:J35,0))</f>
        <v>0</v>
      </c>
      <c r="W296" s="232">
        <f t="array" ref="W296">SUM(IF((D10:D35=130111)*(B10:B35="Demolition"),K10:K35,0))</f>
        <v>0</v>
      </c>
      <c r="X296" s="232">
        <f t="array" ref="X296">SUM(IF((D10:D35=130111)*(B10:B35="Demolition"),L10:L35,0))</f>
        <v>0</v>
      </c>
      <c r="Y296" s="192">
        <f t="shared" si="119"/>
        <v>0</v>
      </c>
      <c r="Z296" s="501">
        <f t="shared" si="120"/>
        <v>0</v>
      </c>
    </row>
    <row r="297" spans="15:26" x14ac:dyDescent="0.25">
      <c r="O297" s="871"/>
      <c r="P297" s="868"/>
      <c r="Q297" s="235" t="s">
        <v>126</v>
      </c>
      <c r="R297" s="234" t="s">
        <v>236</v>
      </c>
      <c r="S297" s="191">
        <f t="array" ref="S297">SUM(IF((D10:D35=130111)*(B10:B35="Excavation"),G10:G35,0))</f>
        <v>0</v>
      </c>
      <c r="T297" s="191">
        <f t="array" ref="T297">SUM(IF((D10:D35=130111)*(B10:B35="Excavation"),H10:H35,0))</f>
        <v>0</v>
      </c>
      <c r="U297" s="191">
        <f t="array" ref="U297">SUM(IF((D10:D35=130111)*(B10:B35="Excavation"),I10:I35,0))</f>
        <v>0</v>
      </c>
      <c r="V297" s="191">
        <f t="array" ref="V297">SUM(IF((D10:D35=130111)*(B10:B35="Excavation"),J10:J35,0))</f>
        <v>0</v>
      </c>
      <c r="W297" s="191">
        <f t="array" ref="W297">SUM(IF((D10:D35=130111)*(B10:B35="Excavation"),K10:K35,0))</f>
        <v>0</v>
      </c>
      <c r="X297" s="191">
        <f t="array" ref="X297">SUM(IF((D10:D35=130111)*(B10:B35="Excavation"),L10:L35,0))</f>
        <v>0</v>
      </c>
      <c r="Y297" s="192">
        <f t="shared" si="119"/>
        <v>0</v>
      </c>
      <c r="Z297" s="501">
        <f t="shared" si="120"/>
        <v>0</v>
      </c>
    </row>
    <row r="298" spans="15:26" ht="13.8" thickBot="1" x14ac:dyDescent="0.3">
      <c r="O298" s="874"/>
      <c r="P298" s="869"/>
      <c r="Q298" s="235" t="s">
        <v>126</v>
      </c>
      <c r="R298" s="234" t="s">
        <v>237</v>
      </c>
      <c r="S298" s="191">
        <f t="array" ref="S298">SUM(IF((D10:D35=130111)*(B10:B35="Construction"),G10:G35,0))</f>
        <v>0</v>
      </c>
      <c r="T298" s="191">
        <f t="array" ref="T298">SUM(IF((D10:D35=130111)*(B10:B35="Construction"),H10:H35,0))</f>
        <v>0</v>
      </c>
      <c r="U298" s="191">
        <f t="array" ref="U298">SUM(IF((D10:D35=130111)*(B10:B35="Construction"),I10:I35,0))</f>
        <v>0</v>
      </c>
      <c r="V298" s="191">
        <f t="array" ref="V298">SUM(IF((D10:D35=130111)*(B10:B35="Construction"),J10:J35,0))</f>
        <v>0</v>
      </c>
      <c r="W298" s="191">
        <f t="array" ref="W298">SUM(IF((D10:D35=130111)*(B10:B35="Construction"),K10:K35,0))</f>
        <v>0</v>
      </c>
      <c r="X298" s="191">
        <f t="array" ref="X298">SUM(IF((D10:D35=130111)*(B10:B35="Construction"),L10:L35,0))</f>
        <v>0</v>
      </c>
      <c r="Y298" s="192">
        <f t="shared" si="119"/>
        <v>0</v>
      </c>
      <c r="Z298" s="501">
        <f t="shared" si="120"/>
        <v>0</v>
      </c>
    </row>
    <row r="299" spans="15:26" x14ac:dyDescent="0.25">
      <c r="O299" s="865" t="s">
        <v>186</v>
      </c>
      <c r="P299" s="867">
        <v>130207</v>
      </c>
      <c r="Q299" s="235" t="s">
        <v>126</v>
      </c>
      <c r="R299" s="231" t="s">
        <v>235</v>
      </c>
      <c r="S299" s="232">
        <f t="array" ref="S299">SUM(IF((D10:D35=130207)*(B10:B35="Demolition"),G10:G35,0))</f>
        <v>0</v>
      </c>
      <c r="T299" s="232">
        <f t="array" ref="T299">SUM(IF((D10:D35=130207)*(B10:B35="Demolition"),H10:H35,0))</f>
        <v>0</v>
      </c>
      <c r="U299" s="232">
        <f t="array" ref="U299">SUM(IF((D10:D35=130207)*(B10:B35="Demolition"),I10:I35,0))</f>
        <v>0</v>
      </c>
      <c r="V299" s="232">
        <f t="array" ref="V299">SUM(IF((D10:D35=130207)*(B10:B35="Demolition"),J10:J35,0))</f>
        <v>0</v>
      </c>
      <c r="W299" s="232">
        <f t="array" ref="W299">SUM(IF((D10:D35=130207)*(B10:B35="Demolition"),K10:K35,0))</f>
        <v>0</v>
      </c>
      <c r="X299" s="232">
        <f t="array" ref="X299">SUM(IF((D10:D35=130207)*(B10:B35="Demolition"),L10:L35,0))</f>
        <v>0</v>
      </c>
      <c r="Y299" s="192">
        <f t="shared" si="119"/>
        <v>0</v>
      </c>
      <c r="Z299" s="501">
        <f t="shared" si="120"/>
        <v>0</v>
      </c>
    </row>
    <row r="300" spans="15:26" x14ac:dyDescent="0.25">
      <c r="O300" s="871"/>
      <c r="P300" s="868"/>
      <c r="Q300" s="235" t="s">
        <v>126</v>
      </c>
      <c r="R300" s="234" t="s">
        <v>236</v>
      </c>
      <c r="S300" s="191">
        <f t="array" ref="S300">SUM(IF((D10:D35=130207)*(B10:B35="Excavation"),G10:G35,0))</f>
        <v>0</v>
      </c>
      <c r="T300" s="191">
        <f t="array" ref="T300">SUM(IF((D10:D35=130207)*(B10:B35="Excavation"),H10:H35,0))</f>
        <v>0</v>
      </c>
      <c r="U300" s="191">
        <f t="array" ref="U300">SUM(IF((D10:D35=130207)*(B10:B35="Excavation"),I10:I35,0))</f>
        <v>0</v>
      </c>
      <c r="V300" s="191">
        <f t="array" ref="V300">SUM(IF((D10:D35=130207)*(B10:B35="Excavation"),J10:J35,0))</f>
        <v>0</v>
      </c>
      <c r="W300" s="191">
        <f t="array" ref="W300">SUM(IF((D10:D35=130207)*(B10:B35="Excavation"),K10:K35,0))</f>
        <v>0</v>
      </c>
      <c r="X300" s="191">
        <f t="array" ref="X300">SUM(IF((D10:D35=130207)*(B10:B35="Excavation"),L10:L35,0))</f>
        <v>0</v>
      </c>
      <c r="Y300" s="192">
        <f t="shared" si="119"/>
        <v>0</v>
      </c>
      <c r="Z300" s="501">
        <f t="shared" si="120"/>
        <v>0</v>
      </c>
    </row>
    <row r="301" spans="15:26" ht="13.8" thickBot="1" x14ac:dyDescent="0.3">
      <c r="O301" s="874"/>
      <c r="P301" s="869"/>
      <c r="Q301" s="235" t="s">
        <v>126</v>
      </c>
      <c r="R301" s="234" t="s">
        <v>237</v>
      </c>
      <c r="S301" s="191">
        <f t="array" ref="S301">SUM(IF((D10:D35=130207)*(B10:B35="Construction"),G10:G35,0))</f>
        <v>0</v>
      </c>
      <c r="T301" s="191">
        <f t="array" ref="T301">SUM(IF((D10:D35=130207)*(B10:B35="Construction"),H10:H35,0))</f>
        <v>0</v>
      </c>
      <c r="U301" s="191">
        <f t="array" ref="U301">SUM(IF((D10:D35=130207)*(B10:B35="Construction"),I10:I35,0))</f>
        <v>0</v>
      </c>
      <c r="V301" s="191">
        <f t="array" ref="V301">SUM(IF((D10:D35=130207)*(B10:B35="Construction"),J10:J35,0))</f>
        <v>0</v>
      </c>
      <c r="W301" s="191">
        <f t="array" ref="W301">SUM(IF((D10:D35=130207)*(B10:B35="Construction"),K10:K35,0))</f>
        <v>0</v>
      </c>
      <c r="X301" s="191">
        <f t="array" ref="X301">SUM(IF((D10:D35=130207)*(B10:B35="Construction"),L10:L35,0))</f>
        <v>0</v>
      </c>
      <c r="Y301" s="192">
        <f t="shared" si="119"/>
        <v>0</v>
      </c>
      <c r="Z301" s="501">
        <f t="shared" si="120"/>
        <v>0</v>
      </c>
    </row>
    <row r="302" spans="15:26" x14ac:dyDescent="0.25">
      <c r="O302" s="865" t="s">
        <v>187</v>
      </c>
      <c r="P302" s="867">
        <v>130206</v>
      </c>
      <c r="Q302" s="235" t="s">
        <v>126</v>
      </c>
      <c r="R302" s="231" t="s">
        <v>235</v>
      </c>
      <c r="S302" s="232">
        <f t="array" ref="S302">SUM(IF((D10:D35=130206)*(B10:B35="Demolition"),G10:G35,0))</f>
        <v>0</v>
      </c>
      <c r="T302" s="232">
        <f t="array" ref="T302">SUM(IF((D10:D35=130206)*(B10:B35="Demolition"),H10:H35,0))</f>
        <v>0</v>
      </c>
      <c r="U302" s="232">
        <f t="array" ref="U302">SUM(IF((D10:D35=130206)*(B10:B35="Demolition"),I10:I35,0))</f>
        <v>0</v>
      </c>
      <c r="V302" s="232">
        <f t="array" ref="V302">SUM(IF((D10:D35=130206)*(B10:B35="Demolition"),J10:J35,0))</f>
        <v>0</v>
      </c>
      <c r="W302" s="232">
        <f t="array" ref="W302">SUM(IF((D10:D35=130206)*(B10:B35="Demolition"),K10:K35,0))</f>
        <v>0</v>
      </c>
      <c r="X302" s="232">
        <f t="array" ref="X302">SUM(IF((D10:D35=130206)*(B10:B35="Demolition"),L10:L35,0))</f>
        <v>0</v>
      </c>
      <c r="Y302" s="192">
        <f t="shared" si="119"/>
        <v>0</v>
      </c>
      <c r="Z302" s="501">
        <f t="shared" si="120"/>
        <v>0</v>
      </c>
    </row>
    <row r="303" spans="15:26" x14ac:dyDescent="0.25">
      <c r="O303" s="871"/>
      <c r="P303" s="868"/>
      <c r="Q303" s="235" t="s">
        <v>126</v>
      </c>
      <c r="R303" s="234" t="s">
        <v>236</v>
      </c>
      <c r="S303" s="191">
        <f t="array" ref="S303">SUM(IF((D10:D35=130206)*(B10:B35="Excavation"),G10:G35,0))</f>
        <v>0</v>
      </c>
      <c r="T303" s="191">
        <f t="array" ref="T303">SUM(IF((D10:D35=130206)*(B10:B35="Excavation"),H10:H35,0))</f>
        <v>0</v>
      </c>
      <c r="U303" s="191">
        <f t="array" ref="U303">SUM(IF((D10:D35=130206)*(B10:B35="Excavation"),I10:I35,0))</f>
        <v>0</v>
      </c>
      <c r="V303" s="191">
        <f t="array" ref="V303">SUM(IF((D10:D35=130206)*(B10:B35="Excavation"),J10:J35,0))</f>
        <v>0</v>
      </c>
      <c r="W303" s="191">
        <f t="array" ref="W303">SUM(IF((D10:D35=130206)*(B10:B35="Excavation"),K10:K35,0))</f>
        <v>0</v>
      </c>
      <c r="X303" s="191">
        <f t="array" ref="X303">SUM(IF((D10:D35=130206)*(B10:B35="Excavation"),L10:L35,0))</f>
        <v>0</v>
      </c>
      <c r="Y303" s="192">
        <f t="shared" si="119"/>
        <v>0</v>
      </c>
      <c r="Z303" s="501">
        <f t="shared" si="120"/>
        <v>0</v>
      </c>
    </row>
    <row r="304" spans="15:26" ht="13.8" thickBot="1" x14ac:dyDescent="0.3">
      <c r="O304" s="874"/>
      <c r="P304" s="869"/>
      <c r="Q304" s="235" t="s">
        <v>126</v>
      </c>
      <c r="R304" s="234" t="s">
        <v>237</v>
      </c>
      <c r="S304" s="191">
        <f t="array" ref="S304">SUM(IF((D10:D35=130206)*(B10:B35="Construction"),G10:G35,0))</f>
        <v>0</v>
      </c>
      <c r="T304" s="191">
        <f t="array" ref="T304">SUM(IF((D10:D35=130206)*(B10:B35="Construction"),H10:H35,0))</f>
        <v>0</v>
      </c>
      <c r="U304" s="191">
        <f t="array" ref="U304">SUM(IF((D10:D35=130206)*(B10:B35="Construction"),I10:I35,0))</f>
        <v>0</v>
      </c>
      <c r="V304" s="191">
        <f t="array" ref="V304">SUM(IF((D10:D35=130206)*(B10:B35="Construction"),J10:J35,0))</f>
        <v>0</v>
      </c>
      <c r="W304" s="191">
        <f t="array" ref="W304">SUM(IF((D10:D35=130206)*(B10:B35="Construction"),K10:K35,0))</f>
        <v>0</v>
      </c>
      <c r="X304" s="191">
        <f t="array" ref="X304">SUM(IF((D10:D35=130206)*(B10:B35="Construction"),L10:L35,0))</f>
        <v>0</v>
      </c>
      <c r="Y304" s="192">
        <f t="shared" si="119"/>
        <v>0</v>
      </c>
      <c r="Z304" s="501">
        <f t="shared" si="120"/>
        <v>0</v>
      </c>
    </row>
    <row r="305" spans="15:26" x14ac:dyDescent="0.25">
      <c r="O305" s="865" t="s">
        <v>188</v>
      </c>
      <c r="P305" s="867">
        <v>160107</v>
      </c>
      <c r="Q305" s="235" t="s">
        <v>126</v>
      </c>
      <c r="R305" s="231" t="s">
        <v>235</v>
      </c>
      <c r="S305" s="232">
        <f t="array" ref="S305">SUM(IF((D10:D35=160107)*(B10:B35="Demolition"),G10:G35,0))</f>
        <v>0</v>
      </c>
      <c r="T305" s="232">
        <f t="array" ref="T305">SUM(IF((D10:D35=160107)*(B10:B35="Demolition"),H10:H35,0))</f>
        <v>0</v>
      </c>
      <c r="U305" s="232">
        <f t="array" ref="U305">SUM(IF((D10:D35=160107)*(B10:B35="Demolition"),I10:I35,0))</f>
        <v>0</v>
      </c>
      <c r="V305" s="232">
        <f t="array" ref="V305">SUM(IF((D10:D35=160107)*(B10:B35="Demolition"),J10:J35,0))</f>
        <v>0</v>
      </c>
      <c r="W305" s="232">
        <f t="array" ref="W305">SUM(IF((D10:D35=160107)*(B10:B35="Demolition"),K10:K35,0))</f>
        <v>0</v>
      </c>
      <c r="X305" s="232">
        <f t="array" ref="X305">SUM(IF((D10:D35=160107)*(B10:B35="Demolition"),L10:L35,0))</f>
        <v>0</v>
      </c>
      <c r="Y305" s="192">
        <f t="shared" si="119"/>
        <v>0</v>
      </c>
      <c r="Z305" s="501">
        <f t="shared" si="120"/>
        <v>0</v>
      </c>
    </row>
    <row r="306" spans="15:26" x14ac:dyDescent="0.25">
      <c r="O306" s="871"/>
      <c r="P306" s="868"/>
      <c r="Q306" s="235" t="s">
        <v>126</v>
      </c>
      <c r="R306" s="234" t="s">
        <v>236</v>
      </c>
      <c r="S306" s="191">
        <f t="array" ref="S306">SUM(IF((D10:D35=160107)*(B10:B35="Excavation"),G10:G35,0))</f>
        <v>0</v>
      </c>
      <c r="T306" s="191">
        <f t="array" ref="T306">SUM(IF((D10:D35=160107)*(B10:B35="Excavation"),H10:H35,0))</f>
        <v>0</v>
      </c>
      <c r="U306" s="191">
        <f t="array" ref="U306">SUM(IF((D10:D35=160107)*(B10:B35="Excavation"),I10:I35,0))</f>
        <v>0</v>
      </c>
      <c r="V306" s="191">
        <f t="array" ref="V306">SUM(IF((D10:D35=160107)*(B10:B35="Excavation"),J10:J35,0))</f>
        <v>0</v>
      </c>
      <c r="W306" s="191">
        <f t="array" ref="W306">SUM(IF((D10:D35=160107)*(B10:B35="Excavation"),K10:K35,0))</f>
        <v>0</v>
      </c>
      <c r="X306" s="191">
        <f t="array" ref="X306">SUM(IF((D10:D35=160107)*(B10:B35="Excavation"),L10:L35,0))</f>
        <v>0</v>
      </c>
      <c r="Y306" s="192">
        <f t="shared" si="119"/>
        <v>0</v>
      </c>
      <c r="Z306" s="501">
        <f t="shared" si="120"/>
        <v>0</v>
      </c>
    </row>
    <row r="307" spans="15:26" ht="13.8" thickBot="1" x14ac:dyDescent="0.3">
      <c r="O307" s="874"/>
      <c r="P307" s="869"/>
      <c r="Q307" s="235" t="s">
        <v>126</v>
      </c>
      <c r="R307" s="234" t="s">
        <v>237</v>
      </c>
      <c r="S307" s="191">
        <f t="array" ref="S307">SUM(IF((D10:D35=160107)*(B10:B35="Construction"),G10:G35,0))</f>
        <v>0</v>
      </c>
      <c r="T307" s="191">
        <f t="array" ref="T307">SUM(IF((D10:D35=160107)*(B10:B35="Construction"),H10:H35,0))</f>
        <v>0</v>
      </c>
      <c r="U307" s="191">
        <f t="array" ref="U307">SUM(IF((D10:D35=160107)*(B10:B35="Construction"),I10:I35,0))</f>
        <v>0</v>
      </c>
      <c r="V307" s="191">
        <f t="array" ref="V307">SUM(IF((D10:D35=160107)*(B10:B35="Construction"),J10:J35,0))</f>
        <v>0</v>
      </c>
      <c r="W307" s="191">
        <f t="array" ref="W307">SUM(IF((D10:D35=160107)*(B10:B35="Construction"),K10:K35,0))</f>
        <v>0</v>
      </c>
      <c r="X307" s="191">
        <f t="array" ref="X307">SUM(IF((D10:D35=160107)*(B10:B35="Construction"),L10:L35,0))</f>
        <v>0</v>
      </c>
      <c r="Y307" s="192">
        <f t="shared" si="119"/>
        <v>0</v>
      </c>
      <c r="Z307" s="501">
        <f t="shared" si="120"/>
        <v>0</v>
      </c>
    </row>
    <row r="308" spans="15:26" x14ac:dyDescent="0.25">
      <c r="O308" s="865" t="s">
        <v>189</v>
      </c>
      <c r="P308" s="867">
        <v>130506</v>
      </c>
      <c r="Q308" s="235" t="s">
        <v>126</v>
      </c>
      <c r="R308" s="231" t="s">
        <v>235</v>
      </c>
      <c r="S308" s="232">
        <f t="array" ref="S308">SUM(IF((D10:D35=130506)*(B10:B35="Demolition"),G10:G35,0))</f>
        <v>0</v>
      </c>
      <c r="T308" s="232">
        <f t="array" ref="T308">SUM(IF((D10:D35=130506)*(B10:B35="Demolition"),H10:H35,0))</f>
        <v>0</v>
      </c>
      <c r="U308" s="232">
        <f t="array" ref="U308">SUM(IF((D10:D35=130506)*(B10:B35="Demolition"),I10:I35,0))</f>
        <v>0</v>
      </c>
      <c r="V308" s="232">
        <f t="array" ref="V308">SUM(IF((D10:D35=130506)*(B10:B35="Demolition"),J10:J35,0))</f>
        <v>0</v>
      </c>
      <c r="W308" s="232">
        <f t="array" ref="W308">SUM(IF((D10:D35=130506)*(B10:B35="Demolition"),K10:K35,0))</f>
        <v>0</v>
      </c>
      <c r="X308" s="232">
        <f t="array" ref="X308">SUM(IF((D10:D35=130506)*(B10:B35="Demolition"),L10:L35,0))</f>
        <v>0</v>
      </c>
      <c r="Y308" s="192">
        <f t="shared" si="119"/>
        <v>0</v>
      </c>
      <c r="Z308" s="501">
        <f t="shared" si="120"/>
        <v>0</v>
      </c>
    </row>
    <row r="309" spans="15:26" x14ac:dyDescent="0.25">
      <c r="O309" s="871"/>
      <c r="P309" s="868"/>
      <c r="Q309" s="235" t="s">
        <v>126</v>
      </c>
      <c r="R309" s="234" t="s">
        <v>236</v>
      </c>
      <c r="S309" s="191">
        <f t="array" ref="S309">SUM(IF((D10:D35=130506)*(B10:B35="Excavation"),G10:G35,0))</f>
        <v>0</v>
      </c>
      <c r="T309" s="191">
        <f t="array" ref="T309">SUM(IF((D10:D35=130506)*(B10:B35="Excavation"),H10:H35,0))</f>
        <v>0</v>
      </c>
      <c r="U309" s="191">
        <f t="array" ref="U309">SUM(IF((D10:D35=130506)*(B10:B35="Excavation"),I10:I35,0))</f>
        <v>0</v>
      </c>
      <c r="V309" s="191">
        <f t="array" ref="V309">SUM(IF((D10:D35=130506)*(B10:B35="Excavation"),J10:J35,0))</f>
        <v>0</v>
      </c>
      <c r="W309" s="191">
        <f t="array" ref="W309">SUM(IF((D10:D35=130506)*(B10:B35="Excavation"),K10:K35,0))</f>
        <v>0</v>
      </c>
      <c r="X309" s="191">
        <f t="array" ref="X309">SUM(IF((D10:D35=130506)*(B10:B35="Excavation"),L10:L35,0))</f>
        <v>0</v>
      </c>
      <c r="Y309" s="192">
        <f t="shared" si="119"/>
        <v>0</v>
      </c>
      <c r="Z309" s="501">
        <f t="shared" si="120"/>
        <v>0</v>
      </c>
    </row>
    <row r="310" spans="15:26" ht="13.8" thickBot="1" x14ac:dyDescent="0.3">
      <c r="O310" s="874"/>
      <c r="P310" s="869"/>
      <c r="Q310" s="235" t="s">
        <v>126</v>
      </c>
      <c r="R310" s="234" t="s">
        <v>237</v>
      </c>
      <c r="S310" s="191">
        <f t="array" ref="S310">SUM(IF((D10:D35=130506)*(B10:B35="Construction"),G10:G35,0))</f>
        <v>0</v>
      </c>
      <c r="T310" s="191">
        <f t="array" ref="T310">SUM(IF((D10:D35=130506)*(B10:B35="Construction"),H10:H35,0))</f>
        <v>0</v>
      </c>
      <c r="U310" s="191">
        <f t="array" ref="U310">SUM(IF((D10:D35=130506)*(B10:B35="Construction"),I10:I35,0))</f>
        <v>0</v>
      </c>
      <c r="V310" s="191">
        <f t="array" ref="V310">SUM(IF((D10:D35=130506)*(B10:B35="Construction"),J10:J35,0))</f>
        <v>0</v>
      </c>
      <c r="W310" s="191">
        <f t="array" ref="W310">SUM(IF((D10:D35=130506)*(B10:B35="Construction"),K10:K35,0))</f>
        <v>0</v>
      </c>
      <c r="X310" s="191">
        <f t="array" ref="X310">SUM(IF((D10:D35=130506)*(B10:B35="Construction"),L10:L35,0))</f>
        <v>0</v>
      </c>
      <c r="Y310" s="192">
        <f t="shared" si="119"/>
        <v>0</v>
      </c>
      <c r="Z310" s="501">
        <f t="shared" si="120"/>
        <v>0</v>
      </c>
    </row>
    <row r="311" spans="15:26" x14ac:dyDescent="0.25">
      <c r="O311" s="865" t="s">
        <v>190</v>
      </c>
      <c r="P311" s="867">
        <v>130507</v>
      </c>
      <c r="Q311" s="235" t="s">
        <v>126</v>
      </c>
      <c r="R311" s="231" t="s">
        <v>235</v>
      </c>
      <c r="S311" s="232">
        <f t="array" ref="S311">SUM(IF((D10:D35=130507)*(B10:B35="Demolition"),G10:G35,0))</f>
        <v>0</v>
      </c>
      <c r="T311" s="232">
        <f t="array" ref="T311">SUM(IF((D10:D35=130507)*(B10:B35="Demolition"),H10:H35,0))</f>
        <v>0</v>
      </c>
      <c r="U311" s="232">
        <f t="array" ref="U311">SUM(IF((D10:D35=130507)*(B10:B35="Demolition"),I10:I35,0))</f>
        <v>0</v>
      </c>
      <c r="V311" s="232">
        <f t="array" ref="V311">SUM(IF((D10:D35=130507)*(B10:B35="Demolition"),J10:J35,0))</f>
        <v>0</v>
      </c>
      <c r="W311" s="232">
        <f t="array" ref="W311">SUM(IF((D10:D35=130507)*(B10:B35="Demolition"),K10:K35,0))</f>
        <v>0</v>
      </c>
      <c r="X311" s="232">
        <f t="array" ref="X311">SUM(IF((D10:D35=130507)*(B10:B35="Demolition"),L10:L35,0))</f>
        <v>0</v>
      </c>
      <c r="Y311" s="192">
        <f t="shared" si="119"/>
        <v>0</v>
      </c>
      <c r="Z311" s="501">
        <f t="shared" si="120"/>
        <v>0</v>
      </c>
    </row>
    <row r="312" spans="15:26" x14ac:dyDescent="0.25">
      <c r="O312" s="871"/>
      <c r="P312" s="868"/>
      <c r="Q312" s="235" t="s">
        <v>126</v>
      </c>
      <c r="R312" s="234" t="s">
        <v>236</v>
      </c>
      <c r="S312" s="191">
        <f t="array" ref="S312">SUM(IF((D10:D35=130507)*(B10:B35="Excavation"),G10:G35,0))</f>
        <v>0</v>
      </c>
      <c r="T312" s="191">
        <f t="array" ref="T312">SUM(IF((D10:D35=130507)*(B10:B35="Excavation"),H10:H35,0))</f>
        <v>0</v>
      </c>
      <c r="U312" s="191">
        <f t="array" ref="U312">SUM(IF((D10:D35=130507)*(B10:B35="Excavation"),I10:I35,0))</f>
        <v>0</v>
      </c>
      <c r="V312" s="191">
        <f t="array" ref="V312">SUM(IF((D10:D35=130507)*(B10:B35="Excavation"),J10:J35,0))</f>
        <v>0</v>
      </c>
      <c r="W312" s="191">
        <f t="array" ref="W312">SUM(IF((D10:D35=130507)*(B10:B35="Excavation"),K10:K35,0))</f>
        <v>0</v>
      </c>
      <c r="X312" s="191">
        <f t="array" ref="X312">SUM(IF((D10:D35=130507)*(B10:B35="Excavation"),L10:L35,0))</f>
        <v>0</v>
      </c>
      <c r="Y312" s="192">
        <f t="shared" si="119"/>
        <v>0</v>
      </c>
      <c r="Z312" s="501">
        <f t="shared" si="120"/>
        <v>0</v>
      </c>
    </row>
    <row r="313" spans="15:26" ht="13.8" thickBot="1" x14ac:dyDescent="0.3">
      <c r="O313" s="874"/>
      <c r="P313" s="869"/>
      <c r="Q313" s="235" t="s">
        <v>126</v>
      </c>
      <c r="R313" s="234" t="s">
        <v>237</v>
      </c>
      <c r="S313" s="191">
        <f t="array" ref="S313">SUM(IF((D10:D35=130507)*(B10:B35="Construction"),G10:G35,0))</f>
        <v>0</v>
      </c>
      <c r="T313" s="191">
        <f t="array" ref="T313">SUM(IF((D10:D35=130507)*(B10:B35="Construction"),H10:H35,0))</f>
        <v>0</v>
      </c>
      <c r="U313" s="191">
        <f t="array" ref="U313">SUM(IF((D10:D35=130507)*(B10:B35="Construction"),I10:I35,0))</f>
        <v>0</v>
      </c>
      <c r="V313" s="191">
        <f t="array" ref="V313">SUM(IF((D10:D35=130507)*(B10:B35="Construction"),J10:J35,0))</f>
        <v>0</v>
      </c>
      <c r="W313" s="191">
        <f t="array" ref="W313">SUM(IF((D10:D35=130507)*(B10:B35="Construction"),K10:K35,0))</f>
        <v>0</v>
      </c>
      <c r="X313" s="191">
        <f t="array" ref="X313">SUM(IF((D10:D35=130507)*(B10:B35="Construction"),L10:L35,0))</f>
        <v>0</v>
      </c>
      <c r="Y313" s="192">
        <f t="shared" si="119"/>
        <v>0</v>
      </c>
      <c r="Z313" s="501">
        <f t="shared" si="120"/>
        <v>0</v>
      </c>
    </row>
    <row r="314" spans="15:26" x14ac:dyDescent="0.25">
      <c r="O314" s="865" t="s">
        <v>191</v>
      </c>
      <c r="P314" s="875">
        <v>150107</v>
      </c>
      <c r="Q314" s="235" t="s">
        <v>141</v>
      </c>
      <c r="R314" s="231" t="s">
        <v>235</v>
      </c>
      <c r="S314" s="232">
        <f t="array" ref="S314">SUM(IF((D10:D35=150107)*(B10:B35="Demolition"),G10:G35,0))</f>
        <v>0</v>
      </c>
      <c r="T314" s="232">
        <f t="array" ref="T314">SUM(IF((D10:D35=150107)*(B10:B35="Demolition"),H10:H35,0))</f>
        <v>0</v>
      </c>
      <c r="U314" s="232">
        <f t="array" ref="U314">SUM(IF((D10:D35=150107)*(B10:B35="Demolition"),I10:I35,0))</f>
        <v>0</v>
      </c>
      <c r="V314" s="232">
        <f t="array" ref="V314">SUM(IF((D10:D35=150107)*(B10:B35="Demolition"),J10:J35,0))</f>
        <v>0</v>
      </c>
      <c r="W314" s="232">
        <f t="array" ref="W314">SUM(IF((D10:D35=150107)*(B10:B35="Demolition"),K10:K35,0))</f>
        <v>0</v>
      </c>
      <c r="X314" s="232">
        <f t="array" ref="X314">SUM(IF((D10:D35=150107)*(B10:B35="Demolition"),L10:L35,0))</f>
        <v>0</v>
      </c>
      <c r="Y314" s="192">
        <f t="shared" ref="Y314:Y368" si="121">S314+T314+U314+V314+X314</f>
        <v>0</v>
      </c>
      <c r="Z314" s="501">
        <f t="shared" ref="Z314:Z368" si="122">T314+V314+X314</f>
        <v>0</v>
      </c>
    </row>
    <row r="315" spans="15:26" x14ac:dyDescent="0.25">
      <c r="O315" s="871"/>
      <c r="P315" s="876"/>
      <c r="Q315" s="235" t="s">
        <v>141</v>
      </c>
      <c r="R315" s="234" t="s">
        <v>236</v>
      </c>
      <c r="S315" s="191">
        <f t="array" ref="S315">SUM(IF((D10:D35=150107)*(B10:B35="Excavation"),G10:G35,0))</f>
        <v>0</v>
      </c>
      <c r="T315" s="191">
        <f t="array" ref="T315">SUM(IF((D10:D35=150107)*(B10:B35="Excavation"),H10:H35,0))</f>
        <v>0</v>
      </c>
      <c r="U315" s="191">
        <f t="array" ref="U315">SUM(IF((D10:D35=150107)*(B10:B35="Excavation"),I10:I35,0))</f>
        <v>0</v>
      </c>
      <c r="V315" s="191">
        <f t="array" ref="V315">SUM(IF((D10:D35=150107)*(B10:B35="Excavation"),J10:J35,0))</f>
        <v>0</v>
      </c>
      <c r="W315" s="191">
        <f t="array" ref="W315">SUM(IF((D10:D35=150107)*(B10:B35="Excavation"),K10:K35,0))</f>
        <v>0</v>
      </c>
      <c r="X315" s="191">
        <f t="array" ref="X315">SUM(IF((D10:D35=150107)*(B10:B35="Excavation"),L10:L35,0))</f>
        <v>0</v>
      </c>
      <c r="Y315" s="192">
        <f t="shared" si="121"/>
        <v>0</v>
      </c>
      <c r="Z315" s="501">
        <f t="shared" si="122"/>
        <v>0</v>
      </c>
    </row>
    <row r="316" spans="15:26" ht="13.8" thickBot="1" x14ac:dyDescent="0.3">
      <c r="O316" s="874"/>
      <c r="P316" s="877"/>
      <c r="Q316" s="235" t="s">
        <v>141</v>
      </c>
      <c r="R316" s="234" t="s">
        <v>237</v>
      </c>
      <c r="S316" s="191">
        <f t="array" ref="S316">SUM(IF((D10:D35=150107)*(B10:B35="Construction"),G10:G35,0))</f>
        <v>0</v>
      </c>
      <c r="T316" s="191">
        <f t="array" ref="T316">SUM(IF((D10:D35=150107)*(B10:B35="Construction"),H10:H35,0))</f>
        <v>0</v>
      </c>
      <c r="U316" s="191">
        <f t="array" ref="U316">SUM(IF((D10:D35=150107)*(B10:B35="Construction"),I10:I35,0))</f>
        <v>0</v>
      </c>
      <c r="V316" s="191">
        <f t="array" ref="V316">SUM(IF((D10:D35=150107)*(B10:B35="Construction"),J10:J35,0))</f>
        <v>0</v>
      </c>
      <c r="W316" s="191">
        <f t="array" ref="W316">SUM(IF((D10:D35=150107)*(B10:B35="Construction"),K10:K35,0))</f>
        <v>0</v>
      </c>
      <c r="X316" s="191">
        <f t="array" ref="X316">SUM(IF((D10:D35=150107)*(B10:B35="Construction"),L10:L35,0))</f>
        <v>0</v>
      </c>
      <c r="Y316" s="192">
        <f t="shared" si="121"/>
        <v>0</v>
      </c>
      <c r="Z316" s="501">
        <f t="shared" si="122"/>
        <v>0</v>
      </c>
    </row>
    <row r="317" spans="15:26" x14ac:dyDescent="0.25">
      <c r="O317" s="865" t="s">
        <v>192</v>
      </c>
      <c r="P317" s="875">
        <v>150104</v>
      </c>
      <c r="Q317" s="235" t="s">
        <v>123</v>
      </c>
      <c r="R317" s="231" t="s">
        <v>235</v>
      </c>
      <c r="S317" s="232">
        <f t="array" ref="S317">SUM(IF((D10:D35=150104)*(B10:B35="Demolition"),G10:G35,0))</f>
        <v>0</v>
      </c>
      <c r="T317" s="232">
        <f t="array" ref="T317">SUM(IF((D10:D35=150104)*(B10:B35="Demolition"),H10:H35,0))</f>
        <v>0</v>
      </c>
      <c r="U317" s="232">
        <f t="array" ref="U317">SUM(IF((D10:D35=150104)*(B10:B35="Demolition"),I10:I35,0))</f>
        <v>0</v>
      </c>
      <c r="V317" s="232">
        <f t="array" ref="V317">SUM(IF((D10:D35=150104)*(B10:B35="Demolition"),J10:J35,0))</f>
        <v>0</v>
      </c>
      <c r="W317" s="232">
        <f t="array" ref="W317">SUM(IF((D10:D35=150104)*(B10:B35="Demolition"),K10:K35,0))</f>
        <v>0</v>
      </c>
      <c r="X317" s="232">
        <f t="array" ref="X317">SUM(IF((D10:D35=150104)*(B10:B35="Demolition"),L10:L35,0))</f>
        <v>0</v>
      </c>
      <c r="Y317" s="192">
        <f t="shared" si="121"/>
        <v>0</v>
      </c>
      <c r="Z317" s="501">
        <f t="shared" si="122"/>
        <v>0</v>
      </c>
    </row>
    <row r="318" spans="15:26" x14ac:dyDescent="0.25">
      <c r="O318" s="871"/>
      <c r="P318" s="876"/>
      <c r="Q318" s="235" t="s">
        <v>123</v>
      </c>
      <c r="R318" s="234" t="s">
        <v>236</v>
      </c>
      <c r="S318" s="191">
        <f t="array" ref="S318">SUM(IF((D10:D35=150104)*(B10:B35="Excavation"),G10:G35,0))</f>
        <v>0</v>
      </c>
      <c r="T318" s="191">
        <f t="array" ref="T318">SUM(IF((D10:D35=150104)*(B10:B35="Excavation"),H10:H35,0))</f>
        <v>0</v>
      </c>
      <c r="U318" s="191">
        <f t="array" ref="U318">SUM(IF((D10:D35=150104)*(B10:B35="Excavation"),I10:I35,0))</f>
        <v>0</v>
      </c>
      <c r="V318" s="191">
        <f t="array" ref="V318">SUM(IF((D10:D35=150104)*(B10:B35="Excavation"),J10:J35,0))</f>
        <v>0</v>
      </c>
      <c r="W318" s="191">
        <f t="array" ref="W318">SUM(IF((D10:D35=150104)*(B10:B35="Excavation"),K10:K35,0))</f>
        <v>0</v>
      </c>
      <c r="X318" s="191">
        <f t="array" ref="X318">SUM(IF((D10:D35=150104)*(B10:B35="Excavation"),L10:L35,0))</f>
        <v>0</v>
      </c>
      <c r="Y318" s="192">
        <f t="shared" si="121"/>
        <v>0</v>
      </c>
      <c r="Z318" s="501">
        <f t="shared" si="122"/>
        <v>0</v>
      </c>
    </row>
    <row r="319" spans="15:26" ht="13.8" thickBot="1" x14ac:dyDescent="0.3">
      <c r="O319" s="874"/>
      <c r="P319" s="877"/>
      <c r="Q319" s="235" t="s">
        <v>123</v>
      </c>
      <c r="R319" s="234" t="s">
        <v>237</v>
      </c>
      <c r="S319" s="191">
        <f t="array" ref="S319">SUM(IF((D10:D35=150104)*(B10:B35="Construction"),G10:G35,0))</f>
        <v>0</v>
      </c>
      <c r="T319" s="191">
        <f t="array" ref="T319">SUM(IF((D10:D35=150104)*(B10:B35="Construction"),H10:H35,0))</f>
        <v>0</v>
      </c>
      <c r="U319" s="191">
        <f t="array" ref="U319">SUM(IF((D10:D35=150104)*(B10:B35="Construction"),I10:I35,0))</f>
        <v>0</v>
      </c>
      <c r="V319" s="191">
        <f t="array" ref="V319">SUM(IF((D10:D35=150104)*(B10:B35="Construction"),J10:J35,0))</f>
        <v>0</v>
      </c>
      <c r="W319" s="191">
        <f t="array" ref="W319">SUM(IF((D10:D35=150104)*(B10:B35="Construction"),K10:K35,0))</f>
        <v>0</v>
      </c>
      <c r="X319" s="191">
        <f t="array" ref="X319">SUM(IF((D10:D35=150104)*(B10:B35="Construction"),L10:L35,0))</f>
        <v>0</v>
      </c>
      <c r="Y319" s="192">
        <f t="shared" si="121"/>
        <v>0</v>
      </c>
      <c r="Z319" s="501">
        <f t="shared" si="122"/>
        <v>0</v>
      </c>
    </row>
    <row r="320" spans="15:26" x14ac:dyDescent="0.25">
      <c r="O320" s="865" t="s">
        <v>193</v>
      </c>
      <c r="P320" s="875">
        <v>150106</v>
      </c>
      <c r="Q320" s="235" t="s">
        <v>123</v>
      </c>
      <c r="R320" s="231" t="s">
        <v>235</v>
      </c>
      <c r="S320" s="232">
        <f t="array" ref="S320">SUM(IF((A10:A35="Packaging - Mixed")*(B10:B35="Demolition"),G10:G35,0))</f>
        <v>0</v>
      </c>
      <c r="T320" s="232">
        <f t="array" ref="T320">SUM(IF((A10:A35="Packaging - Mixed")*(B10:B35="Demolition"),H10:H35,0))</f>
        <v>0</v>
      </c>
      <c r="U320" s="232">
        <f t="array" ref="U320">SUM(IF((A10:A35="Packaging - Mixed")*(B10:B35="Demolition"),I10:I35,0))</f>
        <v>0</v>
      </c>
      <c r="V320" s="232">
        <f t="array" ref="V320">SUM(IF((A10:A35="Packaging - Mixed")*(B10:B35="Demolition"),J10:J35,0))</f>
        <v>0</v>
      </c>
      <c r="W320" s="232">
        <f t="array" ref="W320">SUM(IF((A10:A35="Packaging - Mixed")*(B10:B35="Demolition"),K10:K35,0))</f>
        <v>0</v>
      </c>
      <c r="X320" s="232">
        <f t="array" ref="X320">SUM(IF((A10:A35="Packaging - Mixed")*(B10:B35="Demolition"),L10:L35,0))</f>
        <v>0</v>
      </c>
      <c r="Y320" s="192">
        <f t="shared" si="121"/>
        <v>0</v>
      </c>
      <c r="Z320" s="501">
        <f t="shared" si="122"/>
        <v>0</v>
      </c>
    </row>
    <row r="321" spans="15:26" x14ac:dyDescent="0.25">
      <c r="O321" s="871"/>
      <c r="P321" s="876"/>
      <c r="Q321" s="235" t="s">
        <v>123</v>
      </c>
      <c r="R321" s="234" t="s">
        <v>236</v>
      </c>
      <c r="S321" s="191">
        <f t="array" ref="S321">SUM(IF((A10:A35="Packaging - Mixed")*(B10:B35="Excavation"),G10:G35,0))</f>
        <v>0</v>
      </c>
      <c r="T321" s="191">
        <f t="array" ref="T321">SUM(IF((A10:A35="Packaging - Mixed")*(B10:B35="Excavation"),H10:H35,0))</f>
        <v>0</v>
      </c>
      <c r="U321" s="191">
        <f t="array" ref="U321">SUM(IF((A10:A35="Packaging - Mixed")*(B10:B35="Excavation"),I10:I35,0))</f>
        <v>0</v>
      </c>
      <c r="V321" s="191">
        <f t="array" ref="V321">SUM(IF((A10:A35="Packaging - Mixed")*(B10:B35="Excavation"),J10:J35,0))</f>
        <v>0</v>
      </c>
      <c r="W321" s="191">
        <f t="array" ref="W321">SUM(IF((A10:A35="Packaging - Mixed")*(B10:B35="Excavation"),K10:K35,0))</f>
        <v>0</v>
      </c>
      <c r="X321" s="191">
        <f t="array" ref="X321">SUM(IF((A10:A35="Packaging - Mixed")*(B10:B35="Excavation"),L10:L35,0))</f>
        <v>0</v>
      </c>
      <c r="Y321" s="192">
        <f t="shared" si="121"/>
        <v>0</v>
      </c>
      <c r="Z321" s="501">
        <f t="shared" si="122"/>
        <v>0</v>
      </c>
    </row>
    <row r="322" spans="15:26" ht="13.8" thickBot="1" x14ac:dyDescent="0.3">
      <c r="O322" s="874"/>
      <c r="P322" s="877"/>
      <c r="Q322" s="235" t="s">
        <v>123</v>
      </c>
      <c r="R322" s="234" t="s">
        <v>237</v>
      </c>
      <c r="S322" s="191">
        <f t="array" ref="S322">SUM(IF((A10:A35="Packaging - Mixed")*(B10:B35="Construction"),G10:G35,0))</f>
        <v>0</v>
      </c>
      <c r="T322" s="191">
        <f t="array" ref="T322">SUM(IF((A10:A35="Packaging - Mixed")*(B10:B35="Construction"),H10:H35,0))</f>
        <v>0</v>
      </c>
      <c r="U322" s="191">
        <f t="array" ref="U322">SUM(IF((A10:A35="Packaging - Mixed")*(B10:B35="Construction"),I10:I35,0))</f>
        <v>0</v>
      </c>
      <c r="V322" s="191">
        <f t="array" ref="V322">SUM(IF((A10:A35="Packaging - Mixed")*(B10:B35="Construction"),J10:J35,0))</f>
        <v>0</v>
      </c>
      <c r="W322" s="191">
        <f t="array" ref="W322">SUM(IF((A10:A35="Packaging - Mixed")*(B10:B35="Construction"),K10:K35,0))</f>
        <v>0</v>
      </c>
      <c r="X322" s="191">
        <f t="array" ref="X322">SUM(IF((A10:A35="Packaging - Mixed")*(B10:B35="Construction"),L10:L35,0))</f>
        <v>0</v>
      </c>
      <c r="Y322" s="192">
        <f t="shared" si="121"/>
        <v>0</v>
      </c>
      <c r="Z322" s="501">
        <f t="shared" si="122"/>
        <v>0</v>
      </c>
    </row>
    <row r="323" spans="15:26" x14ac:dyDescent="0.25">
      <c r="O323" s="865" t="s">
        <v>194</v>
      </c>
      <c r="P323" s="875">
        <v>150102</v>
      </c>
      <c r="Q323" s="235" t="s">
        <v>123</v>
      </c>
      <c r="R323" s="231" t="s">
        <v>235</v>
      </c>
      <c r="S323" s="232">
        <f t="array" ref="S323">SUM(IF((D10:D35=150102)*(B10:B35="Demolition"),G10:G35,0))</f>
        <v>0</v>
      </c>
      <c r="T323" s="232">
        <f t="array" ref="T323">SUM(IF((D10:D35=150102)*(B10:B35="Demolition"),H10:H35,0))</f>
        <v>0</v>
      </c>
      <c r="U323" s="232">
        <f t="array" ref="U323">SUM(IF((D10:D35=150102)*(B10:B35="Demolition"),I10:I35,0))</f>
        <v>0</v>
      </c>
      <c r="V323" s="232">
        <f t="array" ref="V323">SUM(IF((D10:D35=150102)*(B10:B35="Demolition"),J10:J35,0))</f>
        <v>0</v>
      </c>
      <c r="W323" s="232">
        <f t="array" ref="W323">SUM(IF((D10:D35=150102)*(B10:B35="Demolition"),K10:K35,0))</f>
        <v>0</v>
      </c>
      <c r="X323" s="232">
        <f t="array" ref="X323">SUM(IF((D10:D35=150102)*(B10:B35="Demolition"),L10:L35,0))</f>
        <v>0</v>
      </c>
      <c r="Y323" s="192">
        <f t="shared" si="121"/>
        <v>0</v>
      </c>
      <c r="Z323" s="501">
        <f t="shared" si="122"/>
        <v>0</v>
      </c>
    </row>
    <row r="324" spans="15:26" x14ac:dyDescent="0.25">
      <c r="O324" s="871"/>
      <c r="P324" s="876"/>
      <c r="Q324" s="235" t="s">
        <v>123</v>
      </c>
      <c r="R324" s="234" t="s">
        <v>236</v>
      </c>
      <c r="S324" s="191">
        <f t="array" ref="S324">SUM(IF((D10:D35=150102)*(B10:B35="Excavation"),G10:G35,0))</f>
        <v>0</v>
      </c>
      <c r="T324" s="191">
        <f t="array" ref="T324">SUM(IF((D10:D35=150102)*(B10:B35="Excavation"),H10:H35,0))</f>
        <v>0</v>
      </c>
      <c r="U324" s="191">
        <f t="array" ref="U324">SUM(IF((D10:D35=150102)*(B10:B35="Excavation"),I10:I35,0))</f>
        <v>0</v>
      </c>
      <c r="V324" s="191">
        <f t="array" ref="V324">SUM(IF((D10:D35=150102)*(B10:B35="Excavation"),J10:J35,0))</f>
        <v>0</v>
      </c>
      <c r="W324" s="191">
        <f t="array" ref="W324">SUM(IF((D10:D35=150102)*(B10:B35="Excavation"),K10:K35,0))</f>
        <v>0</v>
      </c>
      <c r="X324" s="191">
        <f t="array" ref="X324">SUM(IF((D10:D35=150102)*(B10:B35="Excavation"),L10:L35,0))</f>
        <v>0</v>
      </c>
      <c r="Y324" s="192">
        <f t="shared" si="121"/>
        <v>0</v>
      </c>
      <c r="Z324" s="501">
        <f t="shared" si="122"/>
        <v>0</v>
      </c>
    </row>
    <row r="325" spans="15:26" ht="13.8" thickBot="1" x14ac:dyDescent="0.3">
      <c r="O325" s="874"/>
      <c r="P325" s="877"/>
      <c r="Q325" s="235" t="s">
        <v>123</v>
      </c>
      <c r="R325" s="234" t="s">
        <v>237</v>
      </c>
      <c r="S325" s="191">
        <f t="array" ref="S325">SUM(IF((D10:D35=150102)*(B10:B35="Construction"),G10:G35,0))</f>
        <v>0</v>
      </c>
      <c r="T325" s="191">
        <f t="array" ref="T325">SUM(IF((D10:D35=150102)*(B10:B35="Construction"),H10:H35,0))</f>
        <v>0</v>
      </c>
      <c r="U325" s="191">
        <f t="array" ref="U325">SUM(IF((D10:D35=150102)*(B10:B35="Construction"),I10:I35,0))</f>
        <v>0</v>
      </c>
      <c r="V325" s="191">
        <f t="array" ref="V325">SUM(IF((D10:D35=150102)*(B10:B35="Construction"),J10:J35,0))</f>
        <v>0</v>
      </c>
      <c r="W325" s="191">
        <f t="array" ref="W325">SUM(IF((D10:D35=150102)*(B10:B35="Construction"),K10:K35,0))</f>
        <v>0</v>
      </c>
      <c r="X325" s="191">
        <f t="array" ref="X325">SUM(IF((D10:D35=150102)*(B10:B35="Construction"),L10:L35,0))</f>
        <v>0</v>
      </c>
      <c r="Y325" s="192">
        <f t="shared" si="121"/>
        <v>0</v>
      </c>
      <c r="Z325" s="501">
        <f t="shared" si="122"/>
        <v>0</v>
      </c>
    </row>
    <row r="326" spans="15:26" x14ac:dyDescent="0.25">
      <c r="O326" s="865" t="s">
        <v>195</v>
      </c>
      <c r="P326" s="875">
        <v>150103</v>
      </c>
      <c r="Q326" s="235" t="s">
        <v>123</v>
      </c>
      <c r="R326" s="231" t="s">
        <v>235</v>
      </c>
      <c r="S326" s="232">
        <f t="array" ref="S326">SUM(IF((D10:D35=150103)*(B10:B35="Demolition"),G10:G35,0))</f>
        <v>0</v>
      </c>
      <c r="T326" s="232">
        <f t="array" ref="T326">SUM(IF((D10:D35=150103)*(B10:B35="Demolition"),H10:H35,0))</f>
        <v>0</v>
      </c>
      <c r="U326" s="232">
        <f t="array" ref="U326">SUM(IF((D10:D35=150103)*(B10:B35="Demolition"),I10:I35,0))</f>
        <v>0</v>
      </c>
      <c r="V326" s="232">
        <f t="array" ref="V326">SUM(IF((D10:D35=150103)*(B10:B35="Demolition"),J10:J35,0))</f>
        <v>0</v>
      </c>
      <c r="W326" s="232">
        <f t="array" ref="W326">SUM(IF((D10:D35=150103)*(B10:B35="Demolition"),K10:K35,0))</f>
        <v>0</v>
      </c>
      <c r="X326" s="232">
        <f t="array" ref="X326">SUM(IF((D10:D35=150103)*(B10:B35="Demolition"),L10:L35,0))</f>
        <v>0</v>
      </c>
      <c r="Y326" s="192">
        <f t="shared" si="121"/>
        <v>0</v>
      </c>
      <c r="Z326" s="501">
        <f t="shared" si="122"/>
        <v>0</v>
      </c>
    </row>
    <row r="327" spans="15:26" x14ac:dyDescent="0.25">
      <c r="O327" s="871"/>
      <c r="P327" s="876"/>
      <c r="Q327" s="235" t="s">
        <v>123</v>
      </c>
      <c r="R327" s="234" t="s">
        <v>236</v>
      </c>
      <c r="S327" s="191">
        <f t="array" ref="S327">SUM(IF((D10:D35=150103)*(B10:B35="Excavation"),G10:G35,0))</f>
        <v>0</v>
      </c>
      <c r="T327" s="191">
        <f t="array" ref="T327">SUM(IF((D10:D35=150103)*(B10:B35="Excavation"),H10:H35,0))</f>
        <v>0</v>
      </c>
      <c r="U327" s="191">
        <f t="array" ref="U327">SUM(IF((D10:D35=150103)*(B10:B35="Excavation"),I10:I35,0))</f>
        <v>0</v>
      </c>
      <c r="V327" s="191">
        <f t="array" ref="V327">SUM(IF((D10:D35=150103)*(B10:B35="Excavation"),J10:J35,0))</f>
        <v>0</v>
      </c>
      <c r="W327" s="191">
        <f t="array" ref="W327">SUM(IF((D10:D35=150103)*(B10:B35="Excavation"),K10:K35,0))</f>
        <v>0</v>
      </c>
      <c r="X327" s="191">
        <f t="array" ref="X327">SUM(IF((D10:D35=150103)*(B10:B35="Excavation"),L10:L35,0))</f>
        <v>0</v>
      </c>
      <c r="Y327" s="192">
        <f t="shared" si="121"/>
        <v>0</v>
      </c>
      <c r="Z327" s="501">
        <f t="shared" si="122"/>
        <v>0</v>
      </c>
    </row>
    <row r="328" spans="15:26" ht="13.8" thickBot="1" x14ac:dyDescent="0.3">
      <c r="O328" s="874"/>
      <c r="P328" s="877"/>
      <c r="Q328" s="235" t="s">
        <v>123</v>
      </c>
      <c r="R328" s="234" t="s">
        <v>237</v>
      </c>
      <c r="S328" s="191">
        <f t="array" ref="S328">SUM(IF((D10:D35=150103)*(B10:B35="Construction"),G10:G35,0))</f>
        <v>0</v>
      </c>
      <c r="T328" s="191">
        <f t="array" ref="T328">SUM(IF((D10:D35=150103)*(B10:B35="Construction"),H10:H35,0))</f>
        <v>0</v>
      </c>
      <c r="U328" s="191">
        <f t="array" ref="U328">SUM(IF((D10:D35=150103)*(B10:B35="Construction"),I10:I35,0))</f>
        <v>0</v>
      </c>
      <c r="V328" s="191">
        <f t="array" ref="V328">SUM(IF((D10:D35=150103)*(B10:B35="Construction"),J10:J35,0))</f>
        <v>0</v>
      </c>
      <c r="W328" s="191">
        <f t="array" ref="W328">SUM(IF((D10:D35=150103)*(B10:B35="Construction"),K10:K35,0))</f>
        <v>0</v>
      </c>
      <c r="X328" s="191">
        <f t="array" ref="X328">SUM(IF((D10:D35=150103)*(B10:B35="Construction"),L10:L35,0))</f>
        <v>0</v>
      </c>
      <c r="Y328" s="192">
        <f t="shared" si="121"/>
        <v>0</v>
      </c>
      <c r="Z328" s="501">
        <f t="shared" si="122"/>
        <v>0</v>
      </c>
    </row>
    <row r="329" spans="15:26" x14ac:dyDescent="0.25">
      <c r="O329" s="865" t="s">
        <v>196</v>
      </c>
      <c r="P329" s="867">
        <v>80112</v>
      </c>
      <c r="Q329" s="235" t="s">
        <v>123</v>
      </c>
      <c r="R329" s="231" t="s">
        <v>235</v>
      </c>
      <c r="S329" s="232">
        <f t="array" ref="S329">SUM(IF((D10:D35=80112)*(B10:B35="Demolition"),G10:G35,0))</f>
        <v>0</v>
      </c>
      <c r="T329" s="232">
        <f t="array" ref="T329">SUM(IF((D10:D35=80112)*(B10:B35="Demolition"),H10:H35,0))</f>
        <v>0</v>
      </c>
      <c r="U329" s="232">
        <f t="array" ref="U329">SUM(IF((D10:D35=80112)*(B10:B35="Demolition"),I10:I35,0))</f>
        <v>0</v>
      </c>
      <c r="V329" s="232">
        <f t="array" ref="V329">SUM(IF((D10:D35=80112)*(B10:B35="Demolition"),J10:J35,0))</f>
        <v>0</v>
      </c>
      <c r="W329" s="232">
        <f t="array" ref="W329">SUM(IF((D10:D35=80112)*(B10:B35="Demolition"),K10:K35,0))</f>
        <v>0</v>
      </c>
      <c r="X329" s="232">
        <f t="array" ref="X329">SUM(IF((D10:D35=80112)*(B10:B35="Demolition"),L10:L35,0))</f>
        <v>0</v>
      </c>
      <c r="Y329" s="192">
        <f t="shared" si="121"/>
        <v>0</v>
      </c>
      <c r="Z329" s="501">
        <f t="shared" si="122"/>
        <v>0</v>
      </c>
    </row>
    <row r="330" spans="15:26" x14ac:dyDescent="0.25">
      <c r="O330" s="871"/>
      <c r="P330" s="868"/>
      <c r="Q330" s="235" t="s">
        <v>123</v>
      </c>
      <c r="R330" s="234" t="s">
        <v>236</v>
      </c>
      <c r="S330" s="191">
        <f t="array" ref="S330">SUM(IF((D10:D35=80112)*(B10:B35="Excavation"),G10:G35,0))</f>
        <v>0</v>
      </c>
      <c r="T330" s="191">
        <f t="array" ref="T330">SUM(IF((D10:D35=80112)*(B10:B35="Excavation"),H10:H35,0))</f>
        <v>0</v>
      </c>
      <c r="U330" s="191">
        <f t="array" ref="U330">SUM(IF((D10:D35=80112)*(B10:B35="Excavation"),I10:I35,0))</f>
        <v>0</v>
      </c>
      <c r="V330" s="191">
        <f t="array" ref="V330">SUM(IF((D10:D35=80112)*(B10:B35="Excavation"),J10:J35,0))</f>
        <v>0</v>
      </c>
      <c r="W330" s="191">
        <f t="array" ref="W330">SUM(IF((D10:D35=80112)*(B10:B35="Excavation"),K10:K35,0))</f>
        <v>0</v>
      </c>
      <c r="X330" s="191">
        <f t="array" ref="X330">SUM(IF((D10:D35=80112)*(B10:B35="Excavation"),L10:L35,0))</f>
        <v>0</v>
      </c>
      <c r="Y330" s="192">
        <f t="shared" si="121"/>
        <v>0</v>
      </c>
      <c r="Z330" s="501">
        <f t="shared" si="122"/>
        <v>0</v>
      </c>
    </row>
    <row r="331" spans="15:26" ht="13.8" thickBot="1" x14ac:dyDescent="0.3">
      <c r="O331" s="874"/>
      <c r="P331" s="869"/>
      <c r="Q331" s="235" t="s">
        <v>123</v>
      </c>
      <c r="R331" s="234" t="s">
        <v>237</v>
      </c>
      <c r="S331" s="191">
        <f t="array" ref="S331">SUM(IF((D10:D35=80112)*(B10:B35="Construction"),G10:G35,0))</f>
        <v>0</v>
      </c>
      <c r="T331" s="191">
        <f t="array" ref="T331">SUM(IF((D10:D35=80112)*(B10:B35="Construction"),H10:H35,0))</f>
        <v>0</v>
      </c>
      <c r="U331" s="191">
        <f t="array" ref="U331">SUM(IF((D10:D35=80112)*(B10:B35="Construction"),I10:I35,0))</f>
        <v>0</v>
      </c>
      <c r="V331" s="191">
        <f t="array" ref="V331">SUM(IF((D10:D35=80112)*(B10:B35="Construction"),J10:J35,0))</f>
        <v>0</v>
      </c>
      <c r="W331" s="191">
        <f t="array" ref="W331">SUM(IF((D10:D35=80112)*(B10:B35="Construction"),K10:K35,0))</f>
        <v>0</v>
      </c>
      <c r="X331" s="191">
        <f t="array" ref="X331">SUM(IF((D10:D35=80112)*(B10:B35="Construction"),L10:L35,0))</f>
        <v>0</v>
      </c>
      <c r="Y331" s="192">
        <f t="shared" si="121"/>
        <v>0</v>
      </c>
      <c r="Z331" s="501">
        <f t="shared" si="122"/>
        <v>0</v>
      </c>
    </row>
    <row r="332" spans="15:26" x14ac:dyDescent="0.25">
      <c r="O332" s="865" t="s">
        <v>197</v>
      </c>
      <c r="P332" s="867">
        <v>80111</v>
      </c>
      <c r="Q332" s="235" t="s">
        <v>126</v>
      </c>
      <c r="R332" s="231" t="s">
        <v>235</v>
      </c>
      <c r="S332" s="232">
        <f t="array" ref="S332">SUM(IF((D10:D35=80111)*(B10:B35="Demolition"),G10:G35,0))</f>
        <v>0</v>
      </c>
      <c r="T332" s="232">
        <f t="array" ref="T332">SUM(IF((D10:D35=80111)*(B10:B35="Demolition"),H10:H35,0))</f>
        <v>0</v>
      </c>
      <c r="U332" s="232">
        <f t="array" ref="U332">SUM(IF((D10:D35=80111)*(B10:B35="Demolition"),I10:I35,0))</f>
        <v>0</v>
      </c>
      <c r="V332" s="232">
        <f t="array" ref="V332">SUM(IF((D10:D35=80111)*(B10:B35="Demolition"),J10:J35,0))</f>
        <v>0</v>
      </c>
      <c r="W332" s="232">
        <f t="array" ref="W332">SUM(IF((D10:D35=80111)*(B10:B35="Demolition"),K10:K35,0))</f>
        <v>0</v>
      </c>
      <c r="X332" s="232">
        <f t="array" ref="X332">SUM(IF((D10:D35=80111)*(B10:B35="Demolition"),L10:L35,0))</f>
        <v>0</v>
      </c>
      <c r="Y332" s="192">
        <f t="shared" si="121"/>
        <v>0</v>
      </c>
      <c r="Z332" s="501">
        <f t="shared" si="122"/>
        <v>0</v>
      </c>
    </row>
    <row r="333" spans="15:26" x14ac:dyDescent="0.25">
      <c r="O333" s="871"/>
      <c r="P333" s="868"/>
      <c r="Q333" s="235" t="s">
        <v>126</v>
      </c>
      <c r="R333" s="234" t="s">
        <v>236</v>
      </c>
      <c r="S333" s="191">
        <f t="array" ref="S333">SUM(IF((D10:D35=80111)*(B10:B35="Excavation"),G10:G35,0))</f>
        <v>0</v>
      </c>
      <c r="T333" s="191">
        <f t="array" ref="T333">SUM(IF((D10:D35=80111)*(B10:B35="Excavation"),H10:H35,0))</f>
        <v>0</v>
      </c>
      <c r="U333" s="191">
        <f t="array" ref="U333">SUM(IF((D10:D35=80111)*(B10:B35="Excavation"),I10:I35,0))</f>
        <v>0</v>
      </c>
      <c r="V333" s="191">
        <f t="array" ref="V333">SUM(IF((D10:D35=80111)*(B10:B35="Excavation"),J10:J35,0))</f>
        <v>0</v>
      </c>
      <c r="W333" s="191">
        <f t="array" ref="W333">SUM(IF((D10:D35=80111)*(B10:B35="Excavation"),K10:K35,0))</f>
        <v>0</v>
      </c>
      <c r="X333" s="191">
        <f t="array" ref="X333">SUM(IF((D10:D35=80111)*(B10:B35="Excavation"),L10:L35,0))</f>
        <v>0</v>
      </c>
      <c r="Y333" s="192">
        <f t="shared" si="121"/>
        <v>0</v>
      </c>
      <c r="Z333" s="501">
        <f t="shared" si="122"/>
        <v>0</v>
      </c>
    </row>
    <row r="334" spans="15:26" ht="13.8" thickBot="1" x14ac:dyDescent="0.3">
      <c r="O334" s="874"/>
      <c r="P334" s="869"/>
      <c r="Q334" s="235" t="s">
        <v>126</v>
      </c>
      <c r="R334" s="234" t="s">
        <v>237</v>
      </c>
      <c r="S334" s="191">
        <f t="array" ref="S334">SUM(IF((D10:D35=80111)*(B10:B35="Construction"),G10:G35,0))</f>
        <v>0</v>
      </c>
      <c r="T334" s="191">
        <f t="array" ref="T334">SUM(IF((D10:D35=80111)*(B10:B35="Construction"),H10:H35,0))</f>
        <v>0</v>
      </c>
      <c r="U334" s="191">
        <f t="array" ref="U334">SUM(IF((D10:D35=80111)*(B10:B35="Construction"),I10:I35,0))</f>
        <v>0</v>
      </c>
      <c r="V334" s="191">
        <f t="array" ref="V334">SUM(IF((D10:D35=80111)*(B10:B35="Construction"),J10:J35,0))</f>
        <v>0</v>
      </c>
      <c r="W334" s="191">
        <f t="array" ref="W334">SUM(IF((D10:D35=80111)*(B10:B35="Construction"),K10:K35,0))</f>
        <v>0</v>
      </c>
      <c r="X334" s="191">
        <f t="array" ref="X334">SUM(IF((D10:D35=80111)*(B10:B35="Construction"),L10:L35,0))</f>
        <v>0</v>
      </c>
      <c r="Y334" s="192">
        <f t="shared" si="121"/>
        <v>0</v>
      </c>
      <c r="Z334" s="501">
        <f t="shared" si="122"/>
        <v>0</v>
      </c>
    </row>
    <row r="335" spans="15:26" x14ac:dyDescent="0.25">
      <c r="O335" s="865" t="s">
        <v>198</v>
      </c>
      <c r="P335" s="867">
        <v>80118</v>
      </c>
      <c r="Q335" s="235" t="s">
        <v>123</v>
      </c>
      <c r="R335" s="231" t="s">
        <v>235</v>
      </c>
      <c r="S335" s="232">
        <f t="array" ref="S335">SUM(IF((D10:D35=80118)*(B10:B35="Demolition"),G10:G35,0))</f>
        <v>0</v>
      </c>
      <c r="T335" s="232">
        <f t="array" ref="T335">SUM(IF((D10:D35=80118)*(B10:B35="Demolition"),H10:H35,0))</f>
        <v>0</v>
      </c>
      <c r="U335" s="232">
        <f t="array" ref="U335">SUM(IF((D10:D35=80118)*(B10:B35="Demolition"),I10:I35,0))</f>
        <v>0</v>
      </c>
      <c r="V335" s="232">
        <f t="array" ref="V335">SUM(IF((D10:D35=80118)*(B10:B35="Demolition"),J10:J35,0))</f>
        <v>0</v>
      </c>
      <c r="W335" s="232">
        <f t="array" ref="W335">SUM(IF((D10:D35=80118)*(B10:B35="Demolition"),K10:K35,0))</f>
        <v>0</v>
      </c>
      <c r="X335" s="232">
        <f t="array" ref="X335">SUM(IF((D10:D35=80118)*(B10:B35="Demolition"),L10:L35,0))</f>
        <v>0</v>
      </c>
      <c r="Y335" s="192">
        <f t="shared" si="121"/>
        <v>0</v>
      </c>
      <c r="Z335" s="501">
        <f t="shared" si="122"/>
        <v>0</v>
      </c>
    </row>
    <row r="336" spans="15:26" x14ac:dyDescent="0.25">
      <c r="O336" s="871"/>
      <c r="P336" s="868"/>
      <c r="Q336" s="235" t="s">
        <v>123</v>
      </c>
      <c r="R336" s="234" t="s">
        <v>236</v>
      </c>
      <c r="S336" s="191">
        <f t="array" ref="S336">SUM(IF((D10:D35=80118)*(B10:B35="Excavation"),G10:G35,0))</f>
        <v>0</v>
      </c>
      <c r="T336" s="191">
        <f t="array" ref="T336">SUM(IF((D10:D35=80118)*(B10:B35="Excavation"),H10:H35,0))</f>
        <v>0</v>
      </c>
      <c r="U336" s="191">
        <f t="array" ref="U336">SUM(IF((D10:D35=80118)*(B10:B35="Excavation"),I10:I35,0))</f>
        <v>0</v>
      </c>
      <c r="V336" s="191">
        <f t="array" ref="V336">SUM(IF((D10:D35=80118)*(B10:B35="Excavation"),J10:J35,0))</f>
        <v>0</v>
      </c>
      <c r="W336" s="191">
        <f t="array" ref="W336">SUM(IF((D10:D35=80118)*(B10:B35="Excavation"),K10:K35,0))</f>
        <v>0</v>
      </c>
      <c r="X336" s="191">
        <f t="array" ref="X336">SUM(IF((D10:D35=80118)*(B10:B35="Excavation"),L10:L35,0))</f>
        <v>0</v>
      </c>
      <c r="Y336" s="192">
        <f t="shared" si="121"/>
        <v>0</v>
      </c>
      <c r="Z336" s="501">
        <f t="shared" si="122"/>
        <v>0</v>
      </c>
    </row>
    <row r="337" spans="15:26" ht="13.8" thickBot="1" x14ac:dyDescent="0.3">
      <c r="O337" s="874"/>
      <c r="P337" s="869"/>
      <c r="Q337" s="235" t="s">
        <v>123</v>
      </c>
      <c r="R337" s="234" t="s">
        <v>237</v>
      </c>
      <c r="S337" s="191">
        <f t="array" ref="S337">SUM(IF((D10:D35=80118)*(B10:B35="Construction"),G10:G35,0))</f>
        <v>0</v>
      </c>
      <c r="T337" s="191">
        <f t="array" ref="T337">SUM(IF((D10:D35=80118)*(B10:B35="Construction"),H10:H35,0))</f>
        <v>0</v>
      </c>
      <c r="U337" s="191">
        <f t="array" ref="U337">SUM(IF((D10:D35=80118)*(B10:B35="Construction"),I10:I35,0))</f>
        <v>0</v>
      </c>
      <c r="V337" s="191">
        <f t="array" ref="V337">SUM(IF((D10:D35=80118)*(B10:B35="Construction"),J10:J35,0))</f>
        <v>0</v>
      </c>
      <c r="W337" s="191">
        <f t="array" ref="W337">SUM(IF((D10:D35=80118)*(B10:B35="Construction"),K10:K35,0))</f>
        <v>0</v>
      </c>
      <c r="X337" s="191">
        <f t="array" ref="X337">SUM(IF((D10:D35=80118)*(B10:B35="Construction"),L10:L35,0))</f>
        <v>0</v>
      </c>
      <c r="Y337" s="192">
        <f t="shared" si="121"/>
        <v>0</v>
      </c>
      <c r="Z337" s="501">
        <f t="shared" si="122"/>
        <v>0</v>
      </c>
    </row>
    <row r="338" spans="15:26" x14ac:dyDescent="0.25">
      <c r="O338" s="865" t="s">
        <v>199</v>
      </c>
      <c r="P338" s="867">
        <v>80117</v>
      </c>
      <c r="Q338" s="235" t="s">
        <v>126</v>
      </c>
      <c r="R338" s="231" t="s">
        <v>235</v>
      </c>
      <c r="S338" s="232">
        <f t="array" ref="S338">SUM(IF((D10:D35=80117)*(B10:B35="Demolition"),G10:G35,0))</f>
        <v>0</v>
      </c>
      <c r="T338" s="232">
        <f t="array" ref="T338">SUM(IF((D10:D35=80117)*(B10:B35="Demolition"),H10:H35,0))</f>
        <v>0</v>
      </c>
      <c r="U338" s="232">
        <f t="array" ref="U338">SUM(IF((D10:D35=80117)*(B10:B35="Demolition"),I10:I35,0))</f>
        <v>0</v>
      </c>
      <c r="V338" s="232">
        <f t="array" ref="V338">SUM(IF((D10:D35=80117)*(B10:B35="Demolition"),J10:J35,0))</f>
        <v>0</v>
      </c>
      <c r="W338" s="232">
        <f t="array" ref="W338">SUM(IF((D10:D35=80117)*(B10:B35="Demolition"),K10:K35,0))</f>
        <v>0</v>
      </c>
      <c r="X338" s="232">
        <f t="array" ref="X338">SUM(IF((D10:D35=80117)*(B10:B35="Demolition"),L10:L35,0))</f>
        <v>0</v>
      </c>
      <c r="Y338" s="192">
        <f t="shared" si="121"/>
        <v>0</v>
      </c>
      <c r="Z338" s="501">
        <f t="shared" si="122"/>
        <v>0</v>
      </c>
    </row>
    <row r="339" spans="15:26" x14ac:dyDescent="0.25">
      <c r="O339" s="871"/>
      <c r="P339" s="868"/>
      <c r="Q339" s="235" t="s">
        <v>126</v>
      </c>
      <c r="R339" s="234" t="s">
        <v>236</v>
      </c>
      <c r="S339" s="191">
        <f t="array" ref="S339">SUM(IF((D10:D35=80117)*(B10:B35="Excavation"),G10:G35,0))</f>
        <v>0</v>
      </c>
      <c r="T339" s="191">
        <f t="array" ref="T339">SUM(IF((D10:D35=80117)*(B10:B35="Excavation"),H10:H35,0))</f>
        <v>0</v>
      </c>
      <c r="U339" s="191">
        <f t="array" ref="U339">SUM(IF((D10:D35=80117)*(B10:B35="Excavation"),I10:I35,0))</f>
        <v>0</v>
      </c>
      <c r="V339" s="191">
        <f t="array" ref="V339">SUM(IF((D10:D35=80117)*(B10:B35="Excavation"),J10:J35,0))</f>
        <v>0</v>
      </c>
      <c r="W339" s="191">
        <f t="array" ref="W339">SUM(IF((D10:D35=80117)*(B10:B35="Excavation"),K10:K35,0))</f>
        <v>0</v>
      </c>
      <c r="X339" s="191">
        <f t="array" ref="X339">SUM(IF((D10:D35=80117)*(B10:B35="Excavation"),L10:L35,0))</f>
        <v>0</v>
      </c>
      <c r="Y339" s="192">
        <f t="shared" si="121"/>
        <v>0</v>
      </c>
      <c r="Z339" s="501">
        <f t="shared" si="122"/>
        <v>0</v>
      </c>
    </row>
    <row r="340" spans="15:26" ht="13.8" thickBot="1" x14ac:dyDescent="0.3">
      <c r="O340" s="874"/>
      <c r="P340" s="869"/>
      <c r="Q340" s="235" t="s">
        <v>126</v>
      </c>
      <c r="R340" s="234" t="s">
        <v>237</v>
      </c>
      <c r="S340" s="191">
        <f t="array" ref="S340">SUM(IF((D10:D35=80117)*(B10:B35="Construction"),G10:G35,0))</f>
        <v>0</v>
      </c>
      <c r="T340" s="191">
        <f t="array" ref="T340">SUM(IF((D10:D35=80117)*(B10:B35="Construction"),H10:H35,0))</f>
        <v>0</v>
      </c>
      <c r="U340" s="191">
        <f t="array" ref="U340">SUM(IF((D10:D35=80117)*(B10:B35="Construction"),I10:I35,0))</f>
        <v>0</v>
      </c>
      <c r="V340" s="191">
        <f t="array" ref="V340">SUM(IF((D10:D35=80117)*(B10:B35="Construction"),J10:J35,0))</f>
        <v>0</v>
      </c>
      <c r="W340" s="191">
        <f t="array" ref="W340">SUM(IF((D10:D35=80117)*(B10:B35="Construction"),K10:K35,0))</f>
        <v>0</v>
      </c>
      <c r="X340" s="191">
        <f t="array" ref="X340">SUM(IF((D10:D35=80117)*(B10:B35="Construction"),L10:L35,0))</f>
        <v>0</v>
      </c>
      <c r="Y340" s="192">
        <f t="shared" si="121"/>
        <v>0</v>
      </c>
      <c r="Z340" s="501">
        <f t="shared" si="122"/>
        <v>0</v>
      </c>
    </row>
    <row r="341" spans="15:26" x14ac:dyDescent="0.25">
      <c r="O341" s="865" t="s">
        <v>200</v>
      </c>
      <c r="P341" s="867">
        <v>200101</v>
      </c>
      <c r="Q341" s="235" t="s">
        <v>123</v>
      </c>
      <c r="R341" s="231" t="s">
        <v>235</v>
      </c>
      <c r="S341" s="232">
        <f t="array" ref="S341">SUM(IF((D10:D35=200101)*(B10:B35="Demolition"),G10:G35,0))</f>
        <v>0</v>
      </c>
      <c r="T341" s="232">
        <f t="array" ref="T341">SUM(IF((D10:D35=200101)*(B10:B35="Demolition"),H10:H35,0))</f>
        <v>0</v>
      </c>
      <c r="U341" s="232">
        <f t="array" ref="U341">SUM(IF((D10:D35=200101)*(B10:B35="Demolition"),I10:I35,0))</f>
        <v>0</v>
      </c>
      <c r="V341" s="232">
        <f t="array" ref="V341">SUM(IF((D10:D35=200101)*(B10:B35="Demolition"),J10:J35,0))</f>
        <v>0</v>
      </c>
      <c r="W341" s="232">
        <f t="array" ref="W341">SUM(IF((D10:D35=200101)*(B10:B35="Demolition"),K10:K35,0))</f>
        <v>0</v>
      </c>
      <c r="X341" s="232">
        <f t="array" ref="X341">SUM(IF((D10:D35=200101)*(B10:B35="Demolition"),L10:L35,0))</f>
        <v>0</v>
      </c>
      <c r="Y341" s="192">
        <f t="shared" si="121"/>
        <v>0</v>
      </c>
      <c r="Z341" s="501">
        <f t="shared" si="122"/>
        <v>0</v>
      </c>
    </row>
    <row r="342" spans="15:26" x14ac:dyDescent="0.25">
      <c r="O342" s="871"/>
      <c r="P342" s="868"/>
      <c r="Q342" s="235" t="s">
        <v>123</v>
      </c>
      <c r="R342" s="234" t="s">
        <v>236</v>
      </c>
      <c r="S342" s="191">
        <f t="array" ref="S342">SUM(IF((D10:D35=200101)*(B10:B35="Excavation"),G10:G35,0))</f>
        <v>0</v>
      </c>
      <c r="T342" s="191">
        <f t="array" ref="T342">SUM(IF((D10:D35=200101)*(B10:B35="Excavation"),H10:H35,0))</f>
        <v>0</v>
      </c>
      <c r="U342" s="191">
        <f t="array" ref="U342">SUM(IF((D10:D35=200101)*(B10:B35="Excavation"),I10:I35,0))</f>
        <v>0</v>
      </c>
      <c r="V342" s="191">
        <f t="array" ref="V342">SUM(IF((D10:D35=200101)*(B10:B35="Excavation"),J10:J35,0))</f>
        <v>0</v>
      </c>
      <c r="W342" s="191">
        <f t="array" ref="W342">SUM(IF((D10:D35=200101)*(B10:B35="Excavation"),K10:K35,0))</f>
        <v>0</v>
      </c>
      <c r="X342" s="191">
        <f t="array" ref="X342">SUM(IF((D10:D35=200101)*(B10:B35="Excavation"),L10:L35,0))</f>
        <v>0</v>
      </c>
      <c r="Y342" s="192">
        <f t="shared" si="121"/>
        <v>0</v>
      </c>
      <c r="Z342" s="501">
        <f t="shared" si="122"/>
        <v>0</v>
      </c>
    </row>
    <row r="343" spans="15:26" ht="13.8" thickBot="1" x14ac:dyDescent="0.3">
      <c r="O343" s="874"/>
      <c r="P343" s="869"/>
      <c r="Q343" s="235" t="s">
        <v>123</v>
      </c>
      <c r="R343" s="234" t="s">
        <v>237</v>
      </c>
      <c r="S343" s="191">
        <f t="array" ref="S343">SUM(IF((D10:D35=200101)*(B10:B35="Construction"),G10:G35,0))</f>
        <v>0</v>
      </c>
      <c r="T343" s="191">
        <f t="array" ref="T343">SUM(IF((D10:D35=200101)*(B10:B35="Construction"),H10:H35,0))</f>
        <v>0</v>
      </c>
      <c r="U343" s="191">
        <f t="array" ref="U343">SUM(IF((D10:D35=200101)*(B10:B35="Construction"),I10:I35,0))</f>
        <v>0</v>
      </c>
      <c r="V343" s="191">
        <f t="array" ref="V343">SUM(IF((D10:D35=200101)*(B10:B35="Construction"),J10:J35,0))</f>
        <v>0</v>
      </c>
      <c r="W343" s="191">
        <f t="array" ref="W343">SUM(IF((D10:D35=200101)*(B10:B35="Construction"),K10:K35,0))</f>
        <v>0</v>
      </c>
      <c r="X343" s="191">
        <f t="array" ref="X343">SUM(IF((D10:D35=200101)*(B10:B35="Construction"),L10:L35,0))</f>
        <v>0</v>
      </c>
      <c r="Y343" s="192">
        <f t="shared" si="121"/>
        <v>0</v>
      </c>
      <c r="Z343" s="501">
        <f t="shared" si="122"/>
        <v>0</v>
      </c>
    </row>
    <row r="344" spans="15:26" x14ac:dyDescent="0.25">
      <c r="O344" s="865" t="s">
        <v>201</v>
      </c>
      <c r="P344" s="867">
        <v>150101</v>
      </c>
      <c r="Q344" s="235" t="s">
        <v>123</v>
      </c>
      <c r="R344" s="231" t="s">
        <v>235</v>
      </c>
      <c r="S344" s="232">
        <f t="array" ref="S344">SUM(IF((D10:D35=150101)*(B10:B35="Demolition"),G10:G35,0))</f>
        <v>0</v>
      </c>
      <c r="T344" s="232">
        <f t="array" ref="T344">SUM(IF((D10:D35=150101)*(B10:B35="Demolition"),H10:H35,0))</f>
        <v>0</v>
      </c>
      <c r="U344" s="232">
        <f t="array" ref="U344">SUM(IF((D10:D35=150101)*(B10:B35="Demolition"),I10:I35,0))</f>
        <v>0</v>
      </c>
      <c r="V344" s="232">
        <f t="array" ref="V344">SUM(IF((D10:D35=150101)*(B10:B35="Demolition"),J10:J35,0))</f>
        <v>0</v>
      </c>
      <c r="W344" s="232">
        <f t="array" ref="W344">SUM(IF((D10:D35=150101)*(B10:B35="Demolition"),K10:K35,0))</f>
        <v>0</v>
      </c>
      <c r="X344" s="232">
        <f t="array" ref="X344">SUM(IF((D10:D35=150101)*(B10:B35="Demolition"),L10:L35,0))</f>
        <v>0</v>
      </c>
      <c r="Y344" s="192">
        <f t="shared" si="121"/>
        <v>0</v>
      </c>
      <c r="Z344" s="501">
        <f t="shared" si="122"/>
        <v>0</v>
      </c>
    </row>
    <row r="345" spans="15:26" x14ac:dyDescent="0.25">
      <c r="O345" s="871"/>
      <c r="P345" s="868"/>
      <c r="Q345" s="235" t="s">
        <v>123</v>
      </c>
      <c r="R345" s="234" t="s">
        <v>236</v>
      </c>
      <c r="S345" s="191">
        <f t="array" ref="S345">SUM(IF((D10:D35=150101)*(B10:B35="Excavation"),G10:G35,0))</f>
        <v>0</v>
      </c>
      <c r="T345" s="191">
        <f t="array" ref="T345">SUM(IF((D10:D35=150101)*(B10:B35="Excavation"),H10:H35,0))</f>
        <v>0</v>
      </c>
      <c r="U345" s="191">
        <f t="array" ref="U345">SUM(IF((D10:D35=150101)*(B10:B35="Excavation"),I10:I35,0))</f>
        <v>0</v>
      </c>
      <c r="V345" s="191">
        <f t="array" ref="V345">SUM(IF((D10:D35=150101)*(B10:B35="Excavation"),J10:J35,0))</f>
        <v>0</v>
      </c>
      <c r="W345" s="191">
        <f t="array" ref="W345">SUM(IF((D10:D35=150101)*(B10:B35="Excavation"),K10:K35,0))</f>
        <v>0</v>
      </c>
      <c r="X345" s="191">
        <f t="array" ref="X345">SUM(IF((D10:D35=150101)*(B10:B35="Excavation"),L10:L35,0))</f>
        <v>0</v>
      </c>
      <c r="Y345" s="192">
        <f t="shared" si="121"/>
        <v>0</v>
      </c>
      <c r="Z345" s="501">
        <f t="shared" si="122"/>
        <v>0</v>
      </c>
    </row>
    <row r="346" spans="15:26" ht="13.8" thickBot="1" x14ac:dyDescent="0.3">
      <c r="O346" s="874"/>
      <c r="P346" s="869"/>
      <c r="Q346" s="235" t="s">
        <v>123</v>
      </c>
      <c r="R346" s="234" t="s">
        <v>237</v>
      </c>
      <c r="S346" s="191">
        <f t="array" ref="S346">SUM(IF((D10:D35=150101)*(B10:B35="Construction"),G10:G35,0))</f>
        <v>0</v>
      </c>
      <c r="T346" s="191">
        <f t="array" ref="T346">SUM(IF((D10:D35=150101)*(B10:B35="Construction"),H10:H35,0))</f>
        <v>0</v>
      </c>
      <c r="U346" s="191">
        <f t="array" ref="U346">SUM(IF((D10:D35=150101)*(B10:B35="Construction"),I10:I35,0))</f>
        <v>0</v>
      </c>
      <c r="V346" s="191">
        <f t="array" ref="V346">SUM(IF((D10:D35=150101)*(B10:B35="Construction"),J10:J35,0))</f>
        <v>0</v>
      </c>
      <c r="W346" s="191">
        <f t="array" ref="W346">SUM(IF((D10:D35=150101)*(B10:B35="Construction"),K10:K35,0))</f>
        <v>0</v>
      </c>
      <c r="X346" s="191">
        <f t="array" ref="X346">SUM(IF((D10:D35=150101)*(B10:B35="Construction"),L10:L35,0))</f>
        <v>0</v>
      </c>
      <c r="Y346" s="192">
        <f t="shared" si="121"/>
        <v>0</v>
      </c>
      <c r="Z346" s="501">
        <f t="shared" si="122"/>
        <v>0</v>
      </c>
    </row>
    <row r="347" spans="15:26" x14ac:dyDescent="0.25">
      <c r="O347" s="865" t="s">
        <v>202</v>
      </c>
      <c r="P347" s="867">
        <v>170203</v>
      </c>
      <c r="Q347" s="235" t="s">
        <v>123</v>
      </c>
      <c r="R347" s="231" t="s">
        <v>235</v>
      </c>
      <c r="S347" s="232">
        <f t="array" ref="S347">SUM(IF((D10:D35=170203)*(B10:B35="Demolition"),G10:G35,0))</f>
        <v>0</v>
      </c>
      <c r="T347" s="232">
        <f t="array" ref="T347">SUM(IF((D10:D35=170203)*(B10:B35="Demolition"),H10:H35,0))</f>
        <v>0</v>
      </c>
      <c r="U347" s="232">
        <f t="array" ref="U347">SUM(IF((D10:D35=170203)*(B10:B35="Demolition"),I10:I35,0))</f>
        <v>0</v>
      </c>
      <c r="V347" s="232">
        <f t="array" ref="V347">SUM(IF((D10:D35=170203)*(B10:B35="Demolition"),J10:J35,0))</f>
        <v>0</v>
      </c>
      <c r="W347" s="232">
        <f t="array" ref="W347">SUM(IF((D10:D35=170203)*(B10:B35="Demolition"),K10:K35,0))</f>
        <v>0</v>
      </c>
      <c r="X347" s="232">
        <f t="array" ref="X347">SUM(IF((D10:D35=170203)*(B10:B35="Demolition"),L10:L35,0))</f>
        <v>0</v>
      </c>
      <c r="Y347" s="192">
        <f t="shared" si="121"/>
        <v>0</v>
      </c>
      <c r="Z347" s="501">
        <f t="shared" si="122"/>
        <v>0</v>
      </c>
    </row>
    <row r="348" spans="15:26" x14ac:dyDescent="0.25">
      <c r="O348" s="871"/>
      <c r="P348" s="868"/>
      <c r="Q348" s="235" t="s">
        <v>123</v>
      </c>
      <c r="R348" s="234" t="s">
        <v>236</v>
      </c>
      <c r="S348" s="191">
        <f t="array" ref="S348">SUM(IF((D10:D35=170203)*(B10:B35="Excavation"),G10:G35,0))</f>
        <v>0</v>
      </c>
      <c r="T348" s="191">
        <f t="array" ref="T348">SUM(IF((D10:D35=170203)*(B10:B35="Excavation"),H10:H35,0))</f>
        <v>0</v>
      </c>
      <c r="U348" s="191">
        <f t="array" ref="U348">SUM(IF((D10:D35=170203)*(B10:B35="Excavation"),I10:I35,0))</f>
        <v>0</v>
      </c>
      <c r="V348" s="191">
        <f t="array" ref="V348">SUM(IF((D10:D35=170203)*(B10:B35="Excavation"),J10:J35,0))</f>
        <v>0</v>
      </c>
      <c r="W348" s="191">
        <f t="array" ref="W348">SUM(IF((D10:D35=170203)*(B10:B35="Excavation"),K10:K35,0))</f>
        <v>0</v>
      </c>
      <c r="X348" s="191">
        <f t="array" ref="X348">SUM(IF((D10:D35=170203)*(B10:B35="Excavation"),L10:L35,0))</f>
        <v>0</v>
      </c>
      <c r="Y348" s="192">
        <f t="shared" si="121"/>
        <v>0</v>
      </c>
      <c r="Z348" s="501">
        <f t="shared" si="122"/>
        <v>0</v>
      </c>
    </row>
    <row r="349" spans="15:26" ht="13.8" thickBot="1" x14ac:dyDescent="0.3">
      <c r="O349" s="874"/>
      <c r="P349" s="869"/>
      <c r="Q349" s="235" t="s">
        <v>123</v>
      </c>
      <c r="R349" s="234" t="s">
        <v>237</v>
      </c>
      <c r="S349" s="191">
        <f t="array" ref="S349">SUM(IF((D10:D35=170203)*(B10:B35="Construction"),G10:G35,0))</f>
        <v>0</v>
      </c>
      <c r="T349" s="191">
        <f t="array" ref="T349">SUM(IF((D10:D35=170203)*(B10:B35="Construction"),H10:H35,0))</f>
        <v>0</v>
      </c>
      <c r="U349" s="191">
        <f t="array" ref="U349">SUM(IF((D10:D35=170203)*(B10:B35="Construction"),I10:I35,0))</f>
        <v>0</v>
      </c>
      <c r="V349" s="191">
        <f t="array" ref="V349">SUM(IF((D10:D35=170203)*(B10:B35="Construction"),J10:J35,0))</f>
        <v>0</v>
      </c>
      <c r="W349" s="191">
        <f t="array" ref="W349">SUM(IF((D10:D35=170203)*(B10:B35="Construction"),K10:K35,0))</f>
        <v>0</v>
      </c>
      <c r="X349" s="191">
        <f t="array" ref="X349">SUM(IF((D10:D35=170203)*(B10:B35="Construction"),L10:L35,0))</f>
        <v>0</v>
      </c>
      <c r="Y349" s="192">
        <f t="shared" si="121"/>
        <v>0</v>
      </c>
      <c r="Z349" s="501">
        <f t="shared" si="122"/>
        <v>0</v>
      </c>
    </row>
    <row r="350" spans="15:26" x14ac:dyDescent="0.25">
      <c r="O350" s="865" t="s">
        <v>203</v>
      </c>
      <c r="P350" s="867">
        <v>80318</v>
      </c>
      <c r="Q350" s="235" t="s">
        <v>123</v>
      </c>
      <c r="R350" s="231" t="s">
        <v>235</v>
      </c>
      <c r="S350" s="232">
        <f t="array" ref="S350">SUM(IF((D10:D35=80318)*(B10:B35="Demolition"),G10:G35,0))</f>
        <v>0</v>
      </c>
      <c r="T350" s="232">
        <f t="array" ref="T350">SUM(IF((D10:D35=80318)*(B10:B35="Demolition"),H10:H35,0))</f>
        <v>0</v>
      </c>
      <c r="U350" s="232">
        <f t="array" ref="U350">SUM(IF((D10:D35=80318)*(B10:B35="Demolition"),I10:I35,0))</f>
        <v>0</v>
      </c>
      <c r="V350" s="232">
        <f t="array" ref="V350">SUM(IF((D10:D35=80318)*(B10:B35="Demolition"),J10:J35,0))</f>
        <v>0</v>
      </c>
      <c r="W350" s="232">
        <f t="array" ref="W350">SUM(IF((D10:D35=80318)*(B10:B35="Demolition"),K10:K35,0))</f>
        <v>0</v>
      </c>
      <c r="X350" s="232">
        <f t="array" ref="X350">SUM(IF((D10:D35=80318)*(B10:B35="Demolition"),L10:L35,0))</f>
        <v>0</v>
      </c>
      <c r="Y350" s="192">
        <f t="shared" si="121"/>
        <v>0</v>
      </c>
      <c r="Z350" s="501">
        <f t="shared" si="122"/>
        <v>0</v>
      </c>
    </row>
    <row r="351" spans="15:26" x14ac:dyDescent="0.25">
      <c r="O351" s="871"/>
      <c r="P351" s="868"/>
      <c r="Q351" s="235" t="s">
        <v>123</v>
      </c>
      <c r="R351" s="234" t="s">
        <v>236</v>
      </c>
      <c r="S351" s="191">
        <f t="array" ref="S351">SUM(IF((D10:D35=80318)*(B10:B35="Excavation"),G10:G35,0))</f>
        <v>0</v>
      </c>
      <c r="T351" s="191">
        <f t="array" ref="T351">SUM(IF((D10:D35=80318)*(B10:B35="Excavation"),H10:H35,0))</f>
        <v>0</v>
      </c>
      <c r="U351" s="191">
        <f t="array" ref="U351">SUM(IF((D10:D35=80318)*(B10:B35="Excavation"),I10:I35,0))</f>
        <v>0</v>
      </c>
      <c r="V351" s="191">
        <f t="array" ref="V351">SUM(IF((D10:D35=80318)*(B10:B35="Excavation"),J10:J35,0))</f>
        <v>0</v>
      </c>
      <c r="W351" s="191">
        <f t="array" ref="W351">SUM(IF((D10:D35=80318)*(B10:B35="Excavation"),K10:K35,0))</f>
        <v>0</v>
      </c>
      <c r="X351" s="191">
        <f t="array" ref="X351">SUM(IF((D10:D35=80318)*(B10:B35="Excavation"),L10:L35,0))</f>
        <v>0</v>
      </c>
      <c r="Y351" s="192">
        <f t="shared" si="121"/>
        <v>0</v>
      </c>
      <c r="Z351" s="501">
        <f t="shared" si="122"/>
        <v>0</v>
      </c>
    </row>
    <row r="352" spans="15:26" ht="13.8" thickBot="1" x14ac:dyDescent="0.3">
      <c r="O352" s="874"/>
      <c r="P352" s="869"/>
      <c r="Q352" s="235" t="s">
        <v>123</v>
      </c>
      <c r="R352" s="234" t="s">
        <v>237</v>
      </c>
      <c r="S352" s="191">
        <f t="array" ref="S352">SUM(IF((D10:D35=80318)*(B10:B35="Construction"),G10:G35,0))</f>
        <v>0</v>
      </c>
      <c r="T352" s="191">
        <f t="array" ref="T352">SUM(IF((D10:D35=80318)*(B10:B35="Construction"),H10:H35,0))</f>
        <v>0</v>
      </c>
      <c r="U352" s="191">
        <f t="array" ref="U352">SUM(IF((D10:D35=80318)*(B10:B35="Construction"),I10:I35,0))</f>
        <v>0</v>
      </c>
      <c r="V352" s="191">
        <f t="array" ref="V352">SUM(IF((D10:D35=80318)*(B10:B35="Construction"),J10:J35,0))</f>
        <v>0</v>
      </c>
      <c r="W352" s="191">
        <f t="array" ref="W352">SUM(IF((D10:D35=80318)*(B10:B35="Construction"),K10:K35,0))</f>
        <v>0</v>
      </c>
      <c r="X352" s="191">
        <f t="array" ref="X352">SUM(IF((D10:D35=80318)*(B10:B35="Construction"),L10:L35,0))</f>
        <v>0</v>
      </c>
      <c r="Y352" s="192">
        <f t="shared" si="121"/>
        <v>0</v>
      </c>
      <c r="Z352" s="501">
        <f t="shared" si="122"/>
        <v>0</v>
      </c>
    </row>
    <row r="353" spans="15:26" x14ac:dyDescent="0.25">
      <c r="O353" s="865" t="s">
        <v>204</v>
      </c>
      <c r="P353" s="867">
        <v>80317</v>
      </c>
      <c r="Q353" s="235" t="s">
        <v>126</v>
      </c>
      <c r="R353" s="231" t="s">
        <v>235</v>
      </c>
      <c r="S353" s="232">
        <f t="array" ref="S353">SUM(IF((D10:D35=80317)*(B10:B35="Demolition"),G10:G35,0))</f>
        <v>0</v>
      </c>
      <c r="T353" s="232">
        <f t="array" ref="T353">SUM(IF((D10:D35=80317)*(B10:B35="Demolition"),H10:H35,0))</f>
        <v>0</v>
      </c>
      <c r="U353" s="232">
        <f t="array" ref="U353">SUM(IF((D10:D35=80317)*(B10:B35="Demolition"),I10:I35,0))</f>
        <v>0</v>
      </c>
      <c r="V353" s="232">
        <f t="array" ref="V353">SUM(IF((D10:D35=80317)*(B10:B35="Demolition"),J10:J35,0))</f>
        <v>0</v>
      </c>
      <c r="W353" s="232">
        <f t="array" ref="W353">SUM(IF((D10:D35=80317)*(B10:B35="Demolition"),K10:K35,0))</f>
        <v>0</v>
      </c>
      <c r="X353" s="232">
        <f t="array" ref="X353">SUM(IF((D10:D35=80317)*(B10:B35="Demolition"),L10:L35,0))</f>
        <v>0</v>
      </c>
      <c r="Y353" s="192">
        <f t="shared" si="121"/>
        <v>0</v>
      </c>
      <c r="Z353" s="501">
        <f t="shared" si="122"/>
        <v>0</v>
      </c>
    </row>
    <row r="354" spans="15:26" x14ac:dyDescent="0.25">
      <c r="O354" s="871"/>
      <c r="P354" s="868"/>
      <c r="Q354" s="235" t="s">
        <v>126</v>
      </c>
      <c r="R354" s="234" t="s">
        <v>236</v>
      </c>
      <c r="S354" s="191">
        <f t="array" ref="S354">SUM(IF((D10:D35=80317)*(B10:B35="Excavation"),G10:G35,0))</f>
        <v>0</v>
      </c>
      <c r="T354" s="191">
        <f t="array" ref="T354">SUM(IF((D10:D35=80317)*(B10:B35="Excavation"),H10:H35,0))</f>
        <v>0</v>
      </c>
      <c r="U354" s="191">
        <f t="array" ref="U354">SUM(IF((D10:D35=80317)*(B10:B35="Excavation"),I10:I35,0))</f>
        <v>0</v>
      </c>
      <c r="V354" s="191">
        <f t="array" ref="V354">SUM(IF((D10:D35=80317)*(B10:B35="Excavation"),J10:J35,0))</f>
        <v>0</v>
      </c>
      <c r="W354" s="191">
        <f t="array" ref="W354">SUM(IF((D10:D35=80317)*(B10:B35="Excavation"),K10:K35,0))</f>
        <v>0</v>
      </c>
      <c r="X354" s="191">
        <f t="array" ref="X354">SUM(IF((D10:D35=80317)*(B10:B35="Excavation"),L10:L35,0))</f>
        <v>0</v>
      </c>
      <c r="Y354" s="192">
        <f t="shared" si="121"/>
        <v>0</v>
      </c>
      <c r="Z354" s="501">
        <f t="shared" si="122"/>
        <v>0</v>
      </c>
    </row>
    <row r="355" spans="15:26" ht="13.8" thickBot="1" x14ac:dyDescent="0.3">
      <c r="O355" s="874"/>
      <c r="P355" s="869"/>
      <c r="Q355" s="235" t="s">
        <v>126</v>
      </c>
      <c r="R355" s="234" t="s">
        <v>237</v>
      </c>
      <c r="S355" s="191">
        <f t="array" ref="S355">SUM(IF((D10:D35=80317)*(B10:B35="Construction"),G10:G35,0))</f>
        <v>0</v>
      </c>
      <c r="T355" s="191">
        <f t="array" ref="T355">SUM(IF((D10:D35=80317)*(B10:B35="Construction"),H10:H35,0))</f>
        <v>0</v>
      </c>
      <c r="U355" s="191">
        <f t="array" ref="U355">SUM(IF((D10:D35=80317)*(B10:B35="Construction"),I10:I35,0))</f>
        <v>0</v>
      </c>
      <c r="V355" s="191">
        <f t="array" ref="V355">SUM(IF((D10:D35=80317)*(B10:B35="Construction"),J10:J35,0))</f>
        <v>0</v>
      </c>
      <c r="W355" s="191">
        <f t="array" ref="W355">SUM(IF((D10:D35=80317)*(B10:B35="Construction"),K10:K35,0))</f>
        <v>0</v>
      </c>
      <c r="X355" s="191">
        <f t="array" ref="X355">SUM(IF((D10:D35=80317)*(B10:B35="Construction"),L10:L35,0))</f>
        <v>0</v>
      </c>
      <c r="Y355" s="192">
        <f t="shared" si="121"/>
        <v>0</v>
      </c>
      <c r="Z355" s="501">
        <f t="shared" si="122"/>
        <v>0</v>
      </c>
    </row>
    <row r="356" spans="15:26" x14ac:dyDescent="0.25">
      <c r="O356" s="865" t="s">
        <v>205</v>
      </c>
      <c r="P356" s="867">
        <v>200304</v>
      </c>
      <c r="Q356" s="235" t="s">
        <v>123</v>
      </c>
      <c r="R356" s="231" t="s">
        <v>235</v>
      </c>
      <c r="S356" s="232">
        <f t="array" ref="S356">SUM(IF((D10:D35=200304)*(B10:B35="Demolition"),G10:G35,0))</f>
        <v>0</v>
      </c>
      <c r="T356" s="232">
        <f t="array" ref="T356">SUM(IF((D10:D35=200304)*(B10:B35="Demolition"),H10:H35,0))</f>
        <v>0</v>
      </c>
      <c r="U356" s="232">
        <f t="array" ref="U356">SUM(IF((D10:D35=200304)*(B10:B35="Demolition"),I10:I35,0))</f>
        <v>0</v>
      </c>
      <c r="V356" s="232">
        <f t="array" ref="V356">SUM(IF((D10:D35=200304)*(B10:B35="Demolition"),J10:J35,0))</f>
        <v>0</v>
      </c>
      <c r="W356" s="232">
        <f t="array" ref="W356">SUM(IF((D10:D35=200304)*(B10:B35="Demolition"),K10:K35,0))</f>
        <v>0</v>
      </c>
      <c r="X356" s="232">
        <f t="array" ref="X356">SUM(IF((D10:D35=200304)*(B10:B35="Demolition"),L10:L35,0))</f>
        <v>0</v>
      </c>
      <c r="Y356" s="192">
        <f t="shared" si="121"/>
        <v>0</v>
      </c>
      <c r="Z356" s="501">
        <f t="shared" si="122"/>
        <v>0</v>
      </c>
    </row>
    <row r="357" spans="15:26" x14ac:dyDescent="0.25">
      <c r="O357" s="871"/>
      <c r="P357" s="868"/>
      <c r="Q357" s="235" t="s">
        <v>123</v>
      </c>
      <c r="R357" s="234" t="s">
        <v>236</v>
      </c>
      <c r="S357" s="191">
        <f t="array" ref="S357">SUM(IF((D10:D35=200304)*(B10:B35="Excavation"),G10:G35,0))</f>
        <v>0</v>
      </c>
      <c r="T357" s="191">
        <f t="array" ref="T357">SUM(IF((D10:D35=200304)*(B10:B35="Excavation"),H10:H35,0))</f>
        <v>0</v>
      </c>
      <c r="U357" s="191">
        <f t="array" ref="U357">SUM(IF((D10:D35=200304)*(B10:B35="Excavation"),I10:I35,0))</f>
        <v>0</v>
      </c>
      <c r="V357" s="191">
        <f t="array" ref="V357">SUM(IF((D10:D35=200304)*(B10:B35="Excavation"),J10:J35,0))</f>
        <v>0</v>
      </c>
      <c r="W357" s="191">
        <f t="array" ref="W357">SUM(IF((D10:D35=200304)*(B10:B35="Excavation"),K10:K35,0))</f>
        <v>0</v>
      </c>
      <c r="X357" s="191">
        <f t="array" ref="X357">SUM(IF((D10:D35=200304)*(B10:B35="Excavation"),L10:L35,0))</f>
        <v>0</v>
      </c>
      <c r="Y357" s="192">
        <f t="shared" si="121"/>
        <v>0</v>
      </c>
      <c r="Z357" s="501">
        <f t="shared" si="122"/>
        <v>0</v>
      </c>
    </row>
    <row r="358" spans="15:26" ht="13.8" thickBot="1" x14ac:dyDescent="0.3">
      <c r="O358" s="874"/>
      <c r="P358" s="869"/>
      <c r="Q358" s="235" t="s">
        <v>123</v>
      </c>
      <c r="R358" s="234" t="s">
        <v>237</v>
      </c>
      <c r="S358" s="191">
        <f t="array" ref="S358">SUM(IF((D10:D35=200304)*(B10:B35="Construction"),G10:G35,0))</f>
        <v>0</v>
      </c>
      <c r="T358" s="191">
        <f t="array" ref="T358">SUM(IF((D10:D35=200304)*(B10:B35="Construction"),H10:H35,0))</f>
        <v>0</v>
      </c>
      <c r="U358" s="191">
        <f t="array" ref="U358">SUM(IF((D10:D35=200304)*(B10:B35="Construction"),I10:I35,0))</f>
        <v>0</v>
      </c>
      <c r="V358" s="191">
        <f t="array" ref="V358">SUM(IF((D10:D35=200304)*(B10:B35="Construction"),J10:J35,0))</f>
        <v>0</v>
      </c>
      <c r="W358" s="191">
        <f t="array" ref="W358">SUM(IF((D10:D35=200304)*(B10:B35="Construction"),K10:K35,0))</f>
        <v>0</v>
      </c>
      <c r="X358" s="191">
        <f t="array" ref="X358">SUM(IF((D10:D35=200304)*(B10:B35="Construction"),L10:L35,0))</f>
        <v>0</v>
      </c>
      <c r="Y358" s="192">
        <f t="shared" si="121"/>
        <v>0</v>
      </c>
      <c r="Z358" s="501">
        <f t="shared" si="122"/>
        <v>0</v>
      </c>
    </row>
    <row r="359" spans="15:26" x14ac:dyDescent="0.25">
      <c r="O359" s="865" t="s">
        <v>238</v>
      </c>
      <c r="P359" s="867">
        <v>161002</v>
      </c>
      <c r="Q359" s="235" t="s">
        <v>123</v>
      </c>
      <c r="R359" s="231" t="s">
        <v>235</v>
      </c>
      <c r="S359" s="232">
        <f t="array" ref="S359">SUM(IF((D10:D35=161002)*(B10:B35="Demolition"),G10:G35,0))</f>
        <v>0</v>
      </c>
      <c r="T359" s="232">
        <f t="array" ref="T359">SUM(IF((D10:D35=161002)*(B10:B35="Demolition"),H10:H35,0))</f>
        <v>0</v>
      </c>
      <c r="U359" s="232">
        <f t="array" ref="U359">SUM(IF((D10:D35=161002)*(B10:B35="Demolition"),I10:I35,0))</f>
        <v>0</v>
      </c>
      <c r="V359" s="232">
        <f t="array" ref="V359">SUM(IF((D10:D35=161002)*(B10:B35="Demolition"),J10:J35,0))</f>
        <v>0</v>
      </c>
      <c r="W359" s="232">
        <f t="array" ref="W359">SUM(IF((D10:D35=161002)*(B10:B35="Demolition"),K10:K35,0))</f>
        <v>0</v>
      </c>
      <c r="X359" s="232">
        <f t="array" ref="X359">SUM(IF((D10:D35=161002)*(B10:B35="Demolition"),L10:L35,0))</f>
        <v>0</v>
      </c>
      <c r="Y359" s="192">
        <f t="shared" si="121"/>
        <v>0</v>
      </c>
      <c r="Z359" s="501">
        <f t="shared" si="122"/>
        <v>0</v>
      </c>
    </row>
    <row r="360" spans="15:26" x14ac:dyDescent="0.25">
      <c r="O360" s="871"/>
      <c r="P360" s="868"/>
      <c r="Q360" s="235" t="s">
        <v>123</v>
      </c>
      <c r="R360" s="234" t="s">
        <v>236</v>
      </c>
      <c r="S360" s="191">
        <f t="array" ref="S360">SUM(IF((D10:D35=161002)*(B10:B35="Excavation"),G10:G35,0))</f>
        <v>0</v>
      </c>
      <c r="T360" s="191">
        <f t="array" ref="T360">SUM(IF((D10:D35=161002)*(B10:B35="Excavation"),H10:H35,0))</f>
        <v>0</v>
      </c>
      <c r="U360" s="191">
        <f t="array" ref="U360">SUM(IF((D10:D35=161002)*(B10:B35="Excavation"),I10:I35,0))</f>
        <v>0</v>
      </c>
      <c r="V360" s="191">
        <f t="array" ref="V360">SUM(IF((D10:D35=161002)*(B10:B35="Excavation"),J10:J35,0))</f>
        <v>0</v>
      </c>
      <c r="W360" s="191">
        <f t="array" ref="W360">SUM(IF((D10:D35=161002)*(B10:B35="Excavation"),K10:K35,0))</f>
        <v>0</v>
      </c>
      <c r="X360" s="191">
        <f t="array" ref="X360">SUM(IF((D10:D35=161002)*(B10:B35="Excavation"),L10:L35,0))</f>
        <v>0</v>
      </c>
      <c r="Y360" s="192">
        <f t="shared" si="121"/>
        <v>0</v>
      </c>
      <c r="Z360" s="501">
        <f t="shared" si="122"/>
        <v>0</v>
      </c>
    </row>
    <row r="361" spans="15:26" ht="13.8" thickBot="1" x14ac:dyDescent="0.3">
      <c r="O361" s="874"/>
      <c r="P361" s="869"/>
      <c r="Q361" s="235" t="s">
        <v>123</v>
      </c>
      <c r="R361" s="234" t="s">
        <v>237</v>
      </c>
      <c r="S361" s="191">
        <f t="array" ref="S361">SUM(IF((D10:D35=161002)*(B10:B35="Construction"),G10:G35,0))</f>
        <v>0</v>
      </c>
      <c r="T361" s="191">
        <f t="array" ref="T361">SUM(IF((D10:D35=161002)*(B10:B35="Construction"),H10:H35,0))</f>
        <v>0</v>
      </c>
      <c r="U361" s="191">
        <f t="array" ref="U361">SUM(IF((D10:D35=161002)*(B10:B35="Construction"),I10:I35,0))</f>
        <v>0</v>
      </c>
      <c r="V361" s="191">
        <f t="array" ref="V361">SUM(IF((D10:D35=161002)*(B10:B35="Construction"),J10:J35,0))</f>
        <v>0</v>
      </c>
      <c r="W361" s="191">
        <f t="array" ref="W361">SUM(IF((D10:D35=161002)*(B10:B35="Construction"),K10:K35,0))</f>
        <v>0</v>
      </c>
      <c r="X361" s="191">
        <f t="array" ref="X361">SUM(IF((D10:D35=161002)*(B10:B35="Construction"),L10:L35,0))</f>
        <v>0</v>
      </c>
      <c r="Y361" s="192">
        <f t="shared" si="121"/>
        <v>0</v>
      </c>
      <c r="Z361" s="501">
        <f t="shared" si="122"/>
        <v>0</v>
      </c>
    </row>
    <row r="362" spans="15:26" x14ac:dyDescent="0.25">
      <c r="O362" s="865" t="s">
        <v>207</v>
      </c>
      <c r="P362" s="867">
        <v>200301</v>
      </c>
      <c r="Q362" s="235" t="s">
        <v>123</v>
      </c>
      <c r="R362" s="231" t="s">
        <v>235</v>
      </c>
      <c r="S362" s="232">
        <f t="array" ref="S362">SUM(IF((A10:A35="Site Office / Welfare waste")*(B10:B35="Demolition"),G10:G35,0))</f>
        <v>0</v>
      </c>
      <c r="T362" s="232">
        <f t="array" ref="T362">SUM(IF((A10:A35="Site Office / Welfare waste")*(B10:B35="Demolition"),H10:H35,0))</f>
        <v>0</v>
      </c>
      <c r="U362" s="232">
        <f t="array" ref="U362">SUM(IF((A10:A35="Site Office / Welfare waste")*(B10:B35="Demolition"),I10:I35,0))</f>
        <v>0</v>
      </c>
      <c r="V362" s="232">
        <f t="array" ref="V362">SUM(IF((A10:A35="Site Office / Welfare waste")*(B10:B35="Demolition"),J10:J35,0))</f>
        <v>0</v>
      </c>
      <c r="W362" s="232">
        <f t="array" ref="W362">SUM(IF((A10:A35="Site Office / Welfare waste")*(B10:B35="Demolition"),K10:K35,0))</f>
        <v>0</v>
      </c>
      <c r="X362" s="232">
        <f t="array" ref="X362">SUM(IF((A10:A35="Site Office / Welfare waste")*(B10:B35="Demolition"),L10:L35,0))</f>
        <v>0</v>
      </c>
      <c r="Y362" s="192">
        <f t="shared" si="121"/>
        <v>0</v>
      </c>
      <c r="Z362" s="501">
        <f t="shared" si="122"/>
        <v>0</v>
      </c>
    </row>
    <row r="363" spans="15:26" x14ac:dyDescent="0.25">
      <c r="O363" s="871"/>
      <c r="P363" s="868"/>
      <c r="Q363" s="235" t="s">
        <v>123</v>
      </c>
      <c r="R363" s="234" t="s">
        <v>236</v>
      </c>
      <c r="S363" s="191">
        <f t="array" ref="S363">SUM(IF((A10:A35="Site Office / Welfare waste")*(B10:B35="Excavation"),G10:G35,0))</f>
        <v>0</v>
      </c>
      <c r="T363" s="191">
        <f t="array" ref="T363">SUM(IF((A10:A35="Site Office / Welfare waste")*(B10:B35="Excavation"),H10:H35,0))</f>
        <v>0</v>
      </c>
      <c r="U363" s="191">
        <f t="array" ref="U363">SUM(IF((A10:A35="Site Office / Welfare waste")*(B10:B35="Excavation"),I10:I35,0))</f>
        <v>0</v>
      </c>
      <c r="V363" s="191">
        <f t="array" ref="V363">SUM(IF((A10:A35="Site Office / Welfare waste")*(B10:B35="Excavation"),J10:J35,0))</f>
        <v>0</v>
      </c>
      <c r="W363" s="191">
        <f t="array" ref="W363">SUM(IF((A10:A35="Site Office / Welfare waste")*(B10:B35="Excavation"),K10:K35,0))</f>
        <v>0</v>
      </c>
      <c r="X363" s="191">
        <f t="array" ref="X363">SUM(IF((A10:A35="Site Office / Welfare waste")*(B10:B35="Excavation"),L10:L35,0))</f>
        <v>0</v>
      </c>
      <c r="Y363" s="192">
        <f t="shared" si="121"/>
        <v>0</v>
      </c>
      <c r="Z363" s="501">
        <f t="shared" si="122"/>
        <v>0</v>
      </c>
    </row>
    <row r="364" spans="15:26" ht="13.8" thickBot="1" x14ac:dyDescent="0.3">
      <c r="O364" s="874"/>
      <c r="P364" s="869"/>
      <c r="Q364" s="235" t="s">
        <v>123</v>
      </c>
      <c r="R364" s="234" t="s">
        <v>237</v>
      </c>
      <c r="S364" s="191">
        <f t="array" ref="S364">SUM(IF((A10:A35="Site Office / Welfare waste")*(B10:B35="Construction"),G10:G35,0))</f>
        <v>0</v>
      </c>
      <c r="T364" s="191">
        <f t="array" ref="T364">SUM(IF((A10:A35="Site Office / Welfare waste")*(B10:B35="Construction"),H10:H35,0))</f>
        <v>0</v>
      </c>
      <c r="U364" s="191">
        <f t="array" ref="U364">SUM(IF((A10:A35="Site Office / Welfare waste")*(B10:B35="Construction"),I10:I35,0))</f>
        <v>0</v>
      </c>
      <c r="V364" s="191">
        <f t="array" ref="V364">SUM(IF((A10:A35="Site Office / Welfare waste")*(B10:B35="Construction"),J10:J35,0))</f>
        <v>0</v>
      </c>
      <c r="W364" s="191">
        <f t="array" ref="W364">SUM(IF((A10:A35="Site Office / Welfare waste")*(B10:B35="Construction"),K10:K35,0))</f>
        <v>0</v>
      </c>
      <c r="X364" s="191">
        <f t="array" ref="X364">SUM(IF((A10:A35="Site Office / Welfare waste")*(B10:B35="Construction"),L10:L35,0))</f>
        <v>0</v>
      </c>
      <c r="Y364" s="192">
        <f t="shared" si="121"/>
        <v>0</v>
      </c>
      <c r="Z364" s="501">
        <f t="shared" si="122"/>
        <v>0</v>
      </c>
    </row>
    <row r="365" spans="15:26" x14ac:dyDescent="0.25">
      <c r="O365" s="865" t="s">
        <v>208</v>
      </c>
      <c r="P365" s="867">
        <v>170503</v>
      </c>
      <c r="Q365" s="235" t="s">
        <v>126</v>
      </c>
      <c r="R365" s="231" t="s">
        <v>235</v>
      </c>
      <c r="S365" s="232">
        <f t="array" ref="S365">SUM(IF((D10:D35=170503)*(B10:B35="Demolition"),G10:G35,0))</f>
        <v>0</v>
      </c>
      <c r="T365" s="232">
        <f t="array" ref="T365">SUM(IF((D10:D35=170503)*(B10:B35="Demolition"),H10:H35,0))</f>
        <v>0</v>
      </c>
      <c r="U365" s="232">
        <f t="array" ref="U365">SUM(IF((D10:D35=170503)*(B10:B35="Demolition"),I10:I35,0))</f>
        <v>0</v>
      </c>
      <c r="V365" s="232">
        <f t="array" ref="V365">SUM(IF((D10:D35=170503)*(B10:B35="Demolition"),J10:J35,0))</f>
        <v>0</v>
      </c>
      <c r="W365" s="232">
        <f t="array" ref="W365">SUM(IF((D10:D35=170503)*(B10:B35="Demolition"),K10:K35,0))</f>
        <v>0</v>
      </c>
      <c r="X365" s="232">
        <f t="array" ref="X365">SUM(IF((D10:D35=170503)*(B10:B35="Demolition"),L10:L35,0))</f>
        <v>0</v>
      </c>
      <c r="Y365" s="192">
        <f t="shared" si="121"/>
        <v>0</v>
      </c>
      <c r="Z365" s="501">
        <f t="shared" si="122"/>
        <v>0</v>
      </c>
    </row>
    <row r="366" spans="15:26" x14ac:dyDescent="0.25">
      <c r="O366" s="871"/>
      <c r="P366" s="868"/>
      <c r="Q366" s="235" t="s">
        <v>126</v>
      </c>
      <c r="R366" s="234" t="s">
        <v>236</v>
      </c>
      <c r="S366" s="191">
        <f t="array" ref="S366">SUM(IF((D10:D35=170503)*(B10:B35="Excavation"),G10:G35,0))</f>
        <v>0</v>
      </c>
      <c r="T366" s="191">
        <f t="array" ref="T366">SUM(IF((D10:D35=170503)*(B10:B35="Excavation"),H10:H35,0))</f>
        <v>0</v>
      </c>
      <c r="U366" s="191">
        <f t="array" ref="U366">SUM(IF((D10:D35=170503)*(B10:B35="Excavation"),I10:I35,0))</f>
        <v>0</v>
      </c>
      <c r="V366" s="191">
        <f t="array" ref="V366">SUM(IF((D10:D35=170503)*(B10:B35="Excavation"),J10:J35,0))</f>
        <v>0</v>
      </c>
      <c r="W366" s="191">
        <f t="array" ref="W366">SUM(IF((D10:D35=170503)*(B10:B35="Excavation"),K10:K35,0))</f>
        <v>0</v>
      </c>
      <c r="X366" s="191">
        <f t="array" ref="X366">SUM(IF((D10:D35=170503)*(B10:B35="Excavation"),L10:L35,0))</f>
        <v>0</v>
      </c>
      <c r="Y366" s="192">
        <f t="shared" si="121"/>
        <v>0</v>
      </c>
      <c r="Z366" s="501">
        <f t="shared" si="122"/>
        <v>0</v>
      </c>
    </row>
    <row r="367" spans="15:26" ht="13.8" thickBot="1" x14ac:dyDescent="0.3">
      <c r="O367" s="874"/>
      <c r="P367" s="869"/>
      <c r="Q367" s="235" t="s">
        <v>126</v>
      </c>
      <c r="R367" s="234" t="s">
        <v>237</v>
      </c>
      <c r="S367" s="191">
        <f t="array" ref="S367">SUM(IF((D10:D35=170503)*(B10:B35="Construction"),G10:G35,0))</f>
        <v>0</v>
      </c>
      <c r="T367" s="191">
        <f t="array" ref="T367">SUM(IF((D10:D35=170503)*(B10:B35="Construction"),H10:H35,0))</f>
        <v>0</v>
      </c>
      <c r="U367" s="191">
        <f t="array" ref="U367">SUM(IF((D10:D35=170503)*(B10:B35="Construction"),I10:I35,0))</f>
        <v>0</v>
      </c>
      <c r="V367" s="191">
        <f t="array" ref="V367">SUM(IF((D10:D35=170503)*(B10:B35="Construction"),J10:J35,0))</f>
        <v>0</v>
      </c>
      <c r="W367" s="191">
        <f t="array" ref="W367">SUM(IF((D10:D35=170503)*(B10:B35="Construction"),K10:K35,0))</f>
        <v>0</v>
      </c>
      <c r="X367" s="191">
        <f t="array" ref="X367">SUM(IF((D10:D35=170503)*(B10:B35="Construction"),L10:L35,0))</f>
        <v>0</v>
      </c>
      <c r="Y367" s="192">
        <f t="shared" si="121"/>
        <v>0</v>
      </c>
      <c r="Z367" s="501">
        <f t="shared" si="122"/>
        <v>0</v>
      </c>
    </row>
    <row r="368" spans="15:26" x14ac:dyDescent="0.25">
      <c r="O368" s="865" t="s">
        <v>239</v>
      </c>
      <c r="P368" s="867">
        <v>170504</v>
      </c>
      <c r="Q368" s="235" t="s">
        <v>141</v>
      </c>
      <c r="R368" s="231" t="s">
        <v>235</v>
      </c>
      <c r="S368" s="232">
        <f t="array" ref="S368">SUM(IF((D10:D35=170504)*(E10:E35="I")*(B10:B35="Demolition"),G10:G35,0))</f>
        <v>0</v>
      </c>
      <c r="T368" s="232">
        <f t="array" ref="T368">SUM(IF((D10:D35=170504)*(E10:E35="I")*(B10:B35="Demolition"),H10:H35,0))</f>
        <v>0</v>
      </c>
      <c r="U368" s="232">
        <f t="array" ref="U368">SUM(IF((D10:D35=170504)*(E10:E35="I")*(B10:B35="Demolition"),I10:I35,0))</f>
        <v>0</v>
      </c>
      <c r="V368" s="232">
        <f t="array" ref="V368">SUM(IF((D10:D35=170504)*(E10:E35="I")*(B10:B35="Demolition"),J10:J35,0))</f>
        <v>0</v>
      </c>
      <c r="W368" s="232">
        <f t="array" ref="W368">SUM(IF((D10:D35=170504)*(E10:E35="I")*(B10:B35="Demolition"),K10:K35,0))</f>
        <v>0</v>
      </c>
      <c r="X368" s="232">
        <f t="array" ref="X368">SUM(IF((D10:D35=170504)*(E10:E35="I")*(B10:B35="Demolition"),L10:L35,0))</f>
        <v>0</v>
      </c>
      <c r="Y368" s="192">
        <f t="shared" si="121"/>
        <v>0</v>
      </c>
      <c r="Z368" s="501">
        <f t="shared" si="122"/>
        <v>0</v>
      </c>
    </row>
    <row r="369" spans="15:26" x14ac:dyDescent="0.25">
      <c r="O369" s="871"/>
      <c r="P369" s="868"/>
      <c r="Q369" s="235" t="s">
        <v>141</v>
      </c>
      <c r="R369" s="234" t="s">
        <v>236</v>
      </c>
      <c r="S369" s="191">
        <f t="array" ref="S369">SUM(IF((D10:D35=170504)*(E10:E35="I")*(B10:B35="Excavation"),G10:G35,0))</f>
        <v>0</v>
      </c>
      <c r="T369" s="191">
        <f t="array" ref="T369">SUM(IF((D10:D35=170504)*(E10:E35="I")*(B10:B35="Excavation"),H10:H35,0))</f>
        <v>0</v>
      </c>
      <c r="U369" s="191">
        <f t="array" ref="U369">SUM(IF((D10:D35=170504)*(E10:E35="I")*(B10:B35="Excavation"),I10:I35,0))</f>
        <v>0</v>
      </c>
      <c r="V369" s="191">
        <f t="array" ref="V369">SUM(IF((D10:D35=170504)*(E10:E35="I")*(B10:B35="Excavation"),J10:J35,0))</f>
        <v>0</v>
      </c>
      <c r="W369" s="191">
        <f t="array" ref="W369">SUM(IF((D10:D35=170504)*(E10:E35="I")*(B10:B35="Excavation"),K10:K35,0))</f>
        <v>0</v>
      </c>
      <c r="X369" s="191">
        <f t="array" ref="X369">SUM(IF((D10:D35=170504)*(E10:E35="I")*(B10:B35="Excavation"),L10:L35,0))</f>
        <v>0</v>
      </c>
      <c r="Y369" s="192">
        <f>S369+T369+U369+V369+X369</f>
        <v>0</v>
      </c>
      <c r="Z369" s="501">
        <f>T369+V369+X369</f>
        <v>0</v>
      </c>
    </row>
    <row r="370" spans="15:26" ht="13.8" thickBot="1" x14ac:dyDescent="0.3">
      <c r="O370" s="874"/>
      <c r="P370" s="869"/>
      <c r="Q370" s="235" t="s">
        <v>141</v>
      </c>
      <c r="R370" s="234" t="s">
        <v>237</v>
      </c>
      <c r="S370" s="191">
        <f t="array" ref="S370">SUM(IF((D10:D35=170504)*(E10:E35="I")*(B10:B35="Construction"),G10:G35,0))</f>
        <v>0</v>
      </c>
      <c r="T370" s="191">
        <f t="array" ref="T370">SUM(IF((D10:D35=170504)*(E10:E35="I")*(B10:B35="Construction"),H10:H35,0))</f>
        <v>0</v>
      </c>
      <c r="U370" s="191">
        <f t="array" ref="U370">SUM(IF((D10:D35=170504)*(E10:E35="I")*(B10:B35="Construction"),I10:I35,0))</f>
        <v>0</v>
      </c>
      <c r="V370" s="191">
        <f t="array" ref="V370">SUM(IF((D10:D35=170504)*(E10:E35="I")*(B10:B35="Construction"),J10:J35,0))</f>
        <v>0</v>
      </c>
      <c r="W370" s="191">
        <f t="array" ref="W370">SUM(IF((D10:D35=170504)*(E10:E35="I")*(B10:B35="Construction"),K10:K35,0))</f>
        <v>0</v>
      </c>
      <c r="X370" s="191">
        <f t="array" ref="X370">SUM(IF((D10:D35=170504)*(E10:E35="I")*(B10:B35="Construction"),L10:L35,0))</f>
        <v>0</v>
      </c>
      <c r="Y370" s="192">
        <f t="shared" ref="Y370:Y433" si="123">S370+T370+U370+V370+X370</f>
        <v>0</v>
      </c>
      <c r="Z370" s="501">
        <f t="shared" ref="Z370:Z433" si="124">T370+V370+X370</f>
        <v>0</v>
      </c>
    </row>
    <row r="371" spans="15:26" x14ac:dyDescent="0.25">
      <c r="O371" s="865" t="s">
        <v>210</v>
      </c>
      <c r="P371" s="867">
        <v>150202</v>
      </c>
      <c r="Q371" s="235" t="s">
        <v>126</v>
      </c>
      <c r="R371" s="231" t="s">
        <v>235</v>
      </c>
      <c r="S371" s="232">
        <f t="array" ref="S371">SUM(IF((D10:D35=150202)*(B10:B35="Demolition"),G10:G35,0))</f>
        <v>0</v>
      </c>
      <c r="T371" s="232">
        <f t="array" ref="T371">SUM(IF((D10:D35=150202)*(B10:B35="Demolition"),H10:H35,0))</f>
        <v>0</v>
      </c>
      <c r="U371" s="232">
        <f t="array" ref="U371">SUM(IF((D10:D35=150202)*(B10:B35="Demolition"),I10:I35,0))</f>
        <v>0</v>
      </c>
      <c r="V371" s="232">
        <f t="array" ref="V371">SUM(IF((D10:D35=150202)*(B10:B35="Demolition"),J10:J35,0))</f>
        <v>0</v>
      </c>
      <c r="W371" s="232">
        <f t="array" ref="W371">SUM(IF((D10:D35=150202)*(B10:B35="Demolition"),K10:K35,0))</f>
        <v>0</v>
      </c>
      <c r="X371" s="232">
        <f t="array" ref="X371">SUM(IF((D10:D35=150202)*(B10:B35="Demolition"),L10:L35,0))</f>
        <v>0</v>
      </c>
      <c r="Y371" s="192">
        <f t="shared" si="123"/>
        <v>0</v>
      </c>
      <c r="Z371" s="501">
        <f t="shared" si="124"/>
        <v>0</v>
      </c>
    </row>
    <row r="372" spans="15:26" x14ac:dyDescent="0.25">
      <c r="O372" s="871"/>
      <c r="P372" s="868"/>
      <c r="Q372" s="235" t="s">
        <v>126</v>
      </c>
      <c r="R372" s="234" t="s">
        <v>236</v>
      </c>
      <c r="S372" s="191">
        <f t="array" ref="S372">SUM(IF((D10:D35=150202)*(B10:B35="Excavation"),G10:G35,0))</f>
        <v>0</v>
      </c>
      <c r="T372" s="191">
        <f t="array" ref="T372">SUM(IF((D10:D35=150202)*(B10:B35="Excavation"),H10:H35,0))</f>
        <v>0</v>
      </c>
      <c r="U372" s="191">
        <f t="array" ref="U372">SUM(IF((D10:D35=150202)*(B10:B35="Excavation"),I10:I35,0))</f>
        <v>0</v>
      </c>
      <c r="V372" s="191">
        <f t="array" ref="V372">SUM(IF((D10:D35=150202)*(B10:B35="Excavation"),J10:J35,0))</f>
        <v>0</v>
      </c>
      <c r="W372" s="191">
        <f t="array" ref="W372">SUM(IF((D10:D35=150202)*(B10:B35="Excavation"),K10:K35,0))</f>
        <v>0</v>
      </c>
      <c r="X372" s="191">
        <f t="array" ref="X372">SUM(IF((D10:D35=150202)*(B10:B35="Excavation"),L10:L35,0))</f>
        <v>0</v>
      </c>
      <c r="Y372" s="192">
        <f t="shared" si="123"/>
        <v>0</v>
      </c>
      <c r="Z372" s="501">
        <f t="shared" si="124"/>
        <v>0</v>
      </c>
    </row>
    <row r="373" spans="15:26" ht="13.8" thickBot="1" x14ac:dyDescent="0.3">
      <c r="O373" s="874"/>
      <c r="P373" s="869"/>
      <c r="Q373" s="235" t="s">
        <v>126</v>
      </c>
      <c r="R373" s="234" t="s">
        <v>237</v>
      </c>
      <c r="S373" s="191">
        <f t="array" ref="S373">SUM(IF((D10:D35=150202)*(B10:B35="Construction"),G10:G35,0))</f>
        <v>0</v>
      </c>
      <c r="T373" s="191">
        <f t="array" ref="T373">SUM(IF((D10:D35=150202)*(B10:B35="Construction"),H10:H35,0))</f>
        <v>0</v>
      </c>
      <c r="U373" s="191">
        <f t="array" ref="U373">SUM(IF((D10:D35=150202)*(B10:B35="Construction"),I10:I35,0))</f>
        <v>0</v>
      </c>
      <c r="V373" s="191">
        <f t="array" ref="V373">SUM(IF((D10:D35=150202)*(B10:B35="Construction"),J10:J35,0))</f>
        <v>0</v>
      </c>
      <c r="W373" s="191">
        <f t="array" ref="W373">SUM(IF((D10:D35=150202)*(B10:B35="Construction"),K10:K35,0))</f>
        <v>0</v>
      </c>
      <c r="X373" s="191">
        <f t="array" ref="X373">SUM(IF((D10:D35=150202)*(B10:B35="Construction"),L10:L35,0))</f>
        <v>0</v>
      </c>
      <c r="Y373" s="192">
        <f t="shared" si="123"/>
        <v>0</v>
      </c>
      <c r="Z373" s="501">
        <f t="shared" si="124"/>
        <v>0</v>
      </c>
    </row>
    <row r="374" spans="15:26" x14ac:dyDescent="0.25">
      <c r="O374" s="865" t="s">
        <v>211</v>
      </c>
      <c r="P374" s="867">
        <v>170103</v>
      </c>
      <c r="Q374" s="235" t="s">
        <v>141</v>
      </c>
      <c r="R374" s="231" t="s">
        <v>235</v>
      </c>
      <c r="S374" s="232">
        <f t="array" ref="S374">SUM(IF((D10:D35=170103)*(B10:B35="Demolition"),G10:G35,0))</f>
        <v>0</v>
      </c>
      <c r="T374" s="232">
        <f t="array" ref="T374">SUM(IF((D10:D35=170103)*(B10:B35="Demolition"),H10:H35,0))</f>
        <v>0</v>
      </c>
      <c r="U374" s="232">
        <f t="array" ref="U374">SUM(IF((D10:D35=170103)*(B10:B35="Demolition"),I10:I35,0))</f>
        <v>0</v>
      </c>
      <c r="V374" s="232">
        <f t="array" ref="V374">SUM(IF((D10:D35=170103)*(B10:B35="Demolition"),J10:J35,0))</f>
        <v>0</v>
      </c>
      <c r="W374" s="232">
        <f t="array" ref="W374">SUM(IF((D10:D35=170103)*(B10:B35="Demolition"),K10:K35,0))</f>
        <v>0</v>
      </c>
      <c r="X374" s="232">
        <f t="array" ref="X374">SUM(IF((D10:D35=170103)*(B10:B35="Demolition"),L10:L35,0))</f>
        <v>0</v>
      </c>
      <c r="Y374" s="192">
        <f t="shared" si="123"/>
        <v>0</v>
      </c>
      <c r="Z374" s="501">
        <f t="shared" si="124"/>
        <v>0</v>
      </c>
    </row>
    <row r="375" spans="15:26" x14ac:dyDescent="0.25">
      <c r="O375" s="871"/>
      <c r="P375" s="868"/>
      <c r="Q375" s="235" t="s">
        <v>141</v>
      </c>
      <c r="R375" s="234" t="s">
        <v>236</v>
      </c>
      <c r="S375" s="191">
        <f t="array" ref="S375">SUM(IF((D10:D35=170103)*(B10:B35="Excavation"),G10:G35,0))</f>
        <v>0</v>
      </c>
      <c r="T375" s="191">
        <f t="array" ref="T375">SUM(IF((D10:D35=170103)*(B10:B35="Excavation"),H10:H35,0))</f>
        <v>0</v>
      </c>
      <c r="U375" s="191">
        <f t="array" ref="U375">SUM(IF((D10:D35=170103)*(B10:B35="Excavation"),I10:I35,0))</f>
        <v>0</v>
      </c>
      <c r="V375" s="191">
        <f t="array" ref="V375">SUM(IF((D10:D35=170103)*(B10:B35="Excavation"),J10:J35,0))</f>
        <v>0</v>
      </c>
      <c r="W375" s="191">
        <f t="array" ref="W375">SUM(IF((D10:D35=170103)*(B10:B35="Excavation"),K10:K35,0))</f>
        <v>0</v>
      </c>
      <c r="X375" s="191">
        <f t="array" ref="X375">SUM(IF((D10:D35=170103)*(B10:B35="Excavation"),L10:L35,0))</f>
        <v>0</v>
      </c>
      <c r="Y375" s="192">
        <f t="shared" si="123"/>
        <v>0</v>
      </c>
      <c r="Z375" s="501">
        <f t="shared" si="124"/>
        <v>0</v>
      </c>
    </row>
    <row r="376" spans="15:26" ht="13.8" thickBot="1" x14ac:dyDescent="0.3">
      <c r="O376" s="874"/>
      <c r="P376" s="869"/>
      <c r="Q376" s="235" t="s">
        <v>141</v>
      </c>
      <c r="R376" s="234" t="s">
        <v>237</v>
      </c>
      <c r="S376" s="191">
        <f t="array" ref="S376">SUM(IF((D10:D35=170103)*(B10:B35="Construction"),G10:G35,0))</f>
        <v>0</v>
      </c>
      <c r="T376" s="191">
        <f t="array" ref="T376">SUM(IF((D10:D35=170103)*(B10:B35="Construction"),H10:H35,0))</f>
        <v>0</v>
      </c>
      <c r="U376" s="191">
        <f t="array" ref="U376">SUM(IF((D10:D35=170103)*(B10:B35="Construction"),I10:I35,0))</f>
        <v>0</v>
      </c>
      <c r="V376" s="191">
        <f t="array" ref="V376">SUM(IF((D10:D35=170103)*(B10:B35="Construction"),J10:J35,0))</f>
        <v>0</v>
      </c>
      <c r="W376" s="191">
        <f t="array" ref="W376">SUM(IF((D10:D35=170103)*(B10:B35="Construction"),K10:K35,0))</f>
        <v>0</v>
      </c>
      <c r="X376" s="191">
        <f t="array" ref="X376">SUM(IF((D10:D35=170103)*(B10:B35="Construction"),L10:L35,0))</f>
        <v>0</v>
      </c>
      <c r="Y376" s="192">
        <f t="shared" si="123"/>
        <v>0</v>
      </c>
      <c r="Z376" s="501">
        <f t="shared" si="124"/>
        <v>0</v>
      </c>
    </row>
    <row r="377" spans="15:26" x14ac:dyDescent="0.25">
      <c r="O377" s="865" t="s">
        <v>212</v>
      </c>
      <c r="P377" s="867">
        <v>170508</v>
      </c>
      <c r="Q377" s="235" t="s">
        <v>141</v>
      </c>
      <c r="R377" s="231" t="s">
        <v>235</v>
      </c>
      <c r="S377" s="232">
        <f t="array" ref="S377">SUM(IF((D10:D35=170508)*(B10:B35="Demolition"),G10:G35,0))</f>
        <v>0</v>
      </c>
      <c r="T377" s="232">
        <f t="array" ref="T377">SUM(IF((D10:D35=170508)*(B10:B35="Demolition"),H10:H35,0))</f>
        <v>0</v>
      </c>
      <c r="U377" s="232">
        <f t="array" ref="U377">SUM(IF((D10:D35=170508)*(B10:B35="Demolition"),I10:I35,0))</f>
        <v>0</v>
      </c>
      <c r="V377" s="232">
        <f t="array" ref="V377">SUM(IF((D10:D35=170508)*(B10:B35="Demolition"),J10:J35,0))</f>
        <v>0</v>
      </c>
      <c r="W377" s="232">
        <f t="array" ref="W377">SUM(IF((D10:D35=170508)*(B10:B35="Demolition"),K10:K35,0))</f>
        <v>0</v>
      </c>
      <c r="X377" s="232">
        <f t="array" ref="X377">SUM(IF((D10:D35=170508)*(B10:B35="Demolition"),L10:L35,0))</f>
        <v>0</v>
      </c>
      <c r="Y377" s="192">
        <f t="shared" si="123"/>
        <v>0</v>
      </c>
      <c r="Z377" s="501">
        <f t="shared" si="124"/>
        <v>0</v>
      </c>
    </row>
    <row r="378" spans="15:26" x14ac:dyDescent="0.25">
      <c r="O378" s="871"/>
      <c r="P378" s="868"/>
      <c r="Q378" s="235" t="s">
        <v>141</v>
      </c>
      <c r="R378" s="234" t="s">
        <v>236</v>
      </c>
      <c r="S378" s="191">
        <f t="array" ref="S378">SUM(IF((D10:D35=170508)*(B10:B35="Excavation"),G10:G35,0))</f>
        <v>0</v>
      </c>
      <c r="T378" s="191">
        <f t="array" ref="T378">SUM(IF((D10:D35=170508)*(B10:B35="Excavation"),H10:H35,0))</f>
        <v>0</v>
      </c>
      <c r="U378" s="191">
        <f t="array" ref="U378">SUM(IF((D10:D35=170508)*(B10:B35="Excavation"),I10:I35,0))</f>
        <v>0</v>
      </c>
      <c r="V378" s="191">
        <f t="array" ref="V378">SUM(IF((D10:D35=170508)*(B10:B35="Excavation"),J10:J35,0))</f>
        <v>0</v>
      </c>
      <c r="W378" s="191">
        <f t="array" ref="W378">SUM(IF((D10:D35=170508)*(B10:B35="Excavation"),K10:K35,0))</f>
        <v>0</v>
      </c>
      <c r="X378" s="191">
        <f t="array" ref="X378">SUM(IF((D10:D35=170508)*(B10:B35="Excavation"),L10:L35,0))</f>
        <v>0</v>
      </c>
      <c r="Y378" s="192">
        <f t="shared" si="123"/>
        <v>0</v>
      </c>
      <c r="Z378" s="501">
        <f t="shared" si="124"/>
        <v>0</v>
      </c>
    </row>
    <row r="379" spans="15:26" ht="13.8" thickBot="1" x14ac:dyDescent="0.3">
      <c r="O379" s="874"/>
      <c r="P379" s="869"/>
      <c r="Q379" s="235" t="s">
        <v>141</v>
      </c>
      <c r="R379" s="234" t="s">
        <v>237</v>
      </c>
      <c r="S379" s="191">
        <f t="array" ref="S379">SUM(IF((D10:D35=170508)*(B10:B35="Construction"),G10:G35,0))</f>
        <v>0</v>
      </c>
      <c r="T379" s="191">
        <f t="array" ref="T379">SUM(IF((D10:D35=170508)*(B10:B35="Construction"),H10:H35,0))</f>
        <v>0</v>
      </c>
      <c r="U379" s="191">
        <f t="array" ref="U379">SUM(IF((D10:D35=170508)*(B10:B35="Construction"),I10:I35,0))</f>
        <v>0</v>
      </c>
      <c r="V379" s="191">
        <f t="array" ref="V379">SUM(IF((D10:D35=170508)*(B10:B35="Construction"),J10:J35,0))</f>
        <v>0</v>
      </c>
      <c r="W379" s="191">
        <f t="array" ref="W379">SUM(IF((D10:D35=170508)*(B10:B35="Construction"),K10:K35,0))</f>
        <v>0</v>
      </c>
      <c r="X379" s="191">
        <f t="array" ref="X379">SUM(IF((D10:D35=170508)*(B10:B35="Construction"),L10:L35,0))</f>
        <v>0</v>
      </c>
      <c r="Y379" s="192">
        <f t="shared" si="123"/>
        <v>0</v>
      </c>
      <c r="Z379" s="501">
        <f t="shared" si="124"/>
        <v>0</v>
      </c>
    </row>
    <row r="380" spans="15:26" x14ac:dyDescent="0.25">
      <c r="O380" s="865" t="s">
        <v>213</v>
      </c>
      <c r="P380" s="867">
        <v>170507</v>
      </c>
      <c r="Q380" s="235" t="s">
        <v>126</v>
      </c>
      <c r="R380" s="231" t="s">
        <v>235</v>
      </c>
      <c r="S380" s="232">
        <f t="array" ref="S380">SUM(IF((D10:D35=170507)*(B10:B35="Demolition"),G10:G35,0))</f>
        <v>0</v>
      </c>
      <c r="T380" s="232">
        <f t="array" ref="T380">SUM(IF((D10:D35=170507)*(B10:B35="Demolition"),H10:H35,0))</f>
        <v>0</v>
      </c>
      <c r="U380" s="232">
        <f t="array" ref="U380">SUM(IF((D10:D35=170507)*(B10:B35="Demolition"),I10:I35,0))</f>
        <v>0</v>
      </c>
      <c r="V380" s="232">
        <f t="array" ref="V380">SUM(IF((D10:D35=170507)*(B10:B35="Demolition"),J10:J35,0))</f>
        <v>0</v>
      </c>
      <c r="W380" s="232">
        <f t="array" ref="W380">SUM(IF((D10:D35=170507)*(B10:B35="Demolition"),K10:K35,0))</f>
        <v>0</v>
      </c>
      <c r="X380" s="232">
        <f t="array" ref="X380">SUM(IF((D10:D35=170507)*(B10:B35="Demolition"),L10:L35,0))</f>
        <v>0</v>
      </c>
      <c r="Y380" s="192">
        <f t="shared" si="123"/>
        <v>0</v>
      </c>
      <c r="Z380" s="501">
        <f t="shared" si="124"/>
        <v>0</v>
      </c>
    </row>
    <row r="381" spans="15:26" x14ac:dyDescent="0.25">
      <c r="O381" s="871"/>
      <c r="P381" s="868"/>
      <c r="Q381" s="235" t="s">
        <v>126</v>
      </c>
      <c r="R381" s="234" t="s">
        <v>236</v>
      </c>
      <c r="S381" s="191">
        <f t="array" ref="S381">SUM(IF((D10:D35=170507)*(B10:B35="Excavation"),G10:G35,0))</f>
        <v>0</v>
      </c>
      <c r="T381" s="191">
        <f t="array" ref="T381">SUM(IF((D10:D35=170507)*(B10:B35="Excavation"),H10:H35,0))</f>
        <v>0</v>
      </c>
      <c r="U381" s="191">
        <f t="array" ref="U381">SUM(IF((D10:D35=170507)*(B10:B35="Excavation"),I10:I35,0))</f>
        <v>0</v>
      </c>
      <c r="V381" s="191">
        <f t="array" ref="V381">SUM(IF((D10:D35=170507)*(B10:B35="Excavation"),J10:J35,0))</f>
        <v>0</v>
      </c>
      <c r="W381" s="191">
        <f t="array" ref="W381">SUM(IF((D10:D35=170507)*(B10:B35="Excavation"),K10:K35,0))</f>
        <v>0</v>
      </c>
      <c r="X381" s="191">
        <f t="array" ref="X381">SUM(IF((D10:D35=170507)*(B10:B35="Excavation"),L10:L35,0))</f>
        <v>0</v>
      </c>
      <c r="Y381" s="192">
        <f t="shared" si="123"/>
        <v>0</v>
      </c>
      <c r="Z381" s="501">
        <f t="shared" si="124"/>
        <v>0</v>
      </c>
    </row>
    <row r="382" spans="15:26" ht="13.8" thickBot="1" x14ac:dyDescent="0.3">
      <c r="O382" s="874"/>
      <c r="P382" s="869"/>
      <c r="Q382" s="235" t="s">
        <v>126</v>
      </c>
      <c r="R382" s="234" t="s">
        <v>237</v>
      </c>
      <c r="S382" s="191">
        <f t="array" ref="S382">SUM(IF((D10:D35=170507)*(B10:B35="Construction"),G10:G35,0))</f>
        <v>0</v>
      </c>
      <c r="T382" s="191">
        <f t="array" ref="T382">SUM(IF((D10:D35=170507)*(B10:B35="Construction"),H10:H35,0))</f>
        <v>0</v>
      </c>
      <c r="U382" s="191">
        <f t="array" ref="U382">SUM(IF((D10:D35=170507)*(B10:B35="Construction"),I10:I35,0))</f>
        <v>0</v>
      </c>
      <c r="V382" s="191">
        <f t="array" ref="V382">SUM(IF((D10:D35=170507)*(B10:B35="Construction"),J10:J35,0))</f>
        <v>0</v>
      </c>
      <c r="W382" s="191">
        <f t="array" ref="W382">SUM(IF((D10:D35=170507)*(B10:B35="Construction"),K10:K35,0))</f>
        <v>0</v>
      </c>
      <c r="X382" s="191">
        <f t="array" ref="X382">SUM(IF((D10:D35=170507)*(B10:B35="Construction"),L10:L35,0))</f>
        <v>0</v>
      </c>
      <c r="Y382" s="192">
        <f t="shared" si="123"/>
        <v>0</v>
      </c>
      <c r="Z382" s="501">
        <f t="shared" si="124"/>
        <v>0</v>
      </c>
    </row>
    <row r="383" spans="15:26" x14ac:dyDescent="0.25">
      <c r="O383" s="865" t="s">
        <v>214</v>
      </c>
      <c r="P383" s="875">
        <v>160103</v>
      </c>
      <c r="Q383" s="235" t="s">
        <v>123</v>
      </c>
      <c r="R383" s="231" t="s">
        <v>235</v>
      </c>
      <c r="S383" s="232">
        <f t="array" ref="S383">SUM(IF((D10:D35=160103)*(B10:B35="Demolition"),G10:G35,0))</f>
        <v>0</v>
      </c>
      <c r="T383" s="232">
        <f t="array" ref="T383">SUM(IF((D10:D35=160103)*(B10:B35="Demolition"),H10:H35,0))</f>
        <v>0</v>
      </c>
      <c r="U383" s="232">
        <f t="array" ref="U383">SUM(IF((D10:D35=160103)*(B10:B35="Demolition"),I10:I35,0))</f>
        <v>0</v>
      </c>
      <c r="V383" s="232">
        <f t="array" ref="V383">SUM(IF((D10:D35=160103)*(B10:B35="Demolition"),J10:J35,0))</f>
        <v>0</v>
      </c>
      <c r="W383" s="232">
        <f t="array" ref="W383">SUM(IF((D10:D35=160103)*(B10:B35="Demolition"),K10:K35,0))</f>
        <v>0</v>
      </c>
      <c r="X383" s="232">
        <f t="array" ref="X383">SUM(IF((D10:D35=160103)*(B10:B35="Demolition"),L10:L35,0))</f>
        <v>0</v>
      </c>
      <c r="Y383" s="192">
        <f t="shared" si="123"/>
        <v>0</v>
      </c>
      <c r="Z383" s="501">
        <f t="shared" si="124"/>
        <v>0</v>
      </c>
    </row>
    <row r="384" spans="15:26" x14ac:dyDescent="0.25">
      <c r="O384" s="871"/>
      <c r="P384" s="876"/>
      <c r="Q384" s="235" t="s">
        <v>123</v>
      </c>
      <c r="R384" s="234" t="s">
        <v>236</v>
      </c>
      <c r="S384" s="191">
        <f t="array" ref="S384">SUM(IF((D10:D35=160103)*(B10:B35="Excavation"),G10:G35,0))</f>
        <v>0</v>
      </c>
      <c r="T384" s="191">
        <f t="array" ref="T384">SUM(IF((D10:D35=160103)*(B10:B35="Excavation"),H10:H35,0))</f>
        <v>0</v>
      </c>
      <c r="U384" s="191">
        <f t="array" ref="U384">SUM(IF((D10:D35=160103)*(B10:B35="Excavation"),I10:I35,0))</f>
        <v>0</v>
      </c>
      <c r="V384" s="191">
        <f t="array" ref="V384">SUM(IF((D10:D35=160103)*(B10:B35="Excavation"),J10:J35,0))</f>
        <v>0</v>
      </c>
      <c r="W384" s="191">
        <f t="array" ref="W384">SUM(IF((D10:D35=160103)*(B10:B35="Excavation"),K10:K35,0))</f>
        <v>0</v>
      </c>
      <c r="X384" s="191">
        <f t="array" ref="X384">SUM(IF((D10:D35=160103)*(B10:B35="Excavation"),L10:L35,0))</f>
        <v>0</v>
      </c>
      <c r="Y384" s="192">
        <f t="shared" si="123"/>
        <v>0</v>
      </c>
      <c r="Z384" s="501">
        <f t="shared" si="124"/>
        <v>0</v>
      </c>
    </row>
    <row r="385" spans="15:26" ht="13.8" thickBot="1" x14ac:dyDescent="0.3">
      <c r="O385" s="874"/>
      <c r="P385" s="877"/>
      <c r="Q385" s="235" t="s">
        <v>123</v>
      </c>
      <c r="R385" s="234" t="s">
        <v>237</v>
      </c>
      <c r="S385" s="191">
        <f t="array" ref="S385">SUM(IF((D10:D35=160103)*(B10:B35="Construction"),G10:G35,0))</f>
        <v>0</v>
      </c>
      <c r="T385" s="191">
        <f t="array" ref="T385">SUM(IF((D10:D35=160103)*(B10:B35="Construction"),H10:H35,0))</f>
        <v>0</v>
      </c>
      <c r="U385" s="191">
        <f t="array" ref="U385">SUM(IF((D10:D35=160103)*(B10:B35="Construction"),I10:I35,0))</f>
        <v>0</v>
      </c>
      <c r="V385" s="191">
        <f t="array" ref="V385">SUM(IF((D10:D35=160103)*(B10:B35="Construction"),J10:J35,0))</f>
        <v>0</v>
      </c>
      <c r="W385" s="191">
        <f t="array" ref="W385">SUM(IF((D10:D35=160103)*(B10:B35="Construction"),K10:K35,0))</f>
        <v>0</v>
      </c>
      <c r="X385" s="191">
        <f t="array" ref="X385">SUM(IF((D10:D35=160103)*(B10:B35="Construction"),L10:L35,0))</f>
        <v>0</v>
      </c>
      <c r="Y385" s="192">
        <f t="shared" si="123"/>
        <v>0</v>
      </c>
      <c r="Z385" s="501">
        <f t="shared" si="124"/>
        <v>0</v>
      </c>
    </row>
    <row r="386" spans="15:26" x14ac:dyDescent="0.25">
      <c r="O386" s="865" t="s">
        <v>215</v>
      </c>
      <c r="P386" s="867">
        <v>200201</v>
      </c>
      <c r="Q386" s="235" t="s">
        <v>123</v>
      </c>
      <c r="R386" s="231" t="s">
        <v>235</v>
      </c>
      <c r="S386" s="232">
        <f t="array" ref="S386">SUM(IF((D10:D35=200201)*(B10:B35="Demolition"),G10:G35,0))</f>
        <v>0</v>
      </c>
      <c r="T386" s="232">
        <f t="array" ref="T386">SUM(IF((D10:D35=200201)*(B10:B35="Demolition"),H10:H35,0))</f>
        <v>0</v>
      </c>
      <c r="U386" s="232">
        <f t="array" ref="U386">SUM(IF((D10:D35=200201)*(B10:B35="Demolition"),I10:I35,0))</f>
        <v>0</v>
      </c>
      <c r="V386" s="232">
        <f t="array" ref="V386">SUM(IF((D10:D35=200201)*(B10:B35="Demolition"),J10:J35,0))</f>
        <v>0</v>
      </c>
      <c r="W386" s="232">
        <f t="array" ref="W386">SUM(IF((D10:D35=200201)*(B10:B35="Demolition"),K10:K35,0))</f>
        <v>0</v>
      </c>
      <c r="X386" s="232">
        <f t="array" ref="X386">SUM(IF((D10:D35=200201)*(B10:B35="Demolition"),L10:L35,0))</f>
        <v>0</v>
      </c>
      <c r="Y386" s="192">
        <f t="shared" si="123"/>
        <v>0</v>
      </c>
      <c r="Z386" s="501">
        <f t="shared" si="124"/>
        <v>0</v>
      </c>
    </row>
    <row r="387" spans="15:26" x14ac:dyDescent="0.25">
      <c r="O387" s="871"/>
      <c r="P387" s="868"/>
      <c r="Q387" s="235" t="s">
        <v>123</v>
      </c>
      <c r="R387" s="234" t="s">
        <v>236</v>
      </c>
      <c r="S387" s="191">
        <f t="array" ref="S387">SUM(IF((D10:D35=200201)*(B10:B35="Excavation"),G10:G35,0))</f>
        <v>0</v>
      </c>
      <c r="T387" s="191">
        <f t="array" ref="T387">SUM(IF((D10:D35=200201)*(B10:B35="Excavation"),H10:H35,0))</f>
        <v>0</v>
      </c>
      <c r="U387" s="191">
        <f t="array" ref="U387">SUM(IF((D10:D35=200201)*(B10:B35="Excavation"),I10:I35,0))</f>
        <v>0</v>
      </c>
      <c r="V387" s="191">
        <f t="array" ref="V387">SUM(IF((D10:D35=200201)*(B10:B35="Excavation"),J10:J35,0))</f>
        <v>0</v>
      </c>
      <c r="W387" s="191">
        <f t="array" ref="W387">SUM(IF((D10:D35=200201)*(B10:B35="Excavation"),K10:K35,0))</f>
        <v>0</v>
      </c>
      <c r="X387" s="191">
        <f t="array" ref="X387">SUM(IF((D10:D35=200201)*(B10:B35="Excavation"),L10:L35,0))</f>
        <v>0</v>
      </c>
      <c r="Y387" s="192">
        <f t="shared" si="123"/>
        <v>0</v>
      </c>
      <c r="Z387" s="501">
        <f t="shared" si="124"/>
        <v>0</v>
      </c>
    </row>
    <row r="388" spans="15:26" ht="13.8" thickBot="1" x14ac:dyDescent="0.3">
      <c r="O388" s="874"/>
      <c r="P388" s="869"/>
      <c r="Q388" s="235" t="s">
        <v>123</v>
      </c>
      <c r="R388" s="234" t="s">
        <v>237</v>
      </c>
      <c r="S388" s="191">
        <f t="array" ref="S388">SUM(IF((D10:D35=200201)*(B10:B35="Construction"),G10:G35,0))</f>
        <v>0</v>
      </c>
      <c r="T388" s="191">
        <f t="array" ref="T388">SUM(IF((D10:D35=200201)*(B10:B35="Construction"),H10:H35,0))</f>
        <v>0</v>
      </c>
      <c r="U388" s="191">
        <f t="array" ref="U388">SUM(IF((D10:D35=200201)*(B10:B35="Construction"),I10:I35,0))</f>
        <v>0</v>
      </c>
      <c r="V388" s="191">
        <f t="array" ref="V388">SUM(IF((D10:D35=200201)*(B10:B35="Construction"),J10:J35,0))</f>
        <v>0</v>
      </c>
      <c r="W388" s="191">
        <f t="array" ref="W388">SUM(IF((D10:D35=200201)*(B10:B35="Construction"),K10:K35,0))</f>
        <v>0</v>
      </c>
      <c r="X388" s="191">
        <f t="array" ref="X388">SUM(IF((D10:D35=200201)*(B10:B35="Construction"),L10:L35,0))</f>
        <v>0</v>
      </c>
      <c r="Y388" s="192">
        <f t="shared" si="123"/>
        <v>0</v>
      </c>
      <c r="Z388" s="501">
        <f t="shared" si="124"/>
        <v>0</v>
      </c>
    </row>
    <row r="389" spans="15:26" x14ac:dyDescent="0.25">
      <c r="O389" s="865" t="s">
        <v>73</v>
      </c>
      <c r="P389" s="867">
        <v>170201</v>
      </c>
      <c r="Q389" s="235" t="s">
        <v>123</v>
      </c>
      <c r="R389" s="231" t="s">
        <v>235</v>
      </c>
      <c r="S389" s="232">
        <f t="array" ref="S389">SUM(IF((D10:D35=170201)*(B10:B35="Demolition"),G10:G35,0))</f>
        <v>0</v>
      </c>
      <c r="T389" s="232">
        <f t="array" ref="T389">SUM(IF((D10:D35=170201)*(B10:B35="Demolition"),H10:H35,0))</f>
        <v>0</v>
      </c>
      <c r="U389" s="232">
        <f t="array" ref="U389">SUM(IF((D10:D35=170201)*(B10:B35="Demolition"),I10:I35,0))</f>
        <v>0</v>
      </c>
      <c r="V389" s="232">
        <f t="array" ref="V389">SUM(IF((D10:D35=170201)*(B10:B35="Demolition"),J10:J35,0))</f>
        <v>0</v>
      </c>
      <c r="W389" s="232">
        <f t="array" ref="W389">SUM(IF((D10:D35=170201)*(B10:B35="Demolition"),K10:K35,0))</f>
        <v>0</v>
      </c>
      <c r="X389" s="232">
        <f t="array" ref="X389">SUM(IF((D10:D35=170201)*(B10:B35="Demolition"),L10:L35,0))</f>
        <v>0</v>
      </c>
      <c r="Y389" s="192">
        <f t="shared" si="123"/>
        <v>0</v>
      </c>
      <c r="Z389" s="501">
        <f t="shared" si="124"/>
        <v>0</v>
      </c>
    </row>
    <row r="390" spans="15:26" x14ac:dyDescent="0.25">
      <c r="O390" s="871"/>
      <c r="P390" s="868"/>
      <c r="Q390" s="235" t="s">
        <v>123</v>
      </c>
      <c r="R390" s="234" t="s">
        <v>236</v>
      </c>
      <c r="S390" s="191">
        <f t="array" ref="S390">SUM(IF((D10:D35=170201)*(B10:B35="Excavation"),G10:G35,0))</f>
        <v>0</v>
      </c>
      <c r="T390" s="191">
        <f t="array" ref="T390">SUM(IF((D10:D35=170201)*(B10:B35="Excavation"),H10:H35,0))</f>
        <v>0</v>
      </c>
      <c r="U390" s="191">
        <f t="array" ref="U390">SUM(IF((D10:D35=170201)*(B10:B35="Excavation"),I10:I35,0))</f>
        <v>0</v>
      </c>
      <c r="V390" s="191">
        <f t="array" ref="V390">SUM(IF((D10:D35=170201)*(B10:B35="Excavation"),J10:J35,0))</f>
        <v>0</v>
      </c>
      <c r="W390" s="191">
        <f t="array" ref="W390">SUM(IF((D10:D35=170201)*(B10:B35="Excavation"),K10:K35,0))</f>
        <v>0</v>
      </c>
      <c r="X390" s="191">
        <f t="array" ref="X390">SUM(IF((D10:D35=170201)*(B10:B35="Excavation"),L10:L35,0))</f>
        <v>0</v>
      </c>
      <c r="Y390" s="192">
        <f t="shared" si="123"/>
        <v>0</v>
      </c>
      <c r="Z390" s="501">
        <f t="shared" si="124"/>
        <v>0</v>
      </c>
    </row>
    <row r="391" spans="15:26" ht="13.8" thickBot="1" x14ac:dyDescent="0.3">
      <c r="O391" s="871"/>
      <c r="P391" s="868"/>
      <c r="Q391" s="235" t="s">
        <v>123</v>
      </c>
      <c r="R391" s="236" t="s">
        <v>237</v>
      </c>
      <c r="S391" s="248">
        <f t="array" ref="S391">SUM(IF((D10:D35=170201)*(B10:B35="Construction"),G10:G35,0))</f>
        <v>0</v>
      </c>
      <c r="T391" s="248">
        <f t="array" ref="T391">SUM(IF((D10:D35=170201)*(B10:B35="Construction"),H10:H35,0))</f>
        <v>0</v>
      </c>
      <c r="U391" s="248">
        <f t="array" ref="U391">SUM(IF((D10:D35=170201)*(B10:B35="Construction"),I10:I35,0))</f>
        <v>0</v>
      </c>
      <c r="V391" s="248">
        <f t="array" ref="V391">SUM(IF((D10:D35=170201)*(B10:B35="Construction"),J10:J35,0))</f>
        <v>0</v>
      </c>
      <c r="W391" s="248">
        <f t="array" ref="W391">SUM(IF((D10:D35=170201)*(B10:B35="Construction"),K10:K35,0))</f>
        <v>0</v>
      </c>
      <c r="X391" s="248">
        <f t="array" ref="X391">SUM(IF((D10:D35=170201)*(B10:B35="Construction"),L10:L35,0))</f>
        <v>0</v>
      </c>
      <c r="Y391" s="192">
        <f t="shared" si="123"/>
        <v>0</v>
      </c>
      <c r="Z391" s="501">
        <f t="shared" si="124"/>
        <v>0</v>
      </c>
    </row>
    <row r="392" spans="15:26" x14ac:dyDescent="0.25">
      <c r="O392" s="865" t="s">
        <v>216</v>
      </c>
      <c r="P392" s="867">
        <v>190801</v>
      </c>
      <c r="Q392" s="235" t="s">
        <v>123</v>
      </c>
      <c r="R392" s="231" t="s">
        <v>235</v>
      </c>
      <c r="S392" s="232">
        <f t="array" ref="S392">SUM(IF((D10:D35=190801)*(B10:B35="Demolition"),G10:G35,0))</f>
        <v>0</v>
      </c>
      <c r="T392" s="232">
        <f t="array" ref="T392">SUM(IF((D10:D35=190801)*(B10:B35="Demolition"),H10:H35,0))</f>
        <v>0</v>
      </c>
      <c r="U392" s="232">
        <f t="array" ref="U392">SUM(IF((D10:D35=190801)*(B10:B35="Demolition"),I10:I35,0))</f>
        <v>0</v>
      </c>
      <c r="V392" s="232">
        <f t="array" ref="V392">SUM(IF((D10:D35=190801)*(B10:B35="Demolition"),J10:J35,0))</f>
        <v>0</v>
      </c>
      <c r="W392" s="232">
        <f t="array" ref="W392">SUM(IF((D10:D35=190801)*(B10:B35="Demolition"),K10:K35,0))</f>
        <v>0</v>
      </c>
      <c r="X392" s="232">
        <f t="array" ref="X392">SUM(IF((D10:D35=190801)*(B10:B35="Demolition"),L10:L35,0))</f>
        <v>0</v>
      </c>
      <c r="Y392" s="192">
        <f t="shared" si="123"/>
        <v>0</v>
      </c>
      <c r="Z392" s="501">
        <f t="shared" si="124"/>
        <v>0</v>
      </c>
    </row>
    <row r="393" spans="15:26" x14ac:dyDescent="0.25">
      <c r="O393" s="851"/>
      <c r="P393" s="854"/>
      <c r="Q393" s="235" t="s">
        <v>123</v>
      </c>
      <c r="R393" s="234" t="s">
        <v>236</v>
      </c>
      <c r="S393" s="191">
        <f t="array" ref="S393">SUM(IF((D10:D35=190801)*(B10:B35="Excavation"),G10:G35,0))</f>
        <v>0</v>
      </c>
      <c r="T393" s="191">
        <f t="array" ref="T393">SUM(IF((D10:D35=190801)*(B10:B35="Excavation"),H10:H35,0))</f>
        <v>0</v>
      </c>
      <c r="U393" s="191">
        <f t="array" ref="U393">SUM(IF((D10:D35=190801)*(B10:B35="Excavation"),I10:I35,0))</f>
        <v>0</v>
      </c>
      <c r="V393" s="191">
        <f t="array" ref="V393">SUM(IF((D10:D35=190801)*(B10:B35="Excavation"),J10:J35,0))</f>
        <v>0</v>
      </c>
      <c r="W393" s="191">
        <f t="array" ref="W393">SUM(IF((D10:D35=190801)*(B10:B35="Excavation"),K10:K35,0))</f>
        <v>0</v>
      </c>
      <c r="X393" s="191">
        <f t="array" ref="X393">SUM(IF((D10:D35=190801)*(B10:B35="Excavation"),L10:L35,0))</f>
        <v>0</v>
      </c>
      <c r="Y393" s="192">
        <f t="shared" si="123"/>
        <v>0</v>
      </c>
      <c r="Z393" s="501">
        <f t="shared" si="124"/>
        <v>0</v>
      </c>
    </row>
    <row r="394" spans="15:26" ht="13.8" thickBot="1" x14ac:dyDescent="0.3">
      <c r="O394" s="866"/>
      <c r="P394" s="870"/>
      <c r="Q394" s="235" t="s">
        <v>123</v>
      </c>
      <c r="R394" s="236" t="s">
        <v>237</v>
      </c>
      <c r="S394" s="248">
        <f t="array" ref="S394">SUM(IF((D10:D35=190801)*(B10:B35="Construction"),G10:G35,0))</f>
        <v>0</v>
      </c>
      <c r="T394" s="248">
        <f t="array" ref="T394">SUM(IF((D10:D35=190801)*(B10:B35="Construction"),H10:H35,0))</f>
        <v>0</v>
      </c>
      <c r="U394" s="248">
        <f t="array" ref="U394">SUM(IF((D10:D35=190801)*(B10:B35="Construction"),I10:I35,0))</f>
        <v>0</v>
      </c>
      <c r="V394" s="248">
        <f t="array" ref="V394">SUM(IF((D10:D35=190801)*(B10:B35="Construction"),J10:J35,0))</f>
        <v>0</v>
      </c>
      <c r="W394" s="248">
        <f t="array" ref="W394">SUM(IF((D10:D35=190801)*(B10:B35="Construction"),K10:K35,0))</f>
        <v>0</v>
      </c>
      <c r="X394" s="248">
        <f t="array" ref="X394">SUM(IF((D10:D35=190801)*(B10:B35="Construction"),L10:L35,0))</f>
        <v>0</v>
      </c>
      <c r="Y394" s="192">
        <f t="shared" si="123"/>
        <v>0</v>
      </c>
      <c r="Z394" s="501">
        <f t="shared" si="124"/>
        <v>0</v>
      </c>
    </row>
    <row r="395" spans="15:26" x14ac:dyDescent="0.25">
      <c r="O395" s="865" t="s">
        <v>217</v>
      </c>
      <c r="P395" s="867">
        <v>190802</v>
      </c>
      <c r="Q395" s="235" t="s">
        <v>123</v>
      </c>
      <c r="R395" s="231" t="s">
        <v>235</v>
      </c>
      <c r="S395" s="232">
        <f t="array" ref="S395">SUM(IF((D10:D35=190802)*(B10:B35="Demolition"),G10:G35,0))</f>
        <v>0</v>
      </c>
      <c r="T395" s="232">
        <f t="array" ref="T395">SUM(IF((D10:D35=190802)*(B10:B35="Demolition"),H10:H35,0))</f>
        <v>0</v>
      </c>
      <c r="U395" s="232">
        <f t="array" ref="U395">SUM(IF((D10:D35=190802)*(B10:B35="Demolition"),I10:I35,0))</f>
        <v>0</v>
      </c>
      <c r="V395" s="232">
        <f t="array" ref="V395">SUM(IF((D10:D35=190802)*(B10:B35="Demolition"),J10:J35,0))</f>
        <v>0</v>
      </c>
      <c r="W395" s="232">
        <f t="array" ref="W395">SUM(IF((D10:D35=190802)*(B10:B35="Demolition"),K10:K35,0))</f>
        <v>0</v>
      </c>
      <c r="X395" s="232">
        <f t="array" ref="X395">SUM(IF((D10:D35=190802)*(B10:B35="Demolition"),L10:L35,0))</f>
        <v>0</v>
      </c>
      <c r="Y395" s="192">
        <f t="shared" si="123"/>
        <v>0</v>
      </c>
      <c r="Z395" s="501">
        <f t="shared" si="124"/>
        <v>0</v>
      </c>
    </row>
    <row r="396" spans="15:26" x14ac:dyDescent="0.25">
      <c r="O396" s="851"/>
      <c r="P396" s="868"/>
      <c r="Q396" s="235" t="s">
        <v>123</v>
      </c>
      <c r="R396" s="234" t="s">
        <v>236</v>
      </c>
      <c r="S396" s="191">
        <f t="array" ref="S396">SUM(IF((D10:D35=190802)*(B10:B35="Excavation"),G10:G35,0))</f>
        <v>0</v>
      </c>
      <c r="T396" s="191">
        <f t="array" ref="T396">SUM(IF((D10:D35=190802)*(B10:B35="Excavation"),H10:H35,0))</f>
        <v>0</v>
      </c>
      <c r="U396" s="191">
        <f t="array" ref="U396">SUM(IF((D10:D35=190802)*(B10:B35="Excavation"),I10:I35,0))</f>
        <v>0</v>
      </c>
      <c r="V396" s="191">
        <f t="array" ref="V396">SUM(IF((D10:D35=190802)*(B10:B35="Excavation"),J10:J35,0))</f>
        <v>0</v>
      </c>
      <c r="W396" s="191">
        <f t="array" ref="W396">SUM(IF((D10:D35=190802)*(B10:B35="Excavation"),K10:K35,0))</f>
        <v>0</v>
      </c>
      <c r="X396" s="191">
        <f t="array" ref="X396">SUM(IF((D10:D35=190802)*(B10:B35="Excavation"),L10:L35,0))</f>
        <v>0</v>
      </c>
      <c r="Y396" s="192">
        <f t="shared" si="123"/>
        <v>0</v>
      </c>
      <c r="Z396" s="501">
        <f t="shared" si="124"/>
        <v>0</v>
      </c>
    </row>
    <row r="397" spans="15:26" ht="13.8" thickBot="1" x14ac:dyDescent="0.3">
      <c r="O397" s="866"/>
      <c r="P397" s="869"/>
      <c r="Q397" s="235" t="s">
        <v>123</v>
      </c>
      <c r="R397" s="236" t="s">
        <v>237</v>
      </c>
      <c r="S397" s="248">
        <f t="array" ref="S397">SUM(IF((D10:D35=190802)*(B10:B35="Construction"),G10:G35,0))</f>
        <v>0</v>
      </c>
      <c r="T397" s="248">
        <f t="array" ref="T397">SUM(IF((D10:D35=190802)*(B10:B35="Construction"),H10:H35,0))</f>
        <v>0</v>
      </c>
      <c r="U397" s="248">
        <f t="array" ref="U397">SUM(IF((D10:D35=190802)*(B10:B35="Construction"),I10:I35,0))</f>
        <v>0</v>
      </c>
      <c r="V397" s="248">
        <f t="array" ref="V397">SUM(IF((D10:D35=190802)*(B10:B35="Construction"),J10:J35,0))</f>
        <v>0</v>
      </c>
      <c r="W397" s="248">
        <f t="array" ref="W397">SUM(IF((D10:D35=190802)*(B10:B35="Construction"),K10:K35,0))</f>
        <v>0</v>
      </c>
      <c r="X397" s="248">
        <f t="array" ref="X397">SUM(IF((D10:D35=190802)*(B10:B35="Construction"),L10:L35,0))</f>
        <v>0</v>
      </c>
      <c r="Y397" s="192">
        <f t="shared" si="123"/>
        <v>0</v>
      </c>
      <c r="Z397" s="501">
        <f t="shared" si="124"/>
        <v>0</v>
      </c>
    </row>
    <row r="398" spans="15:26" x14ac:dyDescent="0.25">
      <c r="O398" s="865" t="s">
        <v>218</v>
      </c>
      <c r="P398" s="867">
        <v>190805</v>
      </c>
      <c r="Q398" s="235" t="s">
        <v>123</v>
      </c>
      <c r="R398" s="231" t="s">
        <v>235</v>
      </c>
      <c r="S398" s="232">
        <f t="array" ref="S398">SUM(IF((D10:D35=190805)*(B10:B35="Demolition"),G10:G35,0))</f>
        <v>0</v>
      </c>
      <c r="T398" s="232">
        <f t="array" ref="T398">SUM(IF((D10:D35=190805)*(B10:B35="Demolition"),H10:H35,0))</f>
        <v>0</v>
      </c>
      <c r="U398" s="232">
        <f t="array" ref="U398">SUM(IF((D10:D35=190805)*(B10:B35="Demolition"),I10:I35,0))</f>
        <v>0</v>
      </c>
      <c r="V398" s="232">
        <f t="array" ref="V398">SUM(IF((D10:D35=190805)*(B10:B35="Demolition"),J10:J35,0))</f>
        <v>0</v>
      </c>
      <c r="W398" s="232">
        <f t="array" ref="W398">SUM(IF((D10:D35=190805)*(B10:B35="Demolition"),K10:K35,0))</f>
        <v>0</v>
      </c>
      <c r="X398" s="232">
        <f t="array" ref="X398">SUM(IF((D10:D35=190805)*(B10:B35="Demolition"),L10:L35,0))</f>
        <v>0</v>
      </c>
      <c r="Y398" s="192">
        <f t="shared" si="123"/>
        <v>0</v>
      </c>
      <c r="Z398" s="501">
        <f t="shared" si="124"/>
        <v>0</v>
      </c>
    </row>
    <row r="399" spans="15:26" x14ac:dyDescent="0.25">
      <c r="O399" s="851"/>
      <c r="P399" s="854"/>
      <c r="Q399" s="235" t="s">
        <v>123</v>
      </c>
      <c r="R399" s="234" t="s">
        <v>236</v>
      </c>
      <c r="S399" s="191">
        <f t="array" ref="S399">SUM(IF((D10:D35=190805)*(B10:B35="Excavation"),G10:G35,0))</f>
        <v>0</v>
      </c>
      <c r="T399" s="191">
        <f t="array" ref="T399">SUM(IF((D10:D35=190805)*(B10:B35="Excavation"),H10:H35,0))</f>
        <v>0</v>
      </c>
      <c r="U399" s="191">
        <f t="array" ref="U399">SUM(IF((D10:D35=190805)*(B10:B35="Excavation"),I10:I35,0))</f>
        <v>0</v>
      </c>
      <c r="V399" s="191">
        <f t="array" ref="V399">SUM(IF((D10:D35=190805)*(B10:B35="Excavation"),J10:J35,0))</f>
        <v>0</v>
      </c>
      <c r="W399" s="191">
        <f t="array" ref="W399">SUM(IF((D10:D35=190805)*(B10:B35="Excavation"),K10:K35,0))</f>
        <v>0</v>
      </c>
      <c r="X399" s="191">
        <f t="array" ref="X399">SUM(IF((D10:D35=190805)*(B10:B35="Excavation"),L10:L35,0))</f>
        <v>0</v>
      </c>
      <c r="Y399" s="192">
        <f t="shared" si="123"/>
        <v>0</v>
      </c>
      <c r="Z399" s="501">
        <f t="shared" si="124"/>
        <v>0</v>
      </c>
    </row>
    <row r="400" spans="15:26" ht="13.8" thickBot="1" x14ac:dyDescent="0.3">
      <c r="O400" s="866"/>
      <c r="P400" s="870"/>
      <c r="Q400" s="235" t="s">
        <v>123</v>
      </c>
      <c r="R400" s="236" t="s">
        <v>237</v>
      </c>
      <c r="S400" s="248">
        <f t="array" ref="S400">SUM(IF((D10:D35=190805)*(B10:B35="Construction"),G10:G35,0))</f>
        <v>0</v>
      </c>
      <c r="T400" s="248">
        <f t="array" ref="T400">SUM(IF((D10:D35=190805)*(B10:B35="Construction"),H10:H35,0))</f>
        <v>0</v>
      </c>
      <c r="U400" s="248">
        <f t="array" ref="U400">SUM(IF((D10:D35=190805)*(B10:B35="Construction"),I10:I35,0))</f>
        <v>0</v>
      </c>
      <c r="V400" s="248">
        <f t="array" ref="V400">SUM(IF((D10:D35=190805)*(B10:B35="Construction"),J10:J35,0))</f>
        <v>0</v>
      </c>
      <c r="W400" s="248">
        <f t="array" ref="W400">SUM(IF((D10:D35=190805)*(B10:B35="Construction"),K10:K35,0))</f>
        <v>0</v>
      </c>
      <c r="X400" s="248">
        <f t="array" ref="X400">SUM(IF((D10:D35=190805)*(B10:B35="Construction"),L10:L35,0))</f>
        <v>0</v>
      </c>
      <c r="Y400" s="192">
        <f t="shared" si="123"/>
        <v>0</v>
      </c>
      <c r="Z400" s="501">
        <f t="shared" si="124"/>
        <v>0</v>
      </c>
    </row>
    <row r="401" spans="15:26" x14ac:dyDescent="0.25">
      <c r="O401" s="865" t="s">
        <v>219</v>
      </c>
      <c r="P401" s="867">
        <v>190904</v>
      </c>
      <c r="Q401" s="235" t="s">
        <v>123</v>
      </c>
      <c r="R401" s="231" t="s">
        <v>235</v>
      </c>
      <c r="S401" s="232">
        <f t="array" ref="S401">SUM(IF((D10:D35=190904)*(B10:B35="Demolition"),G10:G35,0))</f>
        <v>0</v>
      </c>
      <c r="T401" s="232">
        <f t="array" ref="T401">SUM(IF((D10:D35=190904)*(B10:B35="Demolition"),H10:H35,0))</f>
        <v>0</v>
      </c>
      <c r="U401" s="232">
        <f t="array" ref="U401">SUM(IF((D10:D35=190904)*(B10:B35="Demolition"),I10:I35,0))</f>
        <v>0</v>
      </c>
      <c r="V401" s="232">
        <f t="array" ref="V401">SUM(IF((D10:D35=190904)*(B10:B35="Demolition"),J10:J35,0))</f>
        <v>0</v>
      </c>
      <c r="W401" s="232">
        <f t="array" ref="W401">SUM(IF((D10:D35=190904)*(B10:B35="Demolition"),K10:K35,0))</f>
        <v>0</v>
      </c>
      <c r="X401" s="232">
        <f t="array" ref="X401">SUM(IF((D10:D35=190904)*(B10:B35="Demolition"),L10:L35,0))</f>
        <v>0</v>
      </c>
      <c r="Y401" s="192">
        <f t="shared" si="123"/>
        <v>0</v>
      </c>
      <c r="Z401" s="501">
        <f t="shared" si="124"/>
        <v>0</v>
      </c>
    </row>
    <row r="402" spans="15:26" x14ac:dyDescent="0.25">
      <c r="O402" s="851"/>
      <c r="P402" s="868"/>
      <c r="Q402" s="235" t="s">
        <v>123</v>
      </c>
      <c r="R402" s="234" t="s">
        <v>236</v>
      </c>
      <c r="S402" s="191">
        <f t="array" ref="S402">SUM(IF((D10:D35=190904)*(B10:B35="Excavation"),G10:G35,0))</f>
        <v>0</v>
      </c>
      <c r="T402" s="191">
        <f t="array" ref="T402">SUM(IF((D10:D35=190904)*(B10:B35="Excavation"),H10:H35,0))</f>
        <v>0</v>
      </c>
      <c r="U402" s="191">
        <f t="array" ref="U402">SUM(IF((D10:D35=190904)*(B10:B35="Excavation"),I10:I35,0))</f>
        <v>0</v>
      </c>
      <c r="V402" s="191">
        <f t="array" ref="V402">SUM(IF((D10:D35=190904)*(B10:B35="Excavation"),J10:J35,0))</f>
        <v>0</v>
      </c>
      <c r="W402" s="191">
        <f t="array" ref="W402">SUM(IF((D10:D35=190904)*(B10:B35="Excavation"),K10:K35,0))</f>
        <v>0</v>
      </c>
      <c r="X402" s="191">
        <f t="array" ref="X402">SUM(IF((D10:D35=190904)*(B10:B35="Excavation"),L10:L35,0))</f>
        <v>0</v>
      </c>
      <c r="Y402" s="192">
        <f t="shared" si="123"/>
        <v>0</v>
      </c>
      <c r="Z402" s="501">
        <f t="shared" si="124"/>
        <v>0</v>
      </c>
    </row>
    <row r="403" spans="15:26" ht="13.8" thickBot="1" x14ac:dyDescent="0.3">
      <c r="O403" s="866"/>
      <c r="P403" s="869"/>
      <c r="Q403" s="235" t="s">
        <v>123</v>
      </c>
      <c r="R403" s="236" t="s">
        <v>237</v>
      </c>
      <c r="S403" s="248">
        <f t="array" ref="S403">SUM(IF((D10:D35=190904)*(B10:B35="Construction"),G10:G35,0))</f>
        <v>0</v>
      </c>
      <c r="T403" s="248">
        <f t="array" ref="T403">SUM(IF((D10:D35=190904)*(B10:B35="Construction"),H10:H35,0))</f>
        <v>0</v>
      </c>
      <c r="U403" s="248">
        <f t="array" ref="U403">SUM(IF((D10:D35=190904)*(B10:B35="Construction"),I10:I35,0))</f>
        <v>0</v>
      </c>
      <c r="V403" s="248">
        <f t="array" ref="V403">SUM(IF((D10:D35=190904)*(B10:B35="Construction"),J10:J35,0))</f>
        <v>0</v>
      </c>
      <c r="W403" s="248">
        <f t="array" ref="W403">SUM(IF((D10:D35=190904)*(B10:B35="Construction"),K10:K35,0))</f>
        <v>0</v>
      </c>
      <c r="X403" s="248">
        <f t="array" ref="X403">SUM(IF((D10:D35=190904)*(B10:B35="Construction"),L10:L35,0))</f>
        <v>0</v>
      </c>
      <c r="Y403" s="192">
        <f t="shared" si="123"/>
        <v>0</v>
      </c>
      <c r="Z403" s="501">
        <f t="shared" si="124"/>
        <v>0</v>
      </c>
    </row>
    <row r="404" spans="15:26" x14ac:dyDescent="0.25">
      <c r="O404" s="865" t="s">
        <v>220</v>
      </c>
      <c r="P404" s="867">
        <v>190901</v>
      </c>
      <c r="Q404" s="235" t="s">
        <v>123</v>
      </c>
      <c r="R404" s="231" t="s">
        <v>235</v>
      </c>
      <c r="S404" s="232">
        <f t="array" ref="S404">SUM(IF((D10:D35=190901)*(B10:B35="Demolition"),G10:G35,0))</f>
        <v>0</v>
      </c>
      <c r="T404" s="232">
        <f t="array" ref="T404">SUM(IF((D10:D35=190901)*(B10:B35="Demolition"),H10:H35,0))</f>
        <v>0</v>
      </c>
      <c r="U404" s="232">
        <f t="array" ref="U404">SUM(IF((D10:D35=190901)*(B10:B35="Demolition"),I10:I35,0))</f>
        <v>0</v>
      </c>
      <c r="V404" s="232">
        <f t="array" ref="V404">SUM(IF((D10:D35=190901)*(B10:B35="Demolition"),J10:J35,0))</f>
        <v>0</v>
      </c>
      <c r="W404" s="232">
        <f t="array" ref="W404">SUM(IF((D10:D35=190901)*(B10:B35="Demolition"),K10:K35,0))</f>
        <v>0</v>
      </c>
      <c r="X404" s="232">
        <f t="array" ref="X404">SUM(IF((D10:D35=190901)*(B10:B35="Demolition"),L10:L35,0))</f>
        <v>0</v>
      </c>
      <c r="Y404" s="192">
        <f t="shared" si="123"/>
        <v>0</v>
      </c>
      <c r="Z404" s="501">
        <f t="shared" si="124"/>
        <v>0</v>
      </c>
    </row>
    <row r="405" spans="15:26" x14ac:dyDescent="0.25">
      <c r="O405" s="851"/>
      <c r="P405" s="854"/>
      <c r="Q405" s="235" t="s">
        <v>123</v>
      </c>
      <c r="R405" s="234" t="s">
        <v>236</v>
      </c>
      <c r="S405" s="191">
        <f t="array" ref="S405">SUM(IF((D10:D35=190901)*(B10:B35="Excavation"),G10:G35,0))</f>
        <v>0</v>
      </c>
      <c r="T405" s="191">
        <f t="array" ref="T405">SUM(IF((D10:D35=190901)*(B10:B35="Excavation"),H10:H35,0))</f>
        <v>0</v>
      </c>
      <c r="U405" s="191">
        <f t="array" ref="U405">SUM(IF((D10:D35=190901)*(B10:B35="Excavation"),I10:I35,0))</f>
        <v>0</v>
      </c>
      <c r="V405" s="191">
        <f t="array" ref="V405">SUM(IF((D10:D35=190901)*(B10:B35="Excavation"),J10:J35,0))</f>
        <v>0</v>
      </c>
      <c r="W405" s="191">
        <f t="array" ref="W405">SUM(IF((D10:D35=190901)*(B10:B35="Excavation"),K10:K35,0))</f>
        <v>0</v>
      </c>
      <c r="X405" s="191">
        <f t="array" ref="X405">SUM(IF((D10:D35=190901)*(B10:B35="Excavation"),L10:L35,0))</f>
        <v>0</v>
      </c>
      <c r="Y405" s="192">
        <f t="shared" si="123"/>
        <v>0</v>
      </c>
      <c r="Z405" s="501">
        <f t="shared" si="124"/>
        <v>0</v>
      </c>
    </row>
    <row r="406" spans="15:26" ht="13.8" thickBot="1" x14ac:dyDescent="0.3">
      <c r="O406" s="866"/>
      <c r="P406" s="870"/>
      <c r="Q406" s="218" t="s">
        <v>123</v>
      </c>
      <c r="R406" s="236" t="s">
        <v>237</v>
      </c>
      <c r="S406" s="248">
        <f t="array" ref="S406">SUM(IF((D10:D35=190901)*(B10:B35="Construction"),G10:G35,0))</f>
        <v>0</v>
      </c>
      <c r="T406" s="248">
        <f t="array" ref="T406">SUM(IF((D10:D35=190901)*(B10:B35="Construction"),H10:H35,0))</f>
        <v>0</v>
      </c>
      <c r="U406" s="248">
        <f t="array" ref="U406">SUM(IF((D10:D35=190901)*(B10:B35="Construction"),I10:I35,0))</f>
        <v>0</v>
      </c>
      <c r="V406" s="248">
        <f t="array" ref="V406">SUM(IF((D10:D35=190901)*(B10:B35="Construction"),J10:J35,0))</f>
        <v>0</v>
      </c>
      <c r="W406" s="248">
        <f t="array" ref="W406">SUM(IF((D10:D35=190901)*(B10:B35="Construction"),K10:K35,0))</f>
        <v>0</v>
      </c>
      <c r="X406" s="248">
        <f t="array" ref="X406">SUM(IF((D10:D35=190901)*(B10:B35="Construction"),L10:L35,0))</f>
        <v>0</v>
      </c>
      <c r="Y406" s="192">
        <f t="shared" si="123"/>
        <v>0</v>
      </c>
      <c r="Z406" s="501">
        <f t="shared" si="124"/>
        <v>0</v>
      </c>
    </row>
    <row r="407" spans="15:26" x14ac:dyDescent="0.25">
      <c r="O407" s="865" t="s">
        <v>221</v>
      </c>
      <c r="P407" s="867">
        <v>200203</v>
      </c>
      <c r="Q407" s="235" t="s">
        <v>123</v>
      </c>
      <c r="R407" s="231" t="s">
        <v>235</v>
      </c>
      <c r="S407" s="232">
        <f t="array" ref="S407">SUM(IF((D10:D35=200203)*(B10:B35="Demolition"),G10:G35,0))</f>
        <v>0</v>
      </c>
      <c r="T407" s="232">
        <f t="array" ref="T407">SUM(IF((D10:D35=200203)*(B10:B35="Demolition"),H10:H35,0))</f>
        <v>0</v>
      </c>
      <c r="U407" s="232">
        <f t="array" ref="U407">SUM(IF((D10:D35=200203)*(B10:B35="Demolition"),I10:I35,0))</f>
        <v>0</v>
      </c>
      <c r="V407" s="232">
        <f t="array" ref="V407">SUM(IF((D10:D35=200203)*(B10:B35="Demolition"),J10:J35,0))</f>
        <v>0</v>
      </c>
      <c r="W407" s="232">
        <f t="array" ref="W407">SUM(IF((D10:D35=200203)*(B10:B35="Demolition"),K10:K35,0))</f>
        <v>0</v>
      </c>
      <c r="X407" s="232">
        <f t="array" ref="X407">SUM(IF((D10:D35=200203)*(B10:B35="Demolition"),L10:L35,0))</f>
        <v>0</v>
      </c>
      <c r="Y407" s="192">
        <f t="shared" si="123"/>
        <v>0</v>
      </c>
      <c r="Z407" s="501">
        <f t="shared" si="124"/>
        <v>0</v>
      </c>
    </row>
    <row r="408" spans="15:26" x14ac:dyDescent="0.25">
      <c r="O408" s="851"/>
      <c r="P408" s="868"/>
      <c r="Q408" s="235" t="s">
        <v>123</v>
      </c>
      <c r="R408" s="234" t="s">
        <v>236</v>
      </c>
      <c r="S408" s="191">
        <f t="array" ref="S408">SUM(IF((D10:D35=200203)*(B10:B35="Excavation"),G10:G35,0))</f>
        <v>0</v>
      </c>
      <c r="T408" s="191">
        <f t="array" ref="T408">SUM(IF((D10:D35=200203)*(B10:B35="Excavation"),H10:H35,0))</f>
        <v>0</v>
      </c>
      <c r="U408" s="191">
        <f t="array" ref="U408">SUM(IF((D10:D35=200203)*(B10:B35="Excavation"),I10:I35,0))</f>
        <v>0</v>
      </c>
      <c r="V408" s="191">
        <f t="array" ref="V408">SUM(IF((D10:D35=200203)*(B10:B35="Excavation"),J10:J35,0))</f>
        <v>0</v>
      </c>
      <c r="W408" s="191">
        <f t="array" ref="W408">SUM(IF((D10:D35=200203)*(B10:B35="Excavation"),K10:K35,0))</f>
        <v>0</v>
      </c>
      <c r="X408" s="191">
        <f t="array" ref="X408">SUM(IF((D10:D35=200203)*(B10:B35="Excavation"),L10:L35,0))</f>
        <v>0</v>
      </c>
      <c r="Y408" s="192">
        <f t="shared" si="123"/>
        <v>0</v>
      </c>
      <c r="Z408" s="501">
        <f t="shared" si="124"/>
        <v>0</v>
      </c>
    </row>
    <row r="409" spans="15:26" ht="13.8" thickBot="1" x14ac:dyDescent="0.3">
      <c r="O409" s="866"/>
      <c r="P409" s="869"/>
      <c r="Q409" s="218" t="s">
        <v>123</v>
      </c>
      <c r="R409" s="238" t="s">
        <v>237</v>
      </c>
      <c r="S409" s="502">
        <f t="array" ref="S409">SUM(IF((D10:D35=200203)*(B10:B35="Construction"),G10:G35,0))</f>
        <v>0</v>
      </c>
      <c r="T409" s="502">
        <f t="array" ref="T409">SUM(IF((D10:D35=200203)*(B10:B35="Construction"),H10:H35,0))</f>
        <v>0</v>
      </c>
      <c r="U409" s="502">
        <f t="array" ref="U409">SUM(IF((D10:D35=200203)*(B10:B35="Construction"),I10:I35,0))</f>
        <v>0</v>
      </c>
      <c r="V409" s="502">
        <f t="array" ref="V409">SUM(IF((D10:D35=200203)*(B10:B35="Construction"),J10:J35,0))</f>
        <v>0</v>
      </c>
      <c r="W409" s="502">
        <f t="array" ref="W409">SUM(IF((D10:D35=200203)*(B10:B35="Construction"),K10:K35,0))</f>
        <v>0</v>
      </c>
      <c r="X409" s="502">
        <f t="array" ref="X409">SUM(IF((D10:D35=200203)*(B10:B35="Construction"),L10:L35,0))</f>
        <v>0</v>
      </c>
      <c r="Y409" s="192">
        <f t="shared" si="123"/>
        <v>0</v>
      </c>
      <c r="Z409" s="501">
        <f t="shared" si="124"/>
        <v>0</v>
      </c>
    </row>
    <row r="410" spans="15:26" x14ac:dyDescent="0.25">
      <c r="O410" s="865" t="s">
        <v>222</v>
      </c>
      <c r="P410" s="867">
        <v>170504</v>
      </c>
      <c r="Q410" s="218" t="s">
        <v>123</v>
      </c>
      <c r="R410" s="231" t="s">
        <v>235</v>
      </c>
      <c r="S410" s="232">
        <f t="array" ref="S410">SUM(IF((D10:D35=170504)*(E10:E35="NH")*(B10:B35="Demolition"),G10:G35,0))</f>
        <v>0</v>
      </c>
      <c r="T410" s="232">
        <f t="array" ref="T410">SUM(IF((D10:D35=170504)*(E10:E35="NH")*(B10:B35="Demolition"),H10:H35,0))</f>
        <v>0</v>
      </c>
      <c r="U410" s="232">
        <f t="array" ref="U410">SUM(IF((D10:D35=170504)*(E10:E35="NH")*(B10:B35="Demolition"),I10:I35,0))</f>
        <v>0</v>
      </c>
      <c r="V410" s="232">
        <f t="array" ref="V410">SUM(IF((D10:D35=170504)*(E10:E35="NH")*(B10:B35="Demolition"),J10:J35,0))</f>
        <v>0</v>
      </c>
      <c r="W410" s="232">
        <f t="array" ref="W410">SUM(IF((D10:D35=170504)*(E10:E35="NH")*(B10:B35="Demolition"),K10:K35,0))</f>
        <v>0</v>
      </c>
      <c r="X410" s="232">
        <f t="array" ref="X410">SUM(IF((D10:D35=170504)*(E10:E35="NH")*(B10:B35="Demolition"),L10:L35,0))</f>
        <v>0</v>
      </c>
      <c r="Y410" s="192">
        <f t="shared" si="123"/>
        <v>0</v>
      </c>
      <c r="Z410" s="501">
        <f t="shared" si="124"/>
        <v>0</v>
      </c>
    </row>
    <row r="411" spans="15:26" x14ac:dyDescent="0.25">
      <c r="O411" s="851"/>
      <c r="P411" s="868"/>
      <c r="Q411" s="218" t="s">
        <v>123</v>
      </c>
      <c r="R411" s="234" t="s">
        <v>236</v>
      </c>
      <c r="S411" s="191">
        <f t="array" ref="S411">SUM(IF((D10:D35=170504)*(E10:E35="NH")*(B10:B35="Excavation"),G10:G35,0))</f>
        <v>0</v>
      </c>
      <c r="T411" s="191">
        <f t="array" ref="T411">SUM(IF((D10:D35=170504)*(E10:E35="NH")*(B10:B35="Excavation"),H10:H35,0))</f>
        <v>0</v>
      </c>
      <c r="U411" s="191">
        <f t="array" ref="U411">SUM(IF((D10:D35=170504)*(E10:E35="NH")*(B10:B35="Excavation"),I10:I35,0))</f>
        <v>0</v>
      </c>
      <c r="V411" s="191">
        <f t="array" ref="V411">SUM(IF((D10:D35=170504)*(E10:E35="NH")*(B10:B35="Excavation"),J10:J35,0))</f>
        <v>0</v>
      </c>
      <c r="W411" s="191">
        <f t="array" ref="W411">SUM(IF((D10:D35=170504)*(E10:E35="NH")*(B10:B35="Excavation"),K10:K35,0))</f>
        <v>0</v>
      </c>
      <c r="X411" s="191">
        <f t="array" ref="X411">SUM(IF((D10:D35=170504)*(E10:E35="NH")*(B10:B35="Excavation"),L10:L35,0))</f>
        <v>0</v>
      </c>
      <c r="Y411" s="192">
        <f t="shared" si="123"/>
        <v>0</v>
      </c>
      <c r="Z411" s="501">
        <f t="shared" si="124"/>
        <v>0</v>
      </c>
    </row>
    <row r="412" spans="15:26" ht="13.8" thickBot="1" x14ac:dyDescent="0.3">
      <c r="O412" s="866"/>
      <c r="P412" s="869"/>
      <c r="Q412" s="218" t="s">
        <v>123</v>
      </c>
      <c r="R412" s="247" t="s">
        <v>237</v>
      </c>
      <c r="S412" s="191">
        <f t="array" ref="S412">SUM(IF((D10:D35=170504)*(E10:E35="NH")*(B10:B35="Construction"),G10:G35,0))</f>
        <v>0</v>
      </c>
      <c r="T412" s="191">
        <f t="array" ref="T412">SUM(IF((D10:D35=170504)*(E10:E35="NH")*(B10:B35="Construction"),H10:H35,0))</f>
        <v>0</v>
      </c>
      <c r="U412" s="191">
        <f t="array" ref="U412">SUM(IF((D10:D35=170504)*(E10:E35="NH")*(B10:B35="Construction"),I10:I35,0))</f>
        <v>0</v>
      </c>
      <c r="V412" s="191">
        <f t="array" ref="V412">SUM(IF((D10:D35=170504)*(E10:E35="NH")*(B10:B35="Construction"),J10:J35,0))</f>
        <v>0</v>
      </c>
      <c r="W412" s="191">
        <f t="array" ref="W412">SUM(IF((D10:D35=170504)*(E10:E35="NH")*(B10:B35="Construction"),K10:K35,0))</f>
        <v>0</v>
      </c>
      <c r="X412" s="191">
        <f t="array" ref="X412">SUM(IF((D10:D35=170504)*(E10:E35="NH")*(B10:B35="Construction"),L10:L35,0))</f>
        <v>0</v>
      </c>
      <c r="Y412" s="192">
        <f t="shared" si="123"/>
        <v>0</v>
      </c>
      <c r="Z412" s="501">
        <f t="shared" si="124"/>
        <v>0</v>
      </c>
    </row>
    <row r="413" spans="15:26" x14ac:dyDescent="0.25">
      <c r="O413" s="856" t="s">
        <v>240</v>
      </c>
      <c r="P413" s="857">
        <v>200306</v>
      </c>
      <c r="Q413" s="218" t="s">
        <v>123</v>
      </c>
      <c r="R413" s="324" t="s">
        <v>235</v>
      </c>
      <c r="S413" s="191">
        <f t="array" ref="S413">SUM(IF((D10:D35=200306)*(B10:B35="Demolition"),G10:G35,0))</f>
        <v>0</v>
      </c>
      <c r="T413" s="191">
        <f t="array" ref="T413">SUM(IF((D10:D35=200306)*(B10:B35="Demolition"),H10:H35,0))</f>
        <v>0</v>
      </c>
      <c r="U413" s="191">
        <f t="array" ref="U413">SUM(IF((D10:D35=200306)*(B10:B35="Demolition"),I10:I35,0))</f>
        <v>0</v>
      </c>
      <c r="V413" s="191">
        <f t="array" ref="V413">SUM(IF((D10:D35=200306)*(B10:B35="Demolition"),J10:J35,0))</f>
        <v>0</v>
      </c>
      <c r="W413" s="191">
        <f t="array" ref="W413">SUM(IF((D10:D35=200306)*(B10:B35="Demolition"),K10:K35,0))</f>
        <v>0</v>
      </c>
      <c r="X413" s="191">
        <f t="array" ref="X413">SUM(IF((D10:D35=200306)*(B10:B35="Demolition"),L10:L35,0))</f>
        <v>0</v>
      </c>
      <c r="Y413" s="192">
        <f t="shared" si="123"/>
        <v>0</v>
      </c>
      <c r="Z413" s="501">
        <f t="shared" si="124"/>
        <v>0</v>
      </c>
    </row>
    <row r="414" spans="15:26" x14ac:dyDescent="0.25">
      <c r="O414" s="856"/>
      <c r="P414" s="857"/>
      <c r="Q414" s="218" t="s">
        <v>123</v>
      </c>
      <c r="R414" s="503" t="s">
        <v>236</v>
      </c>
      <c r="S414" s="191">
        <f t="array" ref="S414">SUM(IF((D10:D35=200306)*(B10:B35="Excavation"),G10:G35,0))</f>
        <v>0</v>
      </c>
      <c r="T414" s="191">
        <f t="array" ref="T414">SUM(IF((D10:D35=200306)*(B10:B35="Excavation"),H10:H35,0))</f>
        <v>0</v>
      </c>
      <c r="U414" s="191">
        <f t="array" ref="U414">SUM(IF((D10:D35=200306)*(B10:B35="Excavation"),I10:I35,0))</f>
        <v>0</v>
      </c>
      <c r="V414" s="191">
        <f t="array" ref="V414">SUM(IF((D10:D35=200306)*(B10:B35="Excavation"),J10:J35,0))</f>
        <v>0</v>
      </c>
      <c r="W414" s="191">
        <f t="array" ref="W414">SUM(IF((D10:D35=200306)*(B10:B35="Excavation"),K10:K35,0))</f>
        <v>0</v>
      </c>
      <c r="X414" s="191">
        <f t="array" ref="X414">SUM(IF((D10:D35=200306)*(B10:B35="Excavation"),L10:L35,0))</f>
        <v>0</v>
      </c>
      <c r="Y414" s="192">
        <f t="shared" si="123"/>
        <v>0</v>
      </c>
      <c r="Z414" s="501">
        <f t="shared" si="124"/>
        <v>0</v>
      </c>
    </row>
    <row r="415" spans="15:26" x14ac:dyDescent="0.25">
      <c r="O415" s="856"/>
      <c r="P415" s="857"/>
      <c r="Q415" s="218" t="s">
        <v>123</v>
      </c>
      <c r="R415" s="503" t="s">
        <v>237</v>
      </c>
      <c r="S415" s="245">
        <f t="array" ref="S415">SUM(IF((D10:D35=200306)*(B10:B35="Construction"),G10:G35,0))</f>
        <v>0</v>
      </c>
      <c r="T415" s="245">
        <f t="array" ref="T415">SUM(IF((D10:D35=200306)*(B10:B35="Construction"),H10:H35,0))</f>
        <v>0</v>
      </c>
      <c r="U415" s="245">
        <f t="array" ref="U415">SUM(IF((D10:D35=200306)*(B10:B35="Construction"),I10:I35,0))</f>
        <v>0</v>
      </c>
      <c r="V415" s="245">
        <f t="array" ref="V415">SUM(IF((D10:D35=200306)*(B10:B35="Construction"),J10:J35,0))</f>
        <v>0</v>
      </c>
      <c r="W415" s="245">
        <f t="array" ref="W415">SUM(IF((D10:D35=200306)*(B10:B35="Construction"),K10:K35,0))</f>
        <v>0</v>
      </c>
      <c r="X415" s="245">
        <f t="array" ref="X415">SUM(IF((D10:D35=200306)*(B10:B35="Construction"),L10:L35,0))</f>
        <v>0</v>
      </c>
      <c r="Y415" s="192">
        <f t="shared" si="123"/>
        <v>0</v>
      </c>
      <c r="Z415" s="501">
        <f t="shared" si="124"/>
        <v>0</v>
      </c>
    </row>
    <row r="416" spans="15:26" x14ac:dyDescent="0.25">
      <c r="O416" s="1075" t="s">
        <v>224</v>
      </c>
      <c r="P416" s="857">
        <v>60102</v>
      </c>
      <c r="Q416" s="218" t="s">
        <v>126</v>
      </c>
      <c r="R416" s="244" t="s">
        <v>235</v>
      </c>
      <c r="S416" s="191">
        <f t="array" ref="S416">SUM(IF((D10:D35=60102)*(B10:B35="Demolition"),G10:G35,0))</f>
        <v>0</v>
      </c>
      <c r="T416" s="191">
        <f t="array" ref="T416">SUM(IF((D10:D35=60102)*(B10:B35="Demolition"),H10:H35,0))</f>
        <v>0</v>
      </c>
      <c r="U416" s="191">
        <f t="array" ref="U416">SUM(IF((D10:D35=60102)*(B10:B35="Demolition"),I10:I35,0))</f>
        <v>0</v>
      </c>
      <c r="V416" s="191">
        <f t="array" ref="V416">SUM(IF((D10:D35=60102)*(B10:B35="Demolition"),J10:J35,0))</f>
        <v>0</v>
      </c>
      <c r="W416" s="191">
        <f t="array" ref="W416">SUM(IF((D10:D35=60102)*(B10:B35="Demolition"),K10:K35,0))</f>
        <v>0</v>
      </c>
      <c r="X416" s="191">
        <f t="array" ref="X416">SUM(IF((D10:D35=60102)*(B10:B35="Demolition"),L10:L35,0))</f>
        <v>0</v>
      </c>
      <c r="Y416" s="192">
        <f t="shared" si="123"/>
        <v>0</v>
      </c>
      <c r="Z416" s="501">
        <f t="shared" si="124"/>
        <v>0</v>
      </c>
    </row>
    <row r="417" spans="15:26" x14ac:dyDescent="0.25">
      <c r="O417" s="1075"/>
      <c r="P417" s="857"/>
      <c r="Q417" s="218" t="s">
        <v>126</v>
      </c>
      <c r="R417" s="244" t="s">
        <v>236</v>
      </c>
      <c r="S417" s="191">
        <f t="array" ref="S417">SUM(IF((D10:D35=60102)*(B10:B35="Excavation"),G10:G35,0))</f>
        <v>0</v>
      </c>
      <c r="T417" s="191">
        <f t="array" ref="T417">SUM(IF((D10:D35=60102)*(B10:B35="Excavation"),H10:H35,0))</f>
        <v>0</v>
      </c>
      <c r="U417" s="191">
        <f t="array" ref="U417">SUM(IF((D10:D35=60102)*(B10:B35="Excavation"),I10:I35,0))</f>
        <v>0</v>
      </c>
      <c r="V417" s="191">
        <f t="array" ref="V417">SUM(IF((D10:D35=60102)*(B10:B35="Excavation"),J10:J35,0))</f>
        <v>0</v>
      </c>
      <c r="W417" s="191">
        <f t="array" ref="W417">SUM(IF((D10:D35=60102)*(B10:B35="Excavation"),K10:K35,0))</f>
        <v>0</v>
      </c>
      <c r="X417" s="191">
        <f t="array" ref="X417">SUM(IF((D10:D35=60102)*(B10:B35="Excavation"),L10:L35,0))</f>
        <v>0</v>
      </c>
      <c r="Y417" s="192">
        <f t="shared" si="123"/>
        <v>0</v>
      </c>
      <c r="Z417" s="501">
        <f t="shared" si="124"/>
        <v>0</v>
      </c>
    </row>
    <row r="418" spans="15:26" x14ac:dyDescent="0.25">
      <c r="O418" s="1075"/>
      <c r="P418" s="857"/>
      <c r="Q418" s="218" t="s">
        <v>126</v>
      </c>
      <c r="R418" s="244" t="s">
        <v>237</v>
      </c>
      <c r="S418" s="245">
        <f t="array" ref="S418">SUM(IF((D10:D35=60102)*(B10:B35="Construction"),G10:G35,0))</f>
        <v>0</v>
      </c>
      <c r="T418" s="245">
        <f t="array" ref="T418">SUM(IF((D10:D35=60102)*(B10:B35="Construction"),H10:H35,0))</f>
        <v>0</v>
      </c>
      <c r="U418" s="245">
        <f t="array" ref="U418">SUM(IF((D10:D35=60102)*(B10:B35="Construction"),I10:I35,0))</f>
        <v>0</v>
      </c>
      <c r="V418" s="245">
        <f t="array" ref="V418">SUM(IF((D10:D35=60102)*(B10:B35="Construction"),J10:J35,0))</f>
        <v>0</v>
      </c>
      <c r="W418" s="245">
        <f t="array" ref="W418">SUM(IF((D10:D35=60102)*(B10:B35="Construction"),K10:K35,0))</f>
        <v>0</v>
      </c>
      <c r="X418" s="245">
        <f t="array" ref="X418">SUM(IF((D10:D35=60102)*(B10:B35="Construction"),L10:L35,0))</f>
        <v>0</v>
      </c>
      <c r="Y418" s="192">
        <f t="shared" si="123"/>
        <v>0</v>
      </c>
      <c r="Z418" s="501">
        <f t="shared" si="124"/>
        <v>0</v>
      </c>
    </row>
    <row r="419" spans="15:26" x14ac:dyDescent="0.25">
      <c r="O419" s="1075" t="s">
        <v>225</v>
      </c>
      <c r="P419" s="857">
        <v>60106</v>
      </c>
      <c r="Q419" s="218" t="s">
        <v>126</v>
      </c>
      <c r="R419" s="244" t="s">
        <v>235</v>
      </c>
      <c r="S419" s="191">
        <f t="array" ref="S419">SUM(IF((D10:D35=60106)*(B10:B35="Demolition"),G10:G35,0))</f>
        <v>0</v>
      </c>
      <c r="T419" s="191">
        <f t="array" ref="T419">SUM(IF((D10:D35=60106)*(B10:B35="Demolition"),H10:H35,0))</f>
        <v>0</v>
      </c>
      <c r="U419" s="191">
        <f t="array" ref="U419">SUM(IF((D10:D35=60106)*(B10:B35="Demolition"),I10:I35,0))</f>
        <v>0</v>
      </c>
      <c r="V419" s="191">
        <f t="array" ref="V419">SUM(IF((D10:D35=60106)*(B10:B35="Demolition"),J10:J35,0))</f>
        <v>0</v>
      </c>
      <c r="W419" s="191">
        <f t="array" ref="W419">SUM(IF((D10:D35=60106)*(B10:B35="Demolition"),K10:K35,0))</f>
        <v>0</v>
      </c>
      <c r="X419" s="191">
        <f t="array" ref="X419">SUM(IF((D10:D35=60106)*(B10:B35="Demolition"),L10:L35,0))</f>
        <v>0</v>
      </c>
      <c r="Y419" s="192">
        <f t="shared" si="123"/>
        <v>0</v>
      </c>
      <c r="Z419" s="501">
        <f t="shared" si="124"/>
        <v>0</v>
      </c>
    </row>
    <row r="420" spans="15:26" x14ac:dyDescent="0.25">
      <c r="O420" s="1075"/>
      <c r="P420" s="857"/>
      <c r="Q420" s="218" t="s">
        <v>126</v>
      </c>
      <c r="R420" s="244" t="s">
        <v>236</v>
      </c>
      <c r="S420" s="191">
        <f t="array" ref="S420">SUM(IF((D10:D35=60106)*(B10:B35="Excavation"),G10:G35,0))</f>
        <v>0</v>
      </c>
      <c r="T420" s="191">
        <f t="array" ref="T420">SUM(IF((D10:D35=60106)*(B10:B35="Excavation"),H10:H35,0))</f>
        <v>0</v>
      </c>
      <c r="U420" s="191">
        <f t="array" ref="U420">SUM(IF((D10:D35=60106)*(B10:B35="Excavation"),I10:I35,0))</f>
        <v>0</v>
      </c>
      <c r="V420" s="191">
        <f t="array" ref="V420">SUM(IF((D10:D35=60106)*(B10:B35="Excavation"),J10:J35,0))</f>
        <v>0</v>
      </c>
      <c r="W420" s="191">
        <f t="array" ref="W420">SUM(IF((D10:D35=60106)*(B10:B35="Excavation"),K10:K35,0))</f>
        <v>0</v>
      </c>
      <c r="X420" s="191">
        <f t="array" ref="X420">SUM(IF((D10:D35=60106)*(B10:B35="Excavation"),L10:L35,0))</f>
        <v>0</v>
      </c>
      <c r="Y420" s="192">
        <f t="shared" si="123"/>
        <v>0</v>
      </c>
      <c r="Z420" s="501">
        <f t="shared" si="124"/>
        <v>0</v>
      </c>
    </row>
    <row r="421" spans="15:26" x14ac:dyDescent="0.25">
      <c r="O421" s="1075"/>
      <c r="P421" s="857"/>
      <c r="Q421" s="218" t="s">
        <v>126</v>
      </c>
      <c r="R421" s="244" t="s">
        <v>237</v>
      </c>
      <c r="S421" s="245">
        <f t="array" ref="S421">SUM(IF((D10:D35=60106)*(B10:B35="Construction"),G10:G35,0))</f>
        <v>0</v>
      </c>
      <c r="T421" s="245">
        <f t="array" ref="T421">SUM(IF((D10:D35=60106)*(B10:B35="Construction"),H10:H35,0))</f>
        <v>0</v>
      </c>
      <c r="U421" s="245">
        <f t="array" ref="U421">SUM(IF((D10:D35=60106)*(B10:B35="Construction"),I10:I35,0))</f>
        <v>0</v>
      </c>
      <c r="V421" s="245">
        <f t="array" ref="V421">SUM(IF((D10:D35=60106)*(B10:B35="Construction"),J10:J35,0))</f>
        <v>0</v>
      </c>
      <c r="W421" s="245">
        <f t="array" ref="W421">SUM(IF((D10:D35=60106)*(B10:B35="Construction"),K10:K35,0))</f>
        <v>0</v>
      </c>
      <c r="X421" s="245">
        <f t="array" ref="X421">SUM(IF((D10:D35=60106)*(B10:B35="Construction"),L10:L35,0))</f>
        <v>0</v>
      </c>
      <c r="Y421" s="192">
        <f t="shared" si="123"/>
        <v>0</v>
      </c>
      <c r="Z421" s="501">
        <f t="shared" si="124"/>
        <v>0</v>
      </c>
    </row>
    <row r="422" spans="15:26" x14ac:dyDescent="0.25">
      <c r="O422" s="1075" t="s">
        <v>226</v>
      </c>
      <c r="P422" s="857">
        <v>60101</v>
      </c>
      <c r="Q422" s="218" t="s">
        <v>126</v>
      </c>
      <c r="R422" s="244" t="s">
        <v>235</v>
      </c>
      <c r="S422" s="191">
        <f t="array" ref="S422">SUM(IF((D10:D35=60101)*(B10:B35="Demolition"),G10:G35,0))</f>
        <v>0</v>
      </c>
      <c r="T422" s="191">
        <f t="array" ref="T422">SUM(IF((D10:D35=60101)*(B10:B35="Demolition"),H10:H35,0))</f>
        <v>0</v>
      </c>
      <c r="U422" s="191">
        <f t="array" ref="U422">SUM(IF((D10:D35=60101)*(B10:B35="Demolition"),I10:I35,0))</f>
        <v>0</v>
      </c>
      <c r="V422" s="191">
        <f t="array" ref="V422">SUM(IF((D10:D35=60101)*(B10:B35="Demolition"),J10:J35,0))</f>
        <v>0</v>
      </c>
      <c r="W422" s="191">
        <f t="array" ref="W422">SUM(IF((D10:D35=60101)*(B10:B35="Demolition"),K10:K35,0))</f>
        <v>0</v>
      </c>
      <c r="X422" s="191">
        <f t="array" ref="X422">SUM(IF((D10:D35=60101)*(B10:B35="Demolition"),L10:L35,0))</f>
        <v>0</v>
      </c>
      <c r="Y422" s="192">
        <f t="shared" si="123"/>
        <v>0</v>
      </c>
      <c r="Z422" s="501">
        <f t="shared" si="124"/>
        <v>0</v>
      </c>
    </row>
    <row r="423" spans="15:26" x14ac:dyDescent="0.25">
      <c r="O423" s="1075"/>
      <c r="P423" s="857"/>
      <c r="Q423" s="218" t="s">
        <v>126</v>
      </c>
      <c r="R423" s="244" t="s">
        <v>236</v>
      </c>
      <c r="S423" s="191">
        <f t="array" ref="S423">SUM(IF((D10:D35=60101)*(B10:B35="Excavation"),G10:G35,0))</f>
        <v>0</v>
      </c>
      <c r="T423" s="191">
        <f t="array" ref="T423">SUM(IF((D10:D35=60101)*(B10:B35="Excavation"),H10:H35,0))</f>
        <v>0</v>
      </c>
      <c r="U423" s="191">
        <f t="array" ref="U423">SUM(IF((D10:D35=60101)*(B10:B35="Excavation"),I10:I35,0))</f>
        <v>0</v>
      </c>
      <c r="V423" s="191">
        <f t="array" ref="V423">SUM(IF((D10:D35=60101)*(B10:B35="Excavation"),J10:J35,0))</f>
        <v>0</v>
      </c>
      <c r="W423" s="191">
        <f t="array" ref="W423">SUM(IF((D10:D35=60101)*(B10:B35="Excavation"),K10:K35,0))</f>
        <v>0</v>
      </c>
      <c r="X423" s="191">
        <f t="array" ref="X423">SUM(IF((D10:D35=60101)*(B10:B35="Excavation"),L10:L35,0))</f>
        <v>0</v>
      </c>
      <c r="Y423" s="192">
        <f t="shared" si="123"/>
        <v>0</v>
      </c>
      <c r="Z423" s="501">
        <f t="shared" si="124"/>
        <v>0</v>
      </c>
    </row>
    <row r="424" spans="15:26" x14ac:dyDescent="0.25">
      <c r="O424" s="1075"/>
      <c r="P424" s="857"/>
      <c r="Q424" s="218" t="s">
        <v>126</v>
      </c>
      <c r="R424" s="244" t="s">
        <v>237</v>
      </c>
      <c r="S424" s="245">
        <f t="array" ref="S424">SUM(IF((D10:D35=60101)*(B10:B35="Construction"),G10:G35,0))</f>
        <v>0</v>
      </c>
      <c r="T424" s="245">
        <f t="array" ref="T424">SUM(IF((D10:D35=60101)*(B10:B35="Construction"),H10:H35,0))</f>
        <v>0</v>
      </c>
      <c r="U424" s="245">
        <f t="array" ref="U424">SUM(IF((D10:D35=60101)*(B10:B35="Construction"),I10:I35,0))</f>
        <v>0</v>
      </c>
      <c r="V424" s="245">
        <f t="array" ref="V424">SUM(IF((D10:D35=60101)*(B10:B35="Construction"),J10:J35,0))</f>
        <v>0</v>
      </c>
      <c r="W424" s="245">
        <f t="array" ref="W424">SUM(IF((D10:D35=60101)*(B10:B35="Construction"),K10:K35,0))</f>
        <v>0</v>
      </c>
      <c r="X424" s="245">
        <f t="array" ref="X424">SUM(IF((D10:D35=60101)*(B10:B35="Construction"),L10:L35,0))</f>
        <v>0</v>
      </c>
      <c r="Y424" s="192">
        <f t="shared" si="123"/>
        <v>0</v>
      </c>
      <c r="Z424" s="501">
        <f t="shared" si="124"/>
        <v>0</v>
      </c>
    </row>
    <row r="425" spans="15:26" x14ac:dyDescent="0.25">
      <c r="O425" s="1075" t="s">
        <v>227</v>
      </c>
      <c r="P425" s="857">
        <v>60201</v>
      </c>
      <c r="Q425" s="218" t="s">
        <v>126</v>
      </c>
      <c r="R425" s="244" t="s">
        <v>235</v>
      </c>
      <c r="S425" s="191">
        <f t="array" ref="S425">SUM(IF((D10:D35=60201)*(B10:B35="Demolition"),G10:G35,0))</f>
        <v>0</v>
      </c>
      <c r="T425" s="191">
        <f t="array" ref="T425">SUM(IF((D10:D35=60201)*(B10:B35="Demolition"),H10:H35,0))</f>
        <v>0</v>
      </c>
      <c r="U425" s="191">
        <f t="array" ref="U425">SUM(IF((D10:D35=60201)*(B10:B35="Demolition"),I10:I35,0))</f>
        <v>0</v>
      </c>
      <c r="V425" s="191">
        <f t="array" ref="V425">SUM(IF((D10:D35=60201)*(B10:B35="Demolition"),J10:J35,0))</f>
        <v>0</v>
      </c>
      <c r="W425" s="191">
        <f t="array" ref="W425">SUM(IF((D10:D35=60201)*(B10:B35="Demolition"),K10:K35,0))</f>
        <v>0</v>
      </c>
      <c r="X425" s="191">
        <f t="array" ref="X425">SUM(IF((D10:D35=60201)*(B10:B35="Demolition"),L10:L35,0))</f>
        <v>0</v>
      </c>
      <c r="Y425" s="192">
        <f t="shared" si="123"/>
        <v>0</v>
      </c>
      <c r="Z425" s="501">
        <f t="shared" si="124"/>
        <v>0</v>
      </c>
    </row>
    <row r="426" spans="15:26" x14ac:dyDescent="0.25">
      <c r="O426" s="1075"/>
      <c r="P426" s="857"/>
      <c r="Q426" s="218" t="s">
        <v>126</v>
      </c>
      <c r="R426" s="244" t="s">
        <v>236</v>
      </c>
      <c r="S426" s="191">
        <f t="array" ref="S426">SUM(IF((D10:D35=60201)*(B10:B35="Excavation"),G10:G35,0))</f>
        <v>0</v>
      </c>
      <c r="T426" s="191">
        <f t="array" ref="T426">SUM(IF((D10:D35=60201)*(B10:B35="Excavation"),H10:H35,0))</f>
        <v>0</v>
      </c>
      <c r="U426" s="191">
        <f t="array" ref="U426">SUM(IF((D10:D35=60201)*(B10:B35="Excavation"),I10:I35,0))</f>
        <v>0</v>
      </c>
      <c r="V426" s="191">
        <f t="array" ref="V426">SUM(IF((D10:D35=60201)*(B10:B35="Excavation"),J10:J35,0))</f>
        <v>0</v>
      </c>
      <c r="W426" s="191">
        <f t="array" ref="W426">SUM(IF((D10:D35=60201)*(B10:B35="Excavation"),K10:K35,0))</f>
        <v>0</v>
      </c>
      <c r="X426" s="191">
        <f t="array" ref="X426">SUM(IF((D10:D35=60201)*(B10:B35="Excavation"),L10:L35,0))</f>
        <v>0</v>
      </c>
      <c r="Y426" s="192">
        <f t="shared" si="123"/>
        <v>0</v>
      </c>
      <c r="Z426" s="501">
        <f t="shared" si="124"/>
        <v>0</v>
      </c>
    </row>
    <row r="427" spans="15:26" x14ac:dyDescent="0.25">
      <c r="O427" s="1075"/>
      <c r="P427" s="857"/>
      <c r="Q427" s="218" t="s">
        <v>126</v>
      </c>
      <c r="R427" s="244" t="s">
        <v>237</v>
      </c>
      <c r="S427" s="245">
        <f t="array" ref="S427">SUM(IF((D10:D35=60201)*(B10:B35="Construction"),G10:G35,0))</f>
        <v>0</v>
      </c>
      <c r="T427" s="245">
        <f t="array" ref="T427">SUM(IF((D10:D35=60201)*(B10:B35="Construction"),H10:H35,0))</f>
        <v>0</v>
      </c>
      <c r="U427" s="245">
        <f t="array" ref="U427">SUM(IF((D10:D35=60201)*(B10:B35="Construction"),I10:I35,0))</f>
        <v>0</v>
      </c>
      <c r="V427" s="245">
        <f t="array" ref="V427">SUM(IF((D10:D35=60201)*(B10:B35="Construction"),J10:J35,0))</f>
        <v>0</v>
      </c>
      <c r="W427" s="245">
        <f t="array" ref="W427">SUM(IF((D10:D35=60201)*(B10:B35="Construction"),K10:K35,0))</f>
        <v>0</v>
      </c>
      <c r="X427" s="245">
        <f t="array" ref="X427">SUM(IF((D10:D35=60201)*(B10:B35="Construction"),L10:L35,0))</f>
        <v>0</v>
      </c>
      <c r="Y427" s="192">
        <f t="shared" si="123"/>
        <v>0</v>
      </c>
      <c r="Z427" s="501">
        <f t="shared" si="124"/>
        <v>0</v>
      </c>
    </row>
    <row r="428" spans="15:26" x14ac:dyDescent="0.25">
      <c r="O428" s="1075" t="s">
        <v>228</v>
      </c>
      <c r="P428" s="857">
        <v>60205</v>
      </c>
      <c r="Q428" s="218" t="s">
        <v>126</v>
      </c>
      <c r="R428" s="244" t="s">
        <v>235</v>
      </c>
      <c r="S428" s="191">
        <f t="array" ref="S428">SUM(IF((D10:D35=60205)*(B10:B35="Demolition"),G10:G35,0))</f>
        <v>0</v>
      </c>
      <c r="T428" s="191">
        <f t="array" ref="T428">SUM(IF((D10:D35=60205)*(B10:B35="Demolition"),H10:H35,0))</f>
        <v>0</v>
      </c>
      <c r="U428" s="191">
        <f t="array" ref="U428">SUM(IF((D10:D35=60205)*(B10:B35="Demolition"),I10:I35,0))</f>
        <v>0</v>
      </c>
      <c r="V428" s="191">
        <f t="array" ref="V428">SUM(IF((D10:D35=60205)*(B10:B35="Demolition"),J10:J35,0))</f>
        <v>0</v>
      </c>
      <c r="W428" s="191">
        <f t="array" ref="W428">SUM(IF((D10:D35=60205)*(B10:B35="Demolition"),K10:K35,0))</f>
        <v>0</v>
      </c>
      <c r="X428" s="191">
        <f t="array" ref="X428">SUM(IF((D10:D35=60205)*(B10:B35="Demolition"),L10:L35,0))</f>
        <v>0</v>
      </c>
      <c r="Y428" s="192">
        <f t="shared" si="123"/>
        <v>0</v>
      </c>
      <c r="Z428" s="501">
        <f t="shared" si="124"/>
        <v>0</v>
      </c>
    </row>
    <row r="429" spans="15:26" x14ac:dyDescent="0.25">
      <c r="O429" s="1075"/>
      <c r="P429" s="857"/>
      <c r="Q429" s="218" t="s">
        <v>126</v>
      </c>
      <c r="R429" s="244" t="s">
        <v>236</v>
      </c>
      <c r="S429" s="191">
        <f t="array" ref="S429">SUM(IF((D10:D35=60205)*(B10:B35="Excavation"),G10:G35,0))</f>
        <v>0</v>
      </c>
      <c r="T429" s="191">
        <f t="array" ref="T429">SUM(IF((D10:D35=60205)*(B10:B35="Excavation"),H10:H35,0))</f>
        <v>0</v>
      </c>
      <c r="U429" s="191">
        <f t="array" ref="U429">SUM(IF((D10:D35=60205)*(B10:B35="Excavation"),I10:I35,0))</f>
        <v>0</v>
      </c>
      <c r="V429" s="191">
        <f t="array" ref="V429">SUM(IF((D10:D35=60205)*(B10:B35="Excavation"),J10:J35,0))</f>
        <v>0</v>
      </c>
      <c r="W429" s="191">
        <f t="array" ref="W429">SUM(IF((D10:D35=60205)*(B10:B35="Excavation"),K10:K35,0))</f>
        <v>0</v>
      </c>
      <c r="X429" s="191">
        <f t="array" ref="X429">SUM(IF((D10:D35=60205)*(B10:B35="Excavation"),L10:L35,0))</f>
        <v>0</v>
      </c>
      <c r="Y429" s="192">
        <f t="shared" si="123"/>
        <v>0</v>
      </c>
      <c r="Z429" s="501">
        <f t="shared" si="124"/>
        <v>0</v>
      </c>
    </row>
    <row r="430" spans="15:26" x14ac:dyDescent="0.25">
      <c r="O430" s="1075"/>
      <c r="P430" s="857"/>
      <c r="Q430" s="218" t="s">
        <v>126</v>
      </c>
      <c r="R430" s="244" t="s">
        <v>237</v>
      </c>
      <c r="S430" s="245">
        <f t="array" ref="S430">SUM(IF((D10:D35=60205)*(B10:B35="Construction"),G10:G35,0))</f>
        <v>0</v>
      </c>
      <c r="T430" s="245">
        <f t="array" ref="T430">SUM(IF((D10:D35=60205)*(B10:B35="Construction"),H10:H35,0))</f>
        <v>0</v>
      </c>
      <c r="U430" s="245">
        <f t="array" ref="U430">SUM(IF((D10:D35=60205)*(B10:B35="Construction"),I10:I35,0))</f>
        <v>0</v>
      </c>
      <c r="V430" s="245">
        <f t="array" ref="V430">SUM(IF((D10:D35=60205)*(B10:B35="Construction"),J10:J35,0))</f>
        <v>0</v>
      </c>
      <c r="W430" s="245">
        <f t="array" ref="W430">SUM(IF((D10:D35=60205)*(B10:B35="Construction"),K10:K35,0))</f>
        <v>0</v>
      </c>
      <c r="X430" s="245">
        <f t="array" ref="X430">SUM(IF((D10:D35=60205)*(B10:B35="Construction"),L10:L35,0))</f>
        <v>0</v>
      </c>
      <c r="Y430" s="192">
        <f t="shared" si="123"/>
        <v>0</v>
      </c>
      <c r="Z430" s="501">
        <f t="shared" si="124"/>
        <v>0</v>
      </c>
    </row>
    <row r="431" spans="15:26" x14ac:dyDescent="0.25">
      <c r="O431" s="1075" t="s">
        <v>229</v>
      </c>
      <c r="P431" s="857">
        <v>200111</v>
      </c>
      <c r="Q431" s="218" t="s">
        <v>123</v>
      </c>
      <c r="R431" s="244" t="s">
        <v>235</v>
      </c>
      <c r="S431" s="191">
        <f t="array" ref="S431">SUM(IF((D10:D35=200111)*(B10:B35="Demolition"),G10:G35,0))</f>
        <v>0</v>
      </c>
      <c r="T431" s="191">
        <f t="array" ref="T431">SUM(IF((D10:D35=200111)*(B10:B35="Demolition"),H10:H35,0))</f>
        <v>0</v>
      </c>
      <c r="U431" s="191">
        <f t="array" ref="U431">SUM(IF((D10:D35=200111)*(B10:B35="Demolition"),I10:I35,0))</f>
        <v>0</v>
      </c>
      <c r="V431" s="191">
        <f t="array" ref="V431">SUM(IF((D10:D35=200111)*(B10:B35="Demolition"),J10:J35,0))</f>
        <v>0</v>
      </c>
      <c r="W431" s="191">
        <f t="array" ref="W431">SUM(IF((D10:D35=200111)*(B10:B35="Demolition"),K10:K35,0))</f>
        <v>0</v>
      </c>
      <c r="X431" s="191">
        <f t="array" ref="X431">SUM(IF((D10:D35=200111)*(B10:B35="Demolition"),L10:L35,0))</f>
        <v>0</v>
      </c>
      <c r="Y431" s="192">
        <f t="shared" si="123"/>
        <v>0</v>
      </c>
      <c r="Z431" s="501">
        <f t="shared" si="124"/>
        <v>0</v>
      </c>
    </row>
    <row r="432" spans="15:26" x14ac:dyDescent="0.25">
      <c r="O432" s="1082"/>
      <c r="P432" s="1084"/>
      <c r="Q432" s="218" t="s">
        <v>123</v>
      </c>
      <c r="R432" s="244" t="s">
        <v>236</v>
      </c>
      <c r="S432" s="191">
        <f t="array" ref="S432">SUM(IF((D10:D35=200111)*(B10:B35="Excavation"),G10:G35,0))</f>
        <v>0</v>
      </c>
      <c r="T432" s="191">
        <f t="array" ref="T432">SUM(IF((D10:D35=200111)*(B10:B35="Excavation"),H10:H35,0))</f>
        <v>0</v>
      </c>
      <c r="U432" s="191">
        <f t="array" ref="U432">SUM(IF((D10:D35=200111)*(B10:B35="Excavation"),I10:I35,0))</f>
        <v>0</v>
      </c>
      <c r="V432" s="191">
        <f t="array" ref="V432">SUM(IF((D10:D35=200111)*(B10:B35="Excavation"),J10:J35,0))</f>
        <v>0</v>
      </c>
      <c r="W432" s="191">
        <f t="array" ref="W432">SUM(IF((D10:D35=200111)*(B10:B35="Excavation"),K10:K35,0))</f>
        <v>0</v>
      </c>
      <c r="X432" s="191">
        <f t="array" ref="X432">SUM(IF((D10:D35=200111)*(B10:B35="Excavation"),L10:L35,0))</f>
        <v>0</v>
      </c>
      <c r="Y432" s="192">
        <f t="shared" si="123"/>
        <v>0</v>
      </c>
      <c r="Z432" s="501">
        <f t="shared" si="124"/>
        <v>0</v>
      </c>
    </row>
    <row r="433" spans="15:26" ht="13.8" thickBot="1" x14ac:dyDescent="0.3">
      <c r="O433" s="1083"/>
      <c r="P433" s="1085"/>
      <c r="Q433" s="221" t="s">
        <v>123</v>
      </c>
      <c r="R433" s="247" t="s">
        <v>237</v>
      </c>
      <c r="S433" s="245">
        <f t="array" ref="S433">SUM(IF((D10:D35=200111)*(B10:B35="Construction"),G10:G35,0))</f>
        <v>0</v>
      </c>
      <c r="T433" s="245">
        <f t="array" ref="T433">SUM(IF((D10:D35=200111)*(B10:B35="Construction"),H10:H35,0))</f>
        <v>0</v>
      </c>
      <c r="U433" s="245">
        <f t="array" ref="U433">SUM(IF((D10:D35=200111)*(B10:B35="Construction"),I10:I35,0))</f>
        <v>0</v>
      </c>
      <c r="V433" s="245">
        <f t="array" ref="V433">SUM(IF((D10:D35=200111)*(B10:B35="Construction"),J10:J35,0))</f>
        <v>0</v>
      </c>
      <c r="W433" s="245">
        <f t="array" ref="W433">SUM(IF((D10:D35=200111)*(B10:B35="Construction"),K10:K35,0))</f>
        <v>0</v>
      </c>
      <c r="X433" s="245">
        <f t="array" ref="X433">SUM(IF((D10:D35=200111)*(B10:B35="Construction"),L10:L35,0))</f>
        <v>0</v>
      </c>
      <c r="Y433" s="192">
        <f t="shared" si="123"/>
        <v>0</v>
      </c>
      <c r="Z433" s="501">
        <f t="shared" si="124"/>
        <v>0</v>
      </c>
    </row>
    <row r="434" spans="15:26" x14ac:dyDescent="0.25">
      <c r="O434" s="1086" t="s">
        <v>428</v>
      </c>
      <c r="P434" s="1089">
        <v>150110</v>
      </c>
      <c r="Q434" s="218" t="s">
        <v>126</v>
      </c>
      <c r="R434" s="244" t="s">
        <v>235</v>
      </c>
      <c r="S434" s="191">
        <f t="array" ref="S434">SUM(IF((D10:D35=150110)*(B10:B35="Demolition"),G10:G35,0))</f>
        <v>0</v>
      </c>
      <c r="T434" s="191">
        <f t="array" ref="T434">SUM(IF((D10:D35=150110)*(B10:B35="Demolition"),H10:H35,0))</f>
        <v>0</v>
      </c>
      <c r="U434" s="191">
        <f t="array" ref="U434">SUM(IF((D10:D35=150110)*(B10:B35="Demolition"),I10:I35,0))</f>
        <v>0</v>
      </c>
      <c r="V434" s="191">
        <f t="array" ref="V434">SUM(IF((D10:D35=150110)*(B10:B35="Demolition"),J10:J35,0))</f>
        <v>0</v>
      </c>
      <c r="W434" s="191">
        <f t="array" ref="W434">SUM(IF((D10:D35=150110)*(B10:B35="Demolition"),K10:K35,0))</f>
        <v>0</v>
      </c>
      <c r="X434" s="191">
        <f t="array" ref="X434">SUM(IF((D10:D35=150110)*(B10:B35="Demolition"),L10:L35,0))</f>
        <v>0</v>
      </c>
      <c r="Y434" s="192">
        <f t="shared" ref="Y434:Y442" si="125">S434+T434+U434+V434+X434</f>
        <v>0</v>
      </c>
      <c r="Z434" s="501">
        <f t="shared" ref="Z434:Z442" si="126">T434+V434+X434</f>
        <v>0</v>
      </c>
    </row>
    <row r="435" spans="15:26" x14ac:dyDescent="0.25">
      <c r="O435" s="1087"/>
      <c r="P435" s="1090"/>
      <c r="Q435" s="218" t="s">
        <v>126</v>
      </c>
      <c r="R435" s="244" t="s">
        <v>236</v>
      </c>
      <c r="S435" s="191">
        <f t="array" ref="S435">SUM(IF((D10:D35=150110)*(B10:B35="Excavation"),G10:G35,0))</f>
        <v>0</v>
      </c>
      <c r="T435" s="191">
        <f t="array" ref="T435">SUM(IF((D10:D35=150110)*(B10:B35="Excavation"),H10:H35,0))</f>
        <v>0</v>
      </c>
      <c r="U435" s="191">
        <f t="array" ref="U435">SUM(IF((D10:D35=150110)*(B10:B35="Excavation"),I10:I35,0))</f>
        <v>0</v>
      </c>
      <c r="V435" s="191">
        <f t="array" ref="V435">SUM(IF((D10:D35=150110)*(B10:B35="Excavation"),J10:J35,0))</f>
        <v>0</v>
      </c>
      <c r="W435" s="191">
        <f t="array" ref="W435">SUM(IF((D10:D35=150110)*(B10:B35="Excavation"),K10:K35,0))</f>
        <v>0</v>
      </c>
      <c r="X435" s="191">
        <f t="array" ref="X435">SUM(IF((D10:D35=150110)*(B10:B35="Excavation"),L10:L35,0))</f>
        <v>0</v>
      </c>
      <c r="Y435" s="192">
        <f t="shared" si="125"/>
        <v>0</v>
      </c>
      <c r="Z435" s="501">
        <f t="shared" si="126"/>
        <v>0</v>
      </c>
    </row>
    <row r="436" spans="15:26" ht="13.8" thickBot="1" x14ac:dyDescent="0.3">
      <c r="O436" s="1088"/>
      <c r="P436" s="1091"/>
      <c r="Q436" s="221" t="s">
        <v>126</v>
      </c>
      <c r="R436" s="247" t="s">
        <v>237</v>
      </c>
      <c r="S436" s="248">
        <f t="array" ref="S436">SUM(IF((D10:D35=150110)*(B10:B35="Construction"),G10:G35,0))</f>
        <v>0</v>
      </c>
      <c r="T436" s="248">
        <f t="array" ref="T436">SUM(IF((D10:D35=150110)*(B10:B35="Construction"),H10:H35,0))</f>
        <v>0</v>
      </c>
      <c r="U436" s="248">
        <f t="array" ref="U436">SUM(IF((D10:D35=150110)*(B10:B35="Construction"),I10:I35,0))</f>
        <v>0</v>
      </c>
      <c r="V436" s="248">
        <f t="array" ref="V436">SUM(IF((D10:D35=150110)*(B10:B35="Construction"),J10:J35,0))</f>
        <v>0</v>
      </c>
      <c r="W436" s="248">
        <f t="array" ref="W436">SUM(IF((D10:D35=150110)*(B10:B35="Construction"),K10:K35,0))</f>
        <v>0</v>
      </c>
      <c r="X436" s="248">
        <f t="array" ref="X436">SUM(IF((D10:D35=150110)*(B10:B35="Construction"),L10:L35,0))</f>
        <v>0</v>
      </c>
      <c r="Y436" s="504">
        <f t="shared" si="125"/>
        <v>0</v>
      </c>
      <c r="Z436" s="505">
        <f t="shared" si="126"/>
        <v>0</v>
      </c>
    </row>
    <row r="437" spans="15:26" x14ac:dyDescent="0.25">
      <c r="O437" s="1074" t="s">
        <v>120</v>
      </c>
      <c r="P437" s="1077">
        <v>150106</v>
      </c>
      <c r="Q437" s="241" t="s">
        <v>123</v>
      </c>
      <c r="R437" s="242" t="s">
        <v>235</v>
      </c>
      <c r="S437" s="232">
        <f t="array" ref="S437">SUM(IF((A10:A35="Dry Mixed Recyclables (DMR - paper, cardboard, metal, plastic glass)")*(B10:B35="Demolition"),G10:G35,0))</f>
        <v>0</v>
      </c>
      <c r="T437" s="232">
        <f t="array" ref="T437">SUM(IF((A10:A35="Dry Mixed Recyclables (DMR - paper, cardboard, metal, plastic glass)")*(B10:B35="Demolition"),H10:H35,0))</f>
        <v>0</v>
      </c>
      <c r="U437" s="232">
        <f t="array" ref="U437">SUM(IF((A10:A35="Dry Mixed Recyclables (DMR - paper, cardboard, metal, plastic glass)")*(B10:B35="Demolition"),I10:I35,0))</f>
        <v>0</v>
      </c>
      <c r="V437" s="232">
        <f t="array" ref="V437">SUM(IF((A10:A35="Dry Mixed Recyclables (DMR - paper, cardboard, metal, plastic glass)")*(B10:B35="Demolition"),J10:J35,0))</f>
        <v>0</v>
      </c>
      <c r="W437" s="232">
        <f t="array" ref="W437">SUM(IF((A10:A35="Dry Mixed Recyclables (DMR - paper, cardboard, metal, plastic glass)")*(B10:B35="Demolition"),K10:K35,0))</f>
        <v>0</v>
      </c>
      <c r="X437" s="232">
        <f t="array" ref="X437">SUM(IF((A10:A35="Dry Mixed Recyclables (DMR - paper, cardboard, metal, plastic glass)")*(B10:B35="Demolition"),L10:L35,0))</f>
        <v>0</v>
      </c>
      <c r="Y437" s="232">
        <f t="shared" si="125"/>
        <v>0</v>
      </c>
      <c r="Z437" s="243">
        <f t="shared" si="126"/>
        <v>0</v>
      </c>
    </row>
    <row r="438" spans="15:26" x14ac:dyDescent="0.25">
      <c r="O438" s="1075"/>
      <c r="P438" s="1078"/>
      <c r="Q438" s="218" t="s">
        <v>123</v>
      </c>
      <c r="R438" s="244" t="s">
        <v>236</v>
      </c>
      <c r="S438" s="245">
        <f t="array" ref="S438">SUM(IF((A10:A35="Dry Mixed Recyclables (DMR - paper, cardboard, metal, plastic glass)")*(B10:B35="Excavation"),G10:G35,0))</f>
        <v>0</v>
      </c>
      <c r="T438" s="245">
        <f t="array" ref="T438">SUM(IF((A10:A35="Dry Mixed Recyclables (DMR - paper, cardboard, metal, plastic glass)")*(B10:B35="Excavation"),H10:H35,0))</f>
        <v>0</v>
      </c>
      <c r="U438" s="245">
        <f t="array" ref="U438">SUM(IF((A10:A35="Dry Mixed Recyclables (DMR - paper, cardboard, metal, plastic glass)")*(B10:B35="Excavation"),I10:I35,0))</f>
        <v>0</v>
      </c>
      <c r="V438" s="245">
        <f t="array" ref="V438">SUM(IF((A10:A35="Dry Mixed Recyclables (DMR - paper, cardboard, metal, plastic glass)")*(B10:B35="Excavation"),J10:J35,0))</f>
        <v>0</v>
      </c>
      <c r="W438" s="245">
        <f t="array" ref="W438">SUM(IF((A10:A35="Dry Mixed Recyclables (DMR - paper, cardboard, metal, plastic glass)")*(B10:B35="Excavation"),K10:K35,0))</f>
        <v>0</v>
      </c>
      <c r="X438" s="245">
        <f t="array" ref="X438">SUM(IF((A10:A35="Dry Mixed Recyclables (DMR - paper, cardboard, metal, plastic glass)")*(B10:B35="Excavation"),L10:L35,0))</f>
        <v>0</v>
      </c>
      <c r="Y438" s="245">
        <f t="shared" si="125"/>
        <v>0</v>
      </c>
      <c r="Z438" s="246">
        <f t="shared" si="126"/>
        <v>0</v>
      </c>
    </row>
    <row r="439" spans="15:26" ht="13.8" thickBot="1" x14ac:dyDescent="0.3">
      <c r="O439" s="1076"/>
      <c r="P439" s="1079"/>
      <c r="Q439" s="221" t="s">
        <v>123</v>
      </c>
      <c r="R439" s="247" t="s">
        <v>237</v>
      </c>
      <c r="S439" s="248">
        <f t="array" ref="S439">SUM(IF((A10:A35="Dry Mixed Recyclables (DMR - paper, cardboard, metal, plastic glass)")*(B10:B35="Construction"),G10:G35,0))</f>
        <v>0</v>
      </c>
      <c r="T439" s="248">
        <f t="array" ref="T439">SUM(IF((A10:A35="Dry Mixed Recyclables (DMR - paper, cardboard, metal, plastic glass)")*(B10:B35="Construction"),H10:H35,0))</f>
        <v>0</v>
      </c>
      <c r="U439" s="248">
        <f t="array" ref="U439">SUM(IF((A10:A35="Dry Mixed Recyclables (DMR - paper, cardboard, metal, plastic glass)")*(B10:B35="Construction"),I10:I35,0))</f>
        <v>0</v>
      </c>
      <c r="V439" s="248">
        <f t="array" ref="V439">SUM(IF((A10:A35="Dry Mixed Recyclables (DMR - paper, cardboard, metal, plastic glass)")*(B10:B35="Construction"),J10:J35,0))</f>
        <v>0</v>
      </c>
      <c r="W439" s="248">
        <f t="array" ref="W439">SUM(IF((A10:A35="Dry Mixed Recyclables (DMR - paper, cardboard, metal, plastic glass)")*(B10:B35="Construction"),K10:K35,0))</f>
        <v>0</v>
      </c>
      <c r="X439" s="248">
        <f t="array" ref="X439">SUM(IF((A10:A35="Dry Mixed Recyclables (DMR - paper, cardboard, metal, plastic glass)")*(B10:B35="Construction"),L10:L35,0))</f>
        <v>0</v>
      </c>
      <c r="Y439" s="248">
        <f t="shared" si="125"/>
        <v>0</v>
      </c>
      <c r="Z439" s="249">
        <f t="shared" si="126"/>
        <v>0</v>
      </c>
    </row>
    <row r="440" spans="15:26" x14ac:dyDescent="0.25">
      <c r="O440" s="850" t="s">
        <v>654</v>
      </c>
      <c r="P440" s="853">
        <v>200108</v>
      </c>
      <c r="Q440" s="241" t="s">
        <v>123</v>
      </c>
      <c r="R440" s="242" t="s">
        <v>235</v>
      </c>
      <c r="S440" s="232">
        <f t="array" ref="S440">SUM(IF((D10:D35=200108)*(B10:B35="Demolition"),G10:G35,0))</f>
        <v>0</v>
      </c>
      <c r="T440" s="232">
        <f t="array" ref="T440">SUM(IF((D10:D35=200108)*(B10:B35="Demolition"),H10:H35,0))</f>
        <v>0</v>
      </c>
      <c r="U440" s="232">
        <f t="array" ref="U440">SUM(IF((D10:D35=200108)*(B10:B35="Demolition"),I10:I35,0))</f>
        <v>0</v>
      </c>
      <c r="V440" s="232">
        <f t="array" ref="V440">SUM(IF((D10:D35=200108)*(B10:B35="Demolition"),J10:J35,0))</f>
        <v>0</v>
      </c>
      <c r="W440" s="232">
        <f t="array" ref="W440">SUM(IF((D10:D35=200108)*(B10:B35="Demolition"),K10:K35,0))</f>
        <v>0</v>
      </c>
      <c r="X440" s="232">
        <f t="array" ref="X440">SUM(IF((D10:D35=200108)*(B10:B35="Demolition"),L10:L35,0))</f>
        <v>0</v>
      </c>
      <c r="Y440" s="232">
        <f t="shared" si="125"/>
        <v>0</v>
      </c>
      <c r="Z440" s="243">
        <f t="shared" si="126"/>
        <v>0</v>
      </c>
    </row>
    <row r="441" spans="15:26" x14ac:dyDescent="0.25">
      <c r="O441" s="851"/>
      <c r="P441" s="854"/>
      <c r="Q441" s="218" t="s">
        <v>123</v>
      </c>
      <c r="R441" s="244" t="s">
        <v>236</v>
      </c>
      <c r="S441" s="245">
        <f t="array" ref="S441">SUM(IF((D10:D35=200108)*(B10:B35="Excavation"),G10:G35,0))</f>
        <v>0</v>
      </c>
      <c r="T441" s="245">
        <f t="array" ref="T441">SUM(IF((D10:D35=200108)*(B10:B35="Excavation"),H10:H35,0))</f>
        <v>0</v>
      </c>
      <c r="U441" s="245">
        <f t="array" ref="U441">SUM(IF((D10:D35=200108)*(B10:B35="Excavation"),I10:I35,0))</f>
        <v>0</v>
      </c>
      <c r="V441" s="245">
        <f t="array" ref="V441">SUM(IF((D10:D35=200108)*(B10:B35="Excavation"),J10:J35,0))</f>
        <v>0</v>
      </c>
      <c r="W441" s="245">
        <f t="array" ref="W441">SUM(IF((D10:D35=200108)*(B10:B35="Excavation"),K10:K35,0))</f>
        <v>0</v>
      </c>
      <c r="X441" s="245">
        <f t="array" ref="X441">SUM(IF((D10:D35=200108)*(B10:B35="Excavation"),L10:L35,0))</f>
        <v>0</v>
      </c>
      <c r="Y441" s="245">
        <f t="shared" si="125"/>
        <v>0</v>
      </c>
      <c r="Z441" s="246">
        <f t="shared" si="126"/>
        <v>0</v>
      </c>
    </row>
    <row r="442" spans="15:26" ht="13.8" thickBot="1" x14ac:dyDescent="0.3">
      <c r="O442" s="852"/>
      <c r="P442" s="855"/>
      <c r="Q442" s="221" t="s">
        <v>123</v>
      </c>
      <c r="R442" s="247" t="s">
        <v>237</v>
      </c>
      <c r="S442" s="248">
        <f t="array" ref="S442">SUM(IF((D10:D35=200108)*(B10:B35="Construction"),G10:G35,0))</f>
        <v>0</v>
      </c>
      <c r="T442" s="248">
        <f t="array" ref="T442">SUM(IF((D10:D35=200108)*(B10:B35="Construction"),H10:H35,0))</f>
        <v>0</v>
      </c>
      <c r="U442" s="248">
        <f t="array" ref="U442">SUM(IF((D10:D35=200108)*(B10:B35="Construction"),I10:I35,0))</f>
        <v>0</v>
      </c>
      <c r="V442" s="248">
        <f t="array" ref="V442">SUM(IF((D10:D35=200108)*(B10:B35="Construction"),J10:J35,0))</f>
        <v>0</v>
      </c>
      <c r="W442" s="248">
        <f t="array" ref="W442">SUM(IF((D10:D35=200108)*(B10:B35="Construction"),K10:K35,0))</f>
        <v>0</v>
      </c>
      <c r="X442" s="248">
        <f t="array" ref="X442">SUM(IF((D10:D35=200108)*(B10:B35="Construction"),L10:L35,0))</f>
        <v>0</v>
      </c>
      <c r="Y442" s="248">
        <f t="shared" si="125"/>
        <v>0</v>
      </c>
      <c r="Z442" s="249">
        <f t="shared" si="126"/>
        <v>0</v>
      </c>
    </row>
    <row r="443" spans="15:26" x14ac:dyDescent="0.25">
      <c r="O443" s="1074"/>
      <c r="P443" s="1077"/>
      <c r="Q443" s="241"/>
      <c r="R443" s="242"/>
      <c r="S443" s="232"/>
      <c r="T443" s="232"/>
      <c r="U443" s="232"/>
      <c r="V443" s="232"/>
      <c r="W443" s="232"/>
      <c r="X443" s="232"/>
      <c r="Y443" s="232"/>
      <c r="Z443" s="243"/>
    </row>
    <row r="444" spans="15:26" x14ac:dyDescent="0.25">
      <c r="O444" s="1075"/>
      <c r="P444" s="1078"/>
      <c r="Q444" s="218"/>
      <c r="R444" s="244"/>
      <c r="S444" s="245"/>
      <c r="T444" s="245"/>
      <c r="U444" s="245"/>
      <c r="V444" s="245"/>
      <c r="W444" s="245"/>
      <c r="X444" s="245"/>
      <c r="Y444" s="245"/>
      <c r="Z444" s="246"/>
    </row>
    <row r="445" spans="15:26" ht="13.8" thickBot="1" x14ac:dyDescent="0.3">
      <c r="O445" s="1076"/>
      <c r="P445" s="1079"/>
      <c r="Q445" s="221"/>
      <c r="R445" s="247"/>
      <c r="S445" s="248"/>
      <c r="T445" s="248"/>
      <c r="U445" s="248"/>
      <c r="V445" s="248"/>
      <c r="W445" s="248"/>
      <c r="X445" s="248"/>
      <c r="Y445" s="248"/>
      <c r="Z445" s="249"/>
    </row>
    <row r="446" spans="15:26" x14ac:dyDescent="0.25">
      <c r="O446" s="48"/>
      <c r="P446" s="250"/>
      <c r="Q446" s="56"/>
      <c r="R446" s="251"/>
      <c r="S446" s="48"/>
      <c r="T446" s="48"/>
      <c r="U446" s="48"/>
      <c r="V446" s="48"/>
      <c r="W446" s="48"/>
      <c r="X446" s="48"/>
      <c r="Y446" s="48"/>
      <c r="Z446" s="48"/>
    </row>
    <row r="447" spans="15:26" ht="13.8" thickBot="1" x14ac:dyDescent="0.3">
      <c r="O447" s="48"/>
      <c r="P447" s="48"/>
      <c r="Q447" s="48"/>
      <c r="R447" s="48"/>
      <c r="S447" s="48"/>
      <c r="T447" s="48"/>
      <c r="U447" s="48"/>
      <c r="V447" s="48"/>
      <c r="W447" s="48"/>
      <c r="X447" s="48"/>
      <c r="Y447" s="48"/>
      <c r="Z447" s="48"/>
    </row>
    <row r="448" spans="15:26" x14ac:dyDescent="0.25">
      <c r="O448" s="190" t="s">
        <v>241</v>
      </c>
      <c r="P448" s="243">
        <f>SUM(S448:X448)</f>
        <v>0</v>
      </c>
      <c r="Q448" s="48"/>
      <c r="R448" s="48"/>
      <c r="S448" s="190">
        <f>SUM(S122:S442)</f>
        <v>0</v>
      </c>
      <c r="T448" s="190">
        <f t="shared" ref="T448:Z448" si="127">SUM(T122:T442)</f>
        <v>0</v>
      </c>
      <c r="U448" s="190">
        <f t="shared" si="127"/>
        <v>0</v>
      </c>
      <c r="V448" s="190">
        <f t="shared" si="127"/>
        <v>0</v>
      </c>
      <c r="W448" s="506"/>
      <c r="X448" s="190">
        <f t="shared" si="127"/>
        <v>0</v>
      </c>
      <c r="Y448" s="190">
        <f t="shared" si="127"/>
        <v>0</v>
      </c>
      <c r="Z448" s="190">
        <f t="shared" si="127"/>
        <v>0</v>
      </c>
    </row>
    <row r="449" spans="15:24" x14ac:dyDescent="0.25">
      <c r="O449" s="198" t="s">
        <v>242</v>
      </c>
      <c r="P449" s="246">
        <f>P448-S448-U448</f>
        <v>0</v>
      </c>
      <c r="Q449" s="48"/>
      <c r="R449" s="48"/>
      <c r="S449" s="48"/>
      <c r="T449" s="48"/>
      <c r="U449" s="48"/>
      <c r="V449" s="48"/>
      <c r="W449" s="48"/>
      <c r="X449" s="48"/>
    </row>
    <row r="450" spans="15:24" ht="13.8" thickBot="1" x14ac:dyDescent="0.3">
      <c r="P450" s="48"/>
      <c r="Q450" s="48"/>
      <c r="R450" s="48"/>
      <c r="S450" s="48"/>
      <c r="T450" s="48"/>
      <c r="U450" s="48"/>
    </row>
    <row r="451" spans="15:24" ht="13.8" thickBot="1" x14ac:dyDescent="0.3">
      <c r="O451" s="190" t="s">
        <v>244</v>
      </c>
      <c r="P451" s="243">
        <f>SUM(S451:X451)</f>
        <v>0</v>
      </c>
      <c r="Q451" s="48"/>
      <c r="R451" s="48"/>
      <c r="S451" s="507"/>
      <c r="T451" s="232">
        <f t="array" ref="T451">SUM(IF((Q122:Q442="H"),T122:T442,0))</f>
        <v>0</v>
      </c>
      <c r="U451" s="232">
        <f t="array" ref="U451">SUM(IF((Q122:Q442="H"),U122:U442,0))</f>
        <v>0</v>
      </c>
      <c r="V451" s="232">
        <f t="array" ref="V451">SUM(IF((Q122:Q442="H"),V122:V442,0))</f>
        <v>0</v>
      </c>
      <c r="W451" s="252"/>
      <c r="X451" s="232">
        <f t="array" ref="X451">SUM(IF((Q122:Q442="H"),X122:X442,0))</f>
        <v>0</v>
      </c>
    </row>
    <row r="452" spans="15:24" ht="13.8" thickBot="1" x14ac:dyDescent="0.3">
      <c r="O452" s="261" t="s">
        <v>245</v>
      </c>
      <c r="P452" s="243">
        <f>SUM(S452:X452)</f>
        <v>0</v>
      </c>
      <c r="Q452" s="48"/>
      <c r="R452" s="48"/>
      <c r="S452" s="260"/>
      <c r="T452" s="190">
        <f t="array" ref="T452">SUM(IF((Q122:Q442="NH"),T122:T442,0))</f>
        <v>0</v>
      </c>
      <c r="U452" s="190">
        <f t="array" ref="U452">SUM(IF((Q122:Q442="NH"),U122:U442,0))</f>
        <v>0</v>
      </c>
      <c r="V452" s="190">
        <f t="array" ref="V452">SUM(IF((Q122:Q442="NH"),V122:V442,0))</f>
        <v>0</v>
      </c>
      <c r="W452" s="260"/>
      <c r="X452" s="190">
        <f t="array" ref="X452">SUM(IF((Q122:Q442="NH"),X122:X442,0))</f>
        <v>0</v>
      </c>
    </row>
    <row r="453" spans="15:24" ht="13.8" thickBot="1" x14ac:dyDescent="0.3">
      <c r="O453" s="261" t="s">
        <v>246</v>
      </c>
      <c r="P453" s="243">
        <f>SUM(S453:X453)</f>
        <v>0</v>
      </c>
      <c r="Q453" s="48"/>
      <c r="R453" s="48"/>
      <c r="S453" s="260"/>
      <c r="T453" s="232">
        <f t="array" ref="T453">SUM(IF((Q122:Q442="I"),T122:T442,0))</f>
        <v>0</v>
      </c>
      <c r="U453" s="232">
        <f t="array" ref="U453">SUM(IF((Q122:Q442="I"),U122:U442,0))</f>
        <v>0</v>
      </c>
      <c r="V453" s="232">
        <f t="array" ref="V453">SUM(IF((Q122:Q442="I"),V122:V442,0))</f>
        <v>0</v>
      </c>
      <c r="W453" s="252"/>
      <c r="X453" s="243">
        <f t="array" ref="X453">SUM(IF((Q122:Q442="I"),X122:X442,0))</f>
        <v>0</v>
      </c>
    </row>
    <row r="454" spans="15:24" ht="13.8" thickBot="1" x14ac:dyDescent="0.3">
      <c r="O454" s="261" t="s">
        <v>247</v>
      </c>
      <c r="P454" s="243">
        <f>SUM(S454:X454)</f>
        <v>0</v>
      </c>
      <c r="Q454" s="48"/>
      <c r="R454" s="48"/>
      <c r="S454" s="508"/>
      <c r="T454" s="509">
        <f>T452+T453</f>
        <v>0</v>
      </c>
      <c r="U454" s="509">
        <f>U452+U453</f>
        <v>0</v>
      </c>
      <c r="V454" s="509">
        <f>V452+V453</f>
        <v>0</v>
      </c>
      <c r="W454" s="510"/>
      <c r="X454" s="505">
        <f>X452+X453</f>
        <v>0</v>
      </c>
    </row>
    <row r="455" spans="15:24" ht="13.8" thickBot="1" x14ac:dyDescent="0.3">
      <c r="O455" s="48"/>
      <c r="P455" s="48"/>
      <c r="Q455" s="48"/>
      <c r="R455" s="48"/>
      <c r="S455" s="48"/>
      <c r="T455" s="48"/>
      <c r="U455" s="48"/>
      <c r="V455" s="48"/>
      <c r="W455" s="48"/>
      <c r="X455" s="48"/>
    </row>
    <row r="456" spans="15:24" ht="13.8" thickBot="1" x14ac:dyDescent="0.3">
      <c r="O456" s="267" t="s">
        <v>248</v>
      </c>
      <c r="P456" s="245">
        <f>SUM(S456:X456)</f>
        <v>0</v>
      </c>
      <c r="Q456" s="48"/>
      <c r="R456" s="48"/>
      <c r="S456" s="260">
        <f t="array" ref="S456">SUM(IF((Q122:Q439="I")*(R122:R439="Construction"),S122:S439,0))</f>
        <v>0</v>
      </c>
      <c r="T456" s="190">
        <f t="array" ref="T456">SUM(IF((Q122:Q442="I")*(R122:R442="Construction"),T122:T442,0))</f>
        <v>0</v>
      </c>
      <c r="U456" s="190">
        <f t="array" ref="U456">SUM(IF((Q122:Q442="I")*(R122:R442="Construction"),U122:U442,0))</f>
        <v>0</v>
      </c>
      <c r="V456" s="190">
        <f t="array" ref="V456">SUM(IF((Q122:Q442="I")*(R122:R442="Construction"),V122:V442,0))</f>
        <v>0</v>
      </c>
      <c r="W456" s="260"/>
      <c r="X456" s="190">
        <f t="array" ref="X456">SUM(IF((Q122:Q442="I")*(R122:R442="Construction"),X122:X442,0))</f>
        <v>0</v>
      </c>
    </row>
    <row r="457" spans="15:24" ht="13.8" thickBot="1" x14ac:dyDescent="0.3">
      <c r="O457" s="275" t="s">
        <v>249</v>
      </c>
      <c r="P457" s="245">
        <f>SUM(S457:X457)</f>
        <v>0</v>
      </c>
      <c r="Q457" s="48"/>
      <c r="R457" s="48"/>
      <c r="S457" s="260"/>
      <c r="T457" s="190">
        <f t="array" ref="T457">SUM(IF((Q122:Q442="NH")*(R122:R442="Construction"),T122:T442,0))</f>
        <v>0</v>
      </c>
      <c r="U457" s="190">
        <f t="array" ref="U457">SUM(IF((Q122:Q442="NH")*(R122:R442="Construction"),U122:U442,0))</f>
        <v>0</v>
      </c>
      <c r="V457" s="190">
        <f t="array" ref="V457">SUM(IF((Q122:Q442="NH")*(R122:R442="Construction"),V122:V442,0))</f>
        <v>0</v>
      </c>
      <c r="W457" s="260"/>
      <c r="X457" s="190">
        <f t="array" ref="X457">SUM(IF((Q122:Q442="NH")*(R122:R442="Construction"),X122:X442,0))</f>
        <v>0</v>
      </c>
    </row>
    <row r="458" spans="15:24" ht="13.8" thickBot="1" x14ac:dyDescent="0.3">
      <c r="O458" s="267" t="s">
        <v>250</v>
      </c>
      <c r="P458" s="245">
        <f>SUM(S458:X458)</f>
        <v>0</v>
      </c>
      <c r="Q458" s="48"/>
      <c r="R458" s="48"/>
      <c r="S458" s="260"/>
      <c r="T458" s="190">
        <f t="array" ref="T458">SUM(IF((Q122:Q442="I")*(R122:R442="Demolition"),T122:T442,0))</f>
        <v>0</v>
      </c>
      <c r="U458" s="190">
        <f t="array" ref="U458">SUM(IF((Q122:Q442="I")*(R122:R442="Demolition"),U122:U442,0))</f>
        <v>0</v>
      </c>
      <c r="V458" s="190">
        <f t="array" ref="V458">SUM(IF((Q122:Q442="I")*(R122:R442="Demolition"),V122:V442,0))</f>
        <v>0</v>
      </c>
      <c r="W458" s="260"/>
      <c r="X458" s="190">
        <f t="array" ref="X458">SUM(IF((Q122:Q442="I")*(R122:R442="Demolition"),X122:X442,0))</f>
        <v>0</v>
      </c>
    </row>
    <row r="459" spans="15:24" ht="13.8" thickBot="1" x14ac:dyDescent="0.3">
      <c r="O459" s="275" t="s">
        <v>251</v>
      </c>
      <c r="P459" s="245">
        <f>SUM(S459:X459)</f>
        <v>0</v>
      </c>
      <c r="Q459" s="48"/>
      <c r="R459" s="48"/>
      <c r="S459" s="260"/>
      <c r="T459" s="190">
        <f t="array" ref="T459">SUM(IF((Q122:Q442="NH")*(R122:R442="Demolition"),T122:T442,0))</f>
        <v>0</v>
      </c>
      <c r="U459" s="190">
        <f t="array" ref="U459">SUM(IF((Q122:Q442="NH")*(R122:R442="Demolition"),U122:U442,0))</f>
        <v>0</v>
      </c>
      <c r="V459" s="190">
        <f t="array" ref="V459">SUM(IF((Q122:Q442="NH")*(R122:R442="Demolition"),V122:V442,0))</f>
        <v>0</v>
      </c>
      <c r="W459" s="260"/>
      <c r="X459" s="190">
        <f t="array" ref="X459">SUM(IF((Q122:Q442="NH")*(R122:R442="Demolition"),X122:X442,0))</f>
        <v>0</v>
      </c>
    </row>
    <row r="460" spans="15:24" ht="13.8" thickBot="1" x14ac:dyDescent="0.3">
      <c r="O460" s="48"/>
      <c r="P460" s="48"/>
      <c r="Q460" s="48"/>
      <c r="R460" s="48"/>
      <c r="S460" s="511"/>
      <c r="T460" s="48"/>
      <c r="U460" s="48"/>
      <c r="V460" s="48"/>
      <c r="W460" s="511"/>
      <c r="X460" s="48"/>
    </row>
    <row r="461" spans="15:24" x14ac:dyDescent="0.25">
      <c r="O461" s="267" t="s">
        <v>663</v>
      </c>
      <c r="P461" s="245">
        <f>SUM(T461:X461)</f>
        <v>0</v>
      </c>
      <c r="Q461" s="48"/>
      <c r="R461" s="48"/>
      <c r="S461" s="511"/>
      <c r="T461" s="512">
        <f t="array" ref="T461">SUM(IF((Q122:Q442="I")*(R122:R442="Excavation"),T122:T442,0))</f>
        <v>0</v>
      </c>
      <c r="U461" s="245">
        <f t="array" ref="U461">SUM(IF((Q122:Q442="I")*(R122:R442="Excavation"),U122:U442,0))</f>
        <v>0</v>
      </c>
      <c r="V461" s="245">
        <f t="array" ref="V461">SUM(IF((Q122:Q442="I")*(R122:R442="Excavation"),V122:V442,0))</f>
        <v>0</v>
      </c>
      <c r="W461" s="513"/>
      <c r="X461" s="245">
        <f t="array" ref="X461">SUM(IF((Q122:Q442="I")*(R122:R442="Excavation"),X122:X442,0))</f>
        <v>0</v>
      </c>
    </row>
    <row r="462" spans="15:24" ht="13.8" thickBot="1" x14ac:dyDescent="0.3">
      <c r="O462" s="275" t="s">
        <v>664</v>
      </c>
      <c r="P462" s="245">
        <f>SUM(T462:X462)</f>
        <v>0</v>
      </c>
      <c r="Q462" s="48"/>
      <c r="R462" s="48"/>
      <c r="S462" s="511"/>
      <c r="T462" s="245">
        <f t="array" ref="T462">SUM(IF((Q122:Q442="NH")*(R122:R442="Excavation"),T122:T442,0))</f>
        <v>0</v>
      </c>
      <c r="U462" s="245">
        <f t="array" ref="U462">SUM(IF((Q122:Q442="NH")*(R122:R442="Excavation"),U122:U442,0))</f>
        <v>0</v>
      </c>
      <c r="V462" s="245">
        <f t="array" ref="V462">SUM(IF((Q122:Q442="NH")*(R122:R442="Excavation"),V122:V442,0))</f>
        <v>0</v>
      </c>
      <c r="W462" s="513"/>
      <c r="X462" s="245">
        <f t="array" ref="X462">SUM(IF((Q122:Q442="NH")*(R122:R442="Excavation"),X122:X442,0))</f>
        <v>0</v>
      </c>
    </row>
    <row r="467" spans="14:24" x14ac:dyDescent="0.25">
      <c r="O467" s="1080" t="s">
        <v>253</v>
      </c>
      <c r="P467" s="1081"/>
      <c r="Q467" s="1081"/>
      <c r="R467" s="1081"/>
      <c r="S467" s="1081"/>
      <c r="U467" s="48"/>
      <c r="V467" s="269">
        <f>P448</f>
        <v>0</v>
      </c>
      <c r="W467" s="48"/>
      <c r="X467" s="48">
        <v>1100</v>
      </c>
    </row>
    <row r="468" spans="14:24" x14ac:dyDescent="0.25">
      <c r="O468" s="1072" t="s">
        <v>254</v>
      </c>
      <c r="P468" s="1073"/>
      <c r="Q468" s="1073"/>
      <c r="R468" s="1073"/>
      <c r="S468" s="1073"/>
      <c r="U468" s="48"/>
      <c r="V468" s="272">
        <f>P449</f>
        <v>0</v>
      </c>
      <c r="W468" s="48"/>
      <c r="X468" s="48">
        <v>800</v>
      </c>
    </row>
    <row r="469" spans="14:24" x14ac:dyDescent="0.25">
      <c r="O469" s="1072" t="s">
        <v>255</v>
      </c>
      <c r="P469" s="1073"/>
      <c r="Q469" s="1073"/>
      <c r="R469" s="1073"/>
      <c r="S469" s="1073"/>
      <c r="U469" s="48"/>
      <c r="V469" s="272">
        <f>V468-(SUM(Z365:Z370)+SUM(Z410:Z412))</f>
        <v>0</v>
      </c>
      <c r="W469" s="48"/>
      <c r="X469" s="48">
        <v>500</v>
      </c>
    </row>
    <row r="470" spans="14:24" x14ac:dyDescent="0.25">
      <c r="O470" s="1072" t="s">
        <v>256</v>
      </c>
      <c r="P470" s="1073"/>
      <c r="Q470" s="1073"/>
      <c r="R470" s="1073"/>
      <c r="S470" s="1073"/>
      <c r="U470" s="48"/>
      <c r="V470" s="272">
        <f>X448</f>
        <v>0</v>
      </c>
      <c r="W470" s="48"/>
      <c r="X470" s="48">
        <v>195</v>
      </c>
    </row>
    <row r="471" spans="14:24" x14ac:dyDescent="0.25">
      <c r="O471" s="270" t="s">
        <v>257</v>
      </c>
      <c r="P471" s="271"/>
      <c r="Q471" s="271"/>
      <c r="R471" s="271"/>
      <c r="S471" s="271"/>
      <c r="U471" s="48"/>
      <c r="V471" s="272">
        <f>V470-(SUM(X365:X370)+SUM(X410:X412))</f>
        <v>0</v>
      </c>
      <c r="W471" s="48"/>
      <c r="X471" s="48">
        <v>45</v>
      </c>
    </row>
    <row r="472" spans="14:24" x14ac:dyDescent="0.25">
      <c r="O472" s="270" t="s">
        <v>258</v>
      </c>
      <c r="P472" s="271"/>
      <c r="Q472" s="271"/>
      <c r="R472" s="271"/>
      <c r="S472" s="271"/>
      <c r="U472" s="48"/>
      <c r="V472" s="272">
        <f>SUM(X365:X370)+SUM(X410:X412)</f>
        <v>0</v>
      </c>
      <c r="W472" s="48"/>
      <c r="X472" s="48">
        <v>150</v>
      </c>
    </row>
    <row r="473" spans="14:24" x14ac:dyDescent="0.25">
      <c r="O473" s="270" t="s">
        <v>259</v>
      </c>
      <c r="P473" s="271"/>
      <c r="Q473" s="271"/>
      <c r="R473" s="271"/>
      <c r="S473" s="271"/>
      <c r="U473" s="48"/>
      <c r="V473" s="272">
        <f>V474-V475</f>
        <v>0</v>
      </c>
      <c r="W473" s="48"/>
      <c r="X473" s="48">
        <v>150</v>
      </c>
    </row>
    <row r="474" spans="14:24" x14ac:dyDescent="0.25">
      <c r="O474" s="1072" t="s">
        <v>260</v>
      </c>
      <c r="P474" s="1073"/>
      <c r="Q474" s="1073"/>
      <c r="R474" s="1073"/>
      <c r="S474" s="1073"/>
      <c r="U474" s="48"/>
      <c r="V474" s="272">
        <f>P449-V470</f>
        <v>0</v>
      </c>
      <c r="W474" s="48"/>
      <c r="X474" s="48">
        <v>605</v>
      </c>
    </row>
    <row r="475" spans="14:24" x14ac:dyDescent="0.25">
      <c r="O475" s="270" t="s">
        <v>261</v>
      </c>
      <c r="P475" s="271"/>
      <c r="Q475" s="271"/>
      <c r="R475" s="271"/>
      <c r="S475" s="271"/>
      <c r="U475" s="48"/>
      <c r="V475" s="272">
        <f>V469-V471</f>
        <v>0</v>
      </c>
      <c r="W475" s="48"/>
      <c r="X475" s="48">
        <v>455</v>
      </c>
    </row>
    <row r="476" spans="14:24" x14ac:dyDescent="0.25">
      <c r="O476" s="1072" t="s">
        <v>262</v>
      </c>
      <c r="P476" s="1073"/>
      <c r="Q476" s="1073"/>
      <c r="R476" s="1073"/>
      <c r="S476" s="1073"/>
      <c r="U476" s="48"/>
      <c r="V476" s="272" t="e">
        <f>V474/V468*100</f>
        <v>#DIV/0!</v>
      </c>
      <c r="W476" s="48"/>
      <c r="X476" s="48"/>
    </row>
    <row r="477" spans="14:24" x14ac:dyDescent="0.25">
      <c r="O477" s="273" t="s">
        <v>263</v>
      </c>
      <c r="P477" s="271"/>
      <c r="Q477" s="271"/>
      <c r="R477" s="271"/>
      <c r="S477" s="271"/>
      <c r="U477" s="48"/>
      <c r="V477" s="272" t="e">
        <f>V475/V469*100</f>
        <v>#DIV/0!</v>
      </c>
      <c r="W477" s="48"/>
      <c r="X477" s="48"/>
    </row>
    <row r="478" spans="14:24" x14ac:dyDescent="0.25">
      <c r="O478" s="1072" t="s">
        <v>264</v>
      </c>
      <c r="P478" s="1073"/>
      <c r="Q478" s="1073"/>
      <c r="R478" s="1073"/>
      <c r="S478" s="1073"/>
      <c r="U478" s="48"/>
      <c r="V478" s="272">
        <f>(100000/'Project Details'!D13)*V468</f>
        <v>0</v>
      </c>
      <c r="W478" s="48"/>
      <c r="X478" s="48"/>
    </row>
    <row r="479" spans="14:24" x14ac:dyDescent="0.25">
      <c r="O479" s="270" t="s">
        <v>265</v>
      </c>
      <c r="P479" s="271"/>
      <c r="Q479" s="271"/>
      <c r="R479" s="271"/>
      <c r="S479" s="271"/>
      <c r="U479" s="48"/>
      <c r="V479" s="272">
        <f>SUM(Reporting!T6:T8)</f>
        <v>0</v>
      </c>
      <c r="W479" s="48"/>
      <c r="X479" s="48"/>
    </row>
    <row r="480" spans="14:24" ht="17.399999999999999" x14ac:dyDescent="0.3">
      <c r="N480" s="514">
        <v>5</v>
      </c>
      <c r="O480" s="270" t="s">
        <v>266</v>
      </c>
      <c r="P480" s="271"/>
      <c r="Q480" s="271"/>
      <c r="R480" s="271"/>
      <c r="S480" s="271"/>
      <c r="U480" s="48"/>
      <c r="V480" s="272">
        <f>SUM(Reporting!J6:J8)+SUM(Reporting!N6:N8)+SUM(Reporting!T6:T8)</f>
        <v>0</v>
      </c>
      <c r="W480" s="48"/>
      <c r="X480" s="48"/>
    </row>
    <row r="481" spans="15:22" x14ac:dyDescent="0.25">
      <c r="O481" s="270" t="s">
        <v>267</v>
      </c>
      <c r="P481" s="271"/>
      <c r="Q481" s="271"/>
      <c r="R481" s="271"/>
      <c r="S481" s="271"/>
      <c r="U481" s="48"/>
      <c r="V481" s="272">
        <f>V480-V479</f>
        <v>0</v>
      </c>
    </row>
    <row r="482" spans="15:22" x14ac:dyDescent="0.25">
      <c r="O482" s="1072" t="s">
        <v>268</v>
      </c>
      <c r="P482" s="1073"/>
      <c r="Q482" s="1073"/>
      <c r="R482" s="1073"/>
      <c r="S482" s="1073"/>
      <c r="U482" s="48"/>
      <c r="V482" s="272" t="e">
        <f>V481/V480*100</f>
        <v>#DIV/0!</v>
      </c>
    </row>
    <row r="483" spans="15:22" x14ac:dyDescent="0.25">
      <c r="O483" s="270" t="s">
        <v>269</v>
      </c>
      <c r="P483" s="271"/>
      <c r="Q483" s="271"/>
      <c r="R483" s="271"/>
      <c r="S483" s="271"/>
      <c r="U483" s="48"/>
      <c r="V483" s="272">
        <f>SUM(Reporting!H9:H11)+SUM(Reporting!J9:J11)+SUM(Reporting!L9:L11)+SUM(Reporting!N9:N11)+SUM(Reporting!T9:T11)</f>
        <v>0</v>
      </c>
    </row>
    <row r="484" spans="15:22" x14ac:dyDescent="0.25">
      <c r="O484" s="270" t="s">
        <v>270</v>
      </c>
      <c r="P484" s="271"/>
      <c r="Q484" s="271"/>
      <c r="R484" s="271"/>
      <c r="S484" s="271"/>
      <c r="U484" s="48"/>
      <c r="V484" s="272">
        <f>SUM(Reporting!H9:H11)+SUM(Reporting!L9:L11)</f>
        <v>0</v>
      </c>
    </row>
    <row r="485" spans="15:22" x14ac:dyDescent="0.25">
      <c r="O485" s="1072" t="s">
        <v>271</v>
      </c>
      <c r="P485" s="1073"/>
      <c r="Q485" s="1073"/>
      <c r="R485" s="1073"/>
      <c r="S485" s="1073"/>
      <c r="U485" s="48"/>
      <c r="V485" s="272" t="e">
        <f>V484/V483*100</f>
        <v>#DIV/0!</v>
      </c>
    </row>
    <row r="486" spans="15:22" x14ac:dyDescent="0.25">
      <c r="O486" s="48" t="s">
        <v>665</v>
      </c>
      <c r="P486" s="271"/>
      <c r="Q486" s="271"/>
      <c r="R486" s="271"/>
      <c r="S486" s="271"/>
      <c r="U486" s="48"/>
      <c r="V486" s="515">
        <f>P454-X454</f>
        <v>0</v>
      </c>
    </row>
    <row r="487" spans="15:22" x14ac:dyDescent="0.25">
      <c r="O487" s="48" t="s">
        <v>666</v>
      </c>
      <c r="P487" s="271"/>
      <c r="Q487" s="271"/>
      <c r="R487" s="271"/>
      <c r="S487" s="271"/>
      <c r="U487" s="48"/>
      <c r="V487" s="515">
        <f>P454</f>
        <v>0</v>
      </c>
    </row>
    <row r="488" spans="15:22" x14ac:dyDescent="0.25">
      <c r="O488" s="1072" t="s">
        <v>274</v>
      </c>
      <c r="P488" s="1073"/>
      <c r="Q488" s="1073"/>
      <c r="R488" s="1073"/>
      <c r="S488" s="1073"/>
      <c r="U488" s="48"/>
      <c r="V488" s="515" t="e">
        <f>V486/V487*100</f>
        <v>#DIV/0!</v>
      </c>
    </row>
    <row r="489" spans="15:22" x14ac:dyDescent="0.25">
      <c r="O489" s="1072" t="s">
        <v>275</v>
      </c>
      <c r="P489" s="1073"/>
      <c r="Q489" s="1073"/>
      <c r="R489" s="1073"/>
      <c r="S489" s="1073"/>
      <c r="U489" s="48"/>
      <c r="V489" s="272" t="e">
        <f>100/'Project Details'!D14*V468</f>
        <v>#VALUE!</v>
      </c>
    </row>
    <row r="490" spans="15:22" x14ac:dyDescent="0.25">
      <c r="O490" s="1072" t="s">
        <v>276</v>
      </c>
      <c r="P490" s="1073"/>
      <c r="Q490" s="1073"/>
      <c r="R490" s="1073"/>
      <c r="S490" s="1073"/>
      <c r="U490" s="48"/>
      <c r="V490" s="272" t="e">
        <f>100/'Project Details'!D14*V470</f>
        <v>#VALUE!</v>
      </c>
    </row>
    <row r="491" spans="15:22" x14ac:dyDescent="0.25">
      <c r="O491" s="1072" t="s">
        <v>277</v>
      </c>
      <c r="P491" s="1073"/>
      <c r="Q491" s="1073"/>
      <c r="R491" s="1073"/>
      <c r="S491" s="1073"/>
      <c r="U491" s="48"/>
      <c r="V491" s="272"/>
    </row>
    <row r="492" spans="15:22" x14ac:dyDescent="0.25">
      <c r="O492" s="270" t="s">
        <v>279</v>
      </c>
      <c r="P492" s="271"/>
      <c r="Q492" s="271"/>
      <c r="R492" s="271"/>
      <c r="S492" s="271"/>
      <c r="U492" s="48"/>
      <c r="V492" s="272"/>
    </row>
    <row r="493" spans="15:22" x14ac:dyDescent="0.25">
      <c r="O493" s="270" t="s">
        <v>667</v>
      </c>
      <c r="P493" s="271"/>
      <c r="Q493" s="271"/>
      <c r="R493" s="271"/>
      <c r="S493" s="271"/>
      <c r="U493" s="48"/>
      <c r="V493" s="272">
        <f>V494-SUM(X456:X457)</f>
        <v>0</v>
      </c>
    </row>
    <row r="494" spans="15:22" x14ac:dyDescent="0.25">
      <c r="O494" s="270" t="s">
        <v>668</v>
      </c>
      <c r="P494" s="271"/>
      <c r="Q494" s="271"/>
      <c r="R494" s="271"/>
      <c r="S494" s="271"/>
      <c r="U494" s="48"/>
      <c r="V494" s="272">
        <f>SUM(S456:X457)</f>
        <v>0</v>
      </c>
    </row>
    <row r="495" spans="15:22" x14ac:dyDescent="0.25">
      <c r="O495" s="270" t="s">
        <v>282</v>
      </c>
      <c r="P495" s="271"/>
      <c r="Q495" s="271"/>
      <c r="R495" s="271"/>
      <c r="S495" s="271"/>
      <c r="U495" s="48"/>
      <c r="V495" s="272" t="e">
        <f>100/'Project Details'!D14*V494</f>
        <v>#VALUE!</v>
      </c>
    </row>
    <row r="496" spans="15:22" x14ac:dyDescent="0.25">
      <c r="O496" s="270" t="s">
        <v>283</v>
      </c>
      <c r="P496" s="271"/>
      <c r="Q496" s="271"/>
      <c r="R496" s="271"/>
      <c r="S496" s="271"/>
      <c r="U496" s="48"/>
      <c r="V496" s="272" t="e">
        <f>V493/V494*100</f>
        <v>#DIV/0!</v>
      </c>
    </row>
    <row r="497" spans="14:27" x14ac:dyDescent="0.25">
      <c r="O497" s="270" t="s">
        <v>669</v>
      </c>
      <c r="P497" s="271"/>
      <c r="Q497" s="271"/>
      <c r="R497" s="271"/>
      <c r="S497" s="271"/>
      <c r="U497" s="48"/>
      <c r="V497" s="272">
        <f>V498-SUM(X458:X459)</f>
        <v>0</v>
      </c>
      <c r="W497" s="48"/>
      <c r="X497" s="48"/>
      <c r="Y497" s="48"/>
      <c r="Z497" s="48"/>
      <c r="AA497" s="48"/>
    </row>
    <row r="498" spans="14:27" x14ac:dyDescent="0.25">
      <c r="O498" s="270" t="s">
        <v>670</v>
      </c>
      <c r="P498" s="271"/>
      <c r="Q498" s="271"/>
      <c r="R498" s="271"/>
      <c r="S498" s="271"/>
      <c r="U498" s="48"/>
      <c r="V498" s="272">
        <f>SUM(S458:X459)</f>
        <v>0</v>
      </c>
      <c r="W498" s="48"/>
      <c r="X498" s="48"/>
      <c r="Y498" s="48"/>
      <c r="Z498" s="48"/>
      <c r="AA498" s="48"/>
    </row>
    <row r="499" spans="14:27" x14ac:dyDescent="0.25">
      <c r="O499" s="270" t="s">
        <v>286</v>
      </c>
      <c r="P499" s="271"/>
      <c r="Q499" s="271"/>
      <c r="R499" s="271"/>
      <c r="S499" s="271"/>
      <c r="U499" s="48"/>
      <c r="V499" s="272" t="e">
        <f>V497/V498*100</f>
        <v>#DIV/0!</v>
      </c>
      <c r="W499" s="48"/>
      <c r="X499" s="48"/>
      <c r="Y499" s="48"/>
      <c r="Z499" s="48"/>
      <c r="AA499" s="48"/>
    </row>
    <row r="500" spans="14:27" x14ac:dyDescent="0.25">
      <c r="O500" s="270" t="s">
        <v>287</v>
      </c>
      <c r="P500" s="271"/>
      <c r="Q500" s="271"/>
      <c r="R500" s="271"/>
      <c r="S500" s="271"/>
      <c r="U500" s="48"/>
      <c r="V500" s="516"/>
      <c r="W500" s="48"/>
      <c r="X500" s="48"/>
      <c r="Y500" s="48"/>
      <c r="Z500" s="48"/>
      <c r="AA500" s="48"/>
    </row>
    <row r="501" spans="14:27" x14ac:dyDescent="0.25">
      <c r="O501" s="270" t="s">
        <v>288</v>
      </c>
      <c r="P501" s="271"/>
      <c r="Q501" s="271"/>
      <c r="R501" s="271"/>
      <c r="S501" s="271"/>
      <c r="U501" s="48"/>
      <c r="V501" s="516"/>
      <c r="W501" s="48"/>
      <c r="X501" s="48"/>
      <c r="Y501" s="48"/>
      <c r="Z501" s="48"/>
      <c r="AA501" s="48"/>
    </row>
    <row r="502" spans="14:27" x14ac:dyDescent="0.25">
      <c r="O502" s="1072" t="s">
        <v>289</v>
      </c>
      <c r="P502" s="1073"/>
      <c r="Q502" s="1073"/>
      <c r="R502" s="1073"/>
      <c r="S502" s="1073"/>
      <c r="U502" s="48"/>
      <c r="V502" s="516"/>
      <c r="W502" s="48"/>
      <c r="X502" s="48"/>
      <c r="Y502" s="48"/>
      <c r="Z502" s="48"/>
      <c r="AA502" s="48"/>
    </row>
    <row r="503" spans="14:27" ht="13.8" thickBot="1" x14ac:dyDescent="0.3">
      <c r="O503" s="517" t="s">
        <v>290</v>
      </c>
      <c r="P503" s="518"/>
      <c r="Q503" s="518"/>
      <c r="R503" s="518"/>
      <c r="S503" s="518"/>
      <c r="U503" s="48"/>
      <c r="V503" s="519"/>
      <c r="W503" s="48"/>
      <c r="X503" s="48"/>
      <c r="Y503" s="48"/>
      <c r="Z503" s="48"/>
      <c r="AA503" s="48"/>
    </row>
    <row r="504" spans="14:27" x14ac:dyDescent="0.25">
      <c r="O504" s="48"/>
      <c r="P504" s="48"/>
      <c r="Q504" s="48"/>
      <c r="R504" s="48"/>
      <c r="S504" s="48"/>
      <c r="T504" s="48"/>
      <c r="U504" s="48"/>
      <c r="V504" s="48"/>
      <c r="W504" s="48"/>
      <c r="X504" s="48"/>
      <c r="Y504" s="48"/>
      <c r="Z504" s="48"/>
      <c r="AA504" s="48"/>
    </row>
    <row r="505" spans="14:27" x14ac:dyDescent="0.25">
      <c r="O505" s="48"/>
      <c r="P505" s="48"/>
      <c r="Q505" s="48"/>
      <c r="R505" s="48"/>
      <c r="S505" s="48"/>
      <c r="T505" s="48"/>
      <c r="U505" s="48"/>
      <c r="V505" s="48"/>
      <c r="W505" s="48"/>
      <c r="X505" s="48"/>
      <c r="Y505" s="48"/>
      <c r="Z505" s="48"/>
      <c r="AA505" s="48"/>
    </row>
    <row r="506" spans="14:27" x14ac:dyDescent="0.25">
      <c r="O506" s="48"/>
      <c r="P506" s="48"/>
      <c r="Q506" s="48"/>
      <c r="R506" s="48"/>
      <c r="S506" s="48"/>
      <c r="T506" s="48"/>
      <c r="U506" s="48"/>
      <c r="V506" s="48"/>
      <c r="W506" s="48"/>
      <c r="X506" s="48"/>
      <c r="Y506" s="48"/>
      <c r="Z506" s="48"/>
      <c r="AA506" s="48"/>
    </row>
    <row r="507" spans="14:27" x14ac:dyDescent="0.25">
      <c r="O507" s="48"/>
      <c r="P507" s="48"/>
      <c r="Q507" s="48"/>
      <c r="R507" s="48"/>
      <c r="S507" s="48"/>
      <c r="T507" s="48"/>
      <c r="U507" s="48"/>
      <c r="V507" s="48"/>
      <c r="W507" s="48"/>
      <c r="X507" s="48"/>
      <c r="Y507" s="48"/>
      <c r="Z507" s="48"/>
      <c r="AA507" s="48"/>
    </row>
    <row r="508" spans="14:27" x14ac:dyDescent="0.25">
      <c r="O508" s="48"/>
      <c r="P508" s="48"/>
      <c r="Q508" s="48"/>
      <c r="R508" s="48"/>
      <c r="S508" s="48"/>
      <c r="T508" s="48"/>
      <c r="U508" s="48"/>
      <c r="V508" s="48"/>
      <c r="W508" s="48"/>
      <c r="X508" s="48"/>
      <c r="Y508" s="48"/>
      <c r="Z508" s="48"/>
      <c r="AA508" s="48"/>
    </row>
    <row r="509" spans="14:27" x14ac:dyDescent="0.25">
      <c r="N509" s="520">
        <v>1</v>
      </c>
      <c r="O509" s="48" t="s">
        <v>671</v>
      </c>
      <c r="P509" s="48"/>
      <c r="Q509" s="48"/>
      <c r="R509" s="48"/>
      <c r="S509" s="48"/>
      <c r="T509" s="48"/>
      <c r="U509" s="48"/>
      <c r="V509" s="521" t="e">
        <f>100/'Project Details'!D14*Z512</f>
        <v>#VALUE!</v>
      </c>
      <c r="W509" s="522">
        <v>1</v>
      </c>
      <c r="X509" s="48"/>
      <c r="Y509" s="48"/>
      <c r="Z509" s="48"/>
      <c r="AA509" s="48"/>
    </row>
    <row r="510" spans="14:27" x14ac:dyDescent="0.25">
      <c r="N510" s="520"/>
      <c r="O510" s="48" t="s">
        <v>672</v>
      </c>
      <c r="P510" s="48"/>
      <c r="Q510" s="48"/>
      <c r="R510" s="48"/>
      <c r="S510" s="48"/>
      <c r="T510" s="48"/>
      <c r="U510" s="48"/>
      <c r="V510" s="523">
        <f>SUM(Reporting!F12:F13)-SUM(Reporting!H12:H13)</f>
        <v>0</v>
      </c>
      <c r="W510" s="522"/>
      <c r="X510" s="48"/>
      <c r="Y510" s="48"/>
      <c r="Z510" s="48"/>
      <c r="AA510" s="48"/>
    </row>
    <row r="511" spans="14:27" x14ac:dyDescent="0.25">
      <c r="N511" s="520"/>
      <c r="O511" s="48" t="s">
        <v>673</v>
      </c>
      <c r="P511" s="48"/>
      <c r="Q511" s="48"/>
      <c r="R511" s="48"/>
      <c r="S511" s="48"/>
      <c r="T511" s="48"/>
      <c r="U511" s="48"/>
      <c r="V511" s="523">
        <f>V510-SUM(Reporting!T12:T13)</f>
        <v>0</v>
      </c>
      <c r="W511" s="522"/>
      <c r="X511" s="48"/>
      <c r="Y511" s="48"/>
      <c r="Z511" s="48"/>
      <c r="AA511" s="48"/>
    </row>
    <row r="512" spans="14:27" x14ac:dyDescent="0.25">
      <c r="N512" s="520">
        <v>2</v>
      </c>
      <c r="O512" s="48" t="s">
        <v>377</v>
      </c>
      <c r="P512" s="48"/>
      <c r="Q512" s="48"/>
      <c r="R512" s="48"/>
      <c r="S512" s="48"/>
      <c r="T512" s="48"/>
      <c r="U512" s="48"/>
      <c r="V512" s="521" t="e">
        <f>V511/V510*100</f>
        <v>#DIV/0!</v>
      </c>
      <c r="W512" s="522">
        <v>2</v>
      </c>
      <c r="X512" s="48"/>
      <c r="Y512" s="48" t="s">
        <v>674</v>
      </c>
      <c r="Z512" s="523">
        <f>SUM(Reporting!F12:F14)</f>
        <v>0</v>
      </c>
      <c r="AA512" s="48" t="s">
        <v>377</v>
      </c>
    </row>
    <row r="513" spans="14:27" x14ac:dyDescent="0.25">
      <c r="N513" s="520"/>
      <c r="O513" s="48" t="s">
        <v>675</v>
      </c>
      <c r="P513" s="48"/>
      <c r="Q513" s="48"/>
      <c r="R513" s="48"/>
      <c r="S513" s="48"/>
      <c r="T513" s="48"/>
      <c r="U513" s="48"/>
      <c r="V513" s="523">
        <f>SUM(Reporting!F6:F7)-SUM(Reporting!H6:H7)</f>
        <v>0</v>
      </c>
      <c r="W513" s="522"/>
      <c r="X513" s="48"/>
      <c r="Y513" s="48"/>
      <c r="Z513" s="523"/>
      <c r="AA513" s="48" t="s">
        <v>382</v>
      </c>
    </row>
    <row r="514" spans="14:27" x14ac:dyDescent="0.25">
      <c r="N514" s="520"/>
      <c r="O514" s="48" t="s">
        <v>676</v>
      </c>
      <c r="P514" s="48"/>
      <c r="Q514" s="48"/>
      <c r="R514" s="48"/>
      <c r="S514" s="48"/>
      <c r="T514" s="48"/>
      <c r="U514" s="48"/>
      <c r="V514" s="523">
        <f>V513-SUM(Reporting!T6:T7)</f>
        <v>0</v>
      </c>
      <c r="W514" s="522"/>
      <c r="X514" s="48"/>
      <c r="Y514" s="48"/>
      <c r="Z514" s="523"/>
      <c r="AA514" s="48" t="s">
        <v>387</v>
      </c>
    </row>
    <row r="515" spans="14:27" x14ac:dyDescent="0.25">
      <c r="N515" s="520">
        <v>3</v>
      </c>
      <c r="O515" s="48" t="s">
        <v>382</v>
      </c>
      <c r="P515" s="48"/>
      <c r="Q515" s="48"/>
      <c r="R515" s="48"/>
      <c r="S515" s="48"/>
      <c r="T515" s="48"/>
      <c r="U515" s="48"/>
      <c r="V515" s="521" t="e">
        <f>V514/V513*100</f>
        <v>#DIV/0!</v>
      </c>
      <c r="W515" s="522">
        <v>3</v>
      </c>
      <c r="X515" s="48"/>
      <c r="Y515" s="48"/>
      <c r="Z515" s="524"/>
      <c r="AA515" s="48" t="s">
        <v>677</v>
      </c>
    </row>
    <row r="516" spans="14:27" x14ac:dyDescent="0.25">
      <c r="N516" s="520"/>
      <c r="O516" s="48" t="s">
        <v>678</v>
      </c>
      <c r="P516" s="48"/>
      <c r="Q516" s="48"/>
      <c r="R516" s="48"/>
      <c r="S516" s="48"/>
      <c r="T516" s="48"/>
      <c r="U516" s="48"/>
      <c r="V516" s="523">
        <f>SUM(Reporting!F9:F10)-SUM(Reporting!H9:H10)</f>
        <v>0</v>
      </c>
      <c r="W516" s="522"/>
      <c r="X516" s="48"/>
      <c r="Y516" s="48"/>
      <c r="Z516" s="524"/>
      <c r="AA516" s="48" t="s">
        <v>679</v>
      </c>
    </row>
    <row r="517" spans="14:27" x14ac:dyDescent="0.25">
      <c r="N517" s="520"/>
      <c r="O517" s="48" t="s">
        <v>680</v>
      </c>
      <c r="P517" s="48"/>
      <c r="Q517" s="48"/>
      <c r="R517" s="48"/>
      <c r="S517" s="48"/>
      <c r="T517" s="48"/>
      <c r="U517" s="48"/>
      <c r="V517" s="523">
        <f>V516-SUM(Reporting!T9:T10)</f>
        <v>0</v>
      </c>
      <c r="W517" s="522"/>
      <c r="X517" s="48"/>
      <c r="Y517" s="48"/>
      <c r="Z517" s="524"/>
      <c r="AA517" s="48" t="s">
        <v>681</v>
      </c>
    </row>
    <row r="518" spans="14:27" x14ac:dyDescent="0.25">
      <c r="N518" s="520">
        <v>4</v>
      </c>
      <c r="O518" s="48" t="s">
        <v>387</v>
      </c>
      <c r="P518" s="48"/>
      <c r="Q518" s="48"/>
      <c r="R518" s="48"/>
      <c r="S518" s="48"/>
      <c r="T518" s="48"/>
      <c r="U518" s="48"/>
      <c r="V518" s="521" t="e">
        <f>V517/V516*100</f>
        <v>#DIV/0!</v>
      </c>
      <c r="W518" s="522">
        <v>4</v>
      </c>
      <c r="X518" s="48"/>
      <c r="Y518" s="48"/>
      <c r="Z518" s="524"/>
      <c r="AA518" s="48" t="s">
        <v>682</v>
      </c>
    </row>
    <row r="519" spans="14:27" x14ac:dyDescent="0.25">
      <c r="N519" s="520">
        <v>5</v>
      </c>
      <c r="O519" s="48" t="s">
        <v>391</v>
      </c>
      <c r="P519" s="48"/>
      <c r="Q519" s="48"/>
      <c r="R519" s="48"/>
      <c r="S519" s="48"/>
      <c r="T519" s="48"/>
      <c r="U519" s="48"/>
      <c r="V519" s="525" t="e">
        <f>V521/V520*100</f>
        <v>#DIV/0!</v>
      </c>
      <c r="W519" s="522">
        <v>5</v>
      </c>
      <c r="X519" s="48"/>
      <c r="Y519" s="48"/>
      <c r="Z519" s="524"/>
      <c r="AA519" s="48" t="s">
        <v>277</v>
      </c>
    </row>
    <row r="520" spans="14:27" x14ac:dyDescent="0.25">
      <c r="O520" s="259" t="s">
        <v>683</v>
      </c>
      <c r="V520" s="526">
        <f>SUM(Reporting!F6:F8)</f>
        <v>0</v>
      </c>
      <c r="AA520" s="48" t="s">
        <v>279</v>
      </c>
    </row>
    <row r="521" spans="14:27" x14ac:dyDescent="0.25">
      <c r="N521" s="520"/>
      <c r="O521" s="48" t="s">
        <v>684</v>
      </c>
      <c r="P521" s="48"/>
      <c r="Q521" s="48"/>
      <c r="R521" s="48"/>
      <c r="S521" s="48"/>
      <c r="T521" s="48"/>
      <c r="U521" s="48"/>
      <c r="V521" s="523">
        <f>SUM(Reporting!H6:H8)+SUM(Reporting!L6:L8)</f>
        <v>0</v>
      </c>
      <c r="W521" s="522"/>
      <c r="X521" s="48"/>
      <c r="Y521" s="48"/>
      <c r="Z521" s="524"/>
      <c r="AA521" s="48"/>
    </row>
    <row r="522" spans="14:27" x14ac:dyDescent="0.25">
      <c r="N522" s="520">
        <v>6</v>
      </c>
      <c r="O522" s="48" t="s">
        <v>396</v>
      </c>
      <c r="P522" s="48"/>
      <c r="Q522" s="48"/>
      <c r="R522" s="48"/>
      <c r="S522" s="48"/>
      <c r="T522" s="48"/>
      <c r="U522" s="48"/>
      <c r="V522" s="527" t="e">
        <f>V524/V523*100</f>
        <v>#DIV/0!</v>
      </c>
      <c r="W522" s="522">
        <v>6</v>
      </c>
      <c r="X522" s="48"/>
      <c r="Y522" s="48"/>
      <c r="Z522" s="524"/>
      <c r="AA522" s="48"/>
    </row>
    <row r="523" spans="14:27" x14ac:dyDescent="0.25">
      <c r="N523" s="520"/>
      <c r="O523" s="48" t="s">
        <v>685</v>
      </c>
      <c r="P523" s="48"/>
      <c r="Q523" s="48"/>
      <c r="R523" s="48"/>
      <c r="S523" s="48"/>
      <c r="T523" s="48"/>
      <c r="U523" s="48"/>
      <c r="V523" s="523">
        <f>SUM(Reporting!F9:F11)</f>
        <v>0</v>
      </c>
      <c r="X523" s="48"/>
      <c r="Y523" s="48"/>
      <c r="Z523" s="524"/>
      <c r="AA523" s="48"/>
    </row>
    <row r="524" spans="14:27" x14ac:dyDescent="0.25">
      <c r="N524" s="520"/>
      <c r="O524" s="48" t="s">
        <v>686</v>
      </c>
      <c r="P524" s="48"/>
      <c r="Q524" s="48"/>
      <c r="R524" s="48"/>
      <c r="S524" s="48"/>
      <c r="T524" s="48"/>
      <c r="U524" s="48"/>
      <c r="V524" s="523">
        <f>SUM(Reporting!H9:H11)+SUM(Reporting!L9:L11)</f>
        <v>0</v>
      </c>
      <c r="X524" s="48"/>
      <c r="Y524" s="48"/>
      <c r="Z524" s="524"/>
      <c r="AA524" s="48"/>
    </row>
    <row r="525" spans="14:27" x14ac:dyDescent="0.25">
      <c r="N525" s="520"/>
      <c r="O525" s="48" t="s">
        <v>687</v>
      </c>
      <c r="P525" s="48"/>
      <c r="Q525" s="48"/>
      <c r="R525" s="48"/>
      <c r="S525" s="48"/>
      <c r="T525" s="48"/>
      <c r="U525" s="48"/>
      <c r="V525" s="523">
        <f>Reporting!F6+Reporting!F9+Reporting!F12</f>
        <v>0</v>
      </c>
      <c r="Y525" s="48"/>
      <c r="Z525" s="524"/>
      <c r="AA525" s="48"/>
    </row>
    <row r="526" spans="14:27" x14ac:dyDescent="0.25">
      <c r="N526" s="520"/>
      <c r="O526" s="48" t="s">
        <v>688</v>
      </c>
      <c r="P526" s="48"/>
      <c r="Q526" s="48"/>
      <c r="R526" s="48"/>
      <c r="S526" s="48"/>
      <c r="T526" s="48"/>
      <c r="U526" s="48"/>
      <c r="V526" s="523">
        <f>V525-Reporting!T6-Reporting!T9-Reporting!T12</f>
        <v>0</v>
      </c>
      <c r="W526" s="522"/>
      <c r="X526" s="48"/>
      <c r="Y526" s="48"/>
      <c r="Z526" s="524"/>
      <c r="AA526" s="48"/>
    </row>
    <row r="527" spans="14:27" x14ac:dyDescent="0.25">
      <c r="N527" s="520">
        <v>7</v>
      </c>
      <c r="O527" s="48" t="s">
        <v>400</v>
      </c>
      <c r="P527" s="48"/>
      <c r="Q527" s="48"/>
      <c r="R527" s="48"/>
      <c r="S527" s="48"/>
      <c r="T527" s="48"/>
      <c r="U527" s="48"/>
      <c r="V527" s="521" t="e">
        <f>V526/V525*100</f>
        <v>#DIV/0!</v>
      </c>
      <c r="W527" s="522">
        <v>7</v>
      </c>
      <c r="X527" s="48"/>
      <c r="Y527" s="48"/>
      <c r="Z527" s="524"/>
      <c r="AA527" s="48"/>
    </row>
    <row r="528" spans="14:27" x14ac:dyDescent="0.25">
      <c r="N528" s="520"/>
      <c r="O528" s="48" t="s">
        <v>689</v>
      </c>
      <c r="P528" s="48"/>
      <c r="Q528" s="48"/>
      <c r="R528" s="48"/>
      <c r="S528" s="48"/>
      <c r="T528" s="48"/>
      <c r="U528" s="48"/>
      <c r="V528" s="526">
        <f>Reporting!F7+Reporting!F10+Reporting!F13</f>
        <v>0</v>
      </c>
      <c r="W528" s="522"/>
      <c r="X528" s="48"/>
      <c r="Y528" s="48"/>
      <c r="Z528" s="524"/>
      <c r="AA528" s="48"/>
    </row>
    <row r="529" spans="14:23" x14ac:dyDescent="0.25">
      <c r="N529" s="520"/>
      <c r="O529" s="48" t="s">
        <v>690</v>
      </c>
      <c r="P529" s="48"/>
      <c r="Q529" s="48"/>
      <c r="R529" s="48"/>
      <c r="S529" s="48"/>
      <c r="T529" s="48"/>
      <c r="U529" s="48"/>
      <c r="V529" s="526">
        <f>V528-Reporting!T7-Reporting!T10-Reporting!T13</f>
        <v>0</v>
      </c>
      <c r="W529" s="522"/>
    </row>
    <row r="530" spans="14:23" x14ac:dyDescent="0.25">
      <c r="N530" s="520">
        <v>8</v>
      </c>
      <c r="O530" s="48" t="s">
        <v>405</v>
      </c>
      <c r="P530" s="48"/>
      <c r="Q530" s="48"/>
      <c r="R530" s="48"/>
      <c r="S530" s="48"/>
      <c r="T530" s="48"/>
      <c r="U530" s="48"/>
      <c r="V530" s="521" t="e">
        <f>V529/V528*100</f>
        <v>#DIV/0!</v>
      </c>
      <c r="W530" s="522">
        <v>8</v>
      </c>
    </row>
    <row r="531" spans="14:23" x14ac:dyDescent="0.25">
      <c r="N531" s="520">
        <v>9</v>
      </c>
      <c r="O531" s="48" t="s">
        <v>277</v>
      </c>
      <c r="P531" s="48"/>
      <c r="Q531" s="48"/>
      <c r="R531" s="48"/>
      <c r="S531" s="48"/>
      <c r="T531" s="48"/>
      <c r="U531" s="48"/>
      <c r="V531" s="523">
        <f>V491</f>
        <v>0</v>
      </c>
      <c r="W531" s="522">
        <v>9</v>
      </c>
    </row>
    <row r="532" spans="14:23" x14ac:dyDescent="0.25">
      <c r="N532" s="520">
        <v>10</v>
      </c>
      <c r="O532" s="48" t="s">
        <v>279</v>
      </c>
      <c r="P532" s="48"/>
      <c r="Q532" s="48"/>
      <c r="R532" s="48"/>
      <c r="S532" s="48"/>
      <c r="T532" s="48"/>
      <c r="U532" s="48"/>
      <c r="V532" s="523">
        <f>V492</f>
        <v>0</v>
      </c>
      <c r="W532" s="522">
        <v>10</v>
      </c>
    </row>
    <row r="533" spans="14:23" x14ac:dyDescent="0.25">
      <c r="O533" s="48"/>
      <c r="P533" s="48"/>
      <c r="Q533" s="48"/>
      <c r="R533" s="48"/>
      <c r="S533" s="48"/>
      <c r="T533" s="48"/>
      <c r="U533" s="48"/>
      <c r="V533" s="48"/>
      <c r="W533" s="48"/>
    </row>
    <row r="534" spans="14:23" x14ac:dyDescent="0.25">
      <c r="O534" s="48" t="s">
        <v>691</v>
      </c>
      <c r="P534" s="48"/>
      <c r="Q534" s="48"/>
      <c r="R534" s="48"/>
      <c r="S534" s="48"/>
      <c r="T534" s="48"/>
      <c r="U534" s="48"/>
      <c r="V534" s="48">
        <f>100000/'Project Details'!D13*V537</f>
        <v>0</v>
      </c>
      <c r="W534" s="48"/>
    </row>
    <row r="535" spans="14:23" x14ac:dyDescent="0.25">
      <c r="O535" s="48" t="s">
        <v>692</v>
      </c>
      <c r="P535" s="48"/>
      <c r="Q535" s="48"/>
      <c r="R535" s="48"/>
      <c r="S535" s="48"/>
      <c r="T535" s="48"/>
      <c r="U535" s="48"/>
      <c r="V535" s="48">
        <f>100000/'Project Details'!D13*V538</f>
        <v>0</v>
      </c>
      <c r="W535" s="48"/>
    </row>
    <row r="536" spans="14:23" x14ac:dyDescent="0.25">
      <c r="O536" s="48"/>
      <c r="P536" s="48"/>
      <c r="Q536" s="48"/>
      <c r="R536" s="48"/>
      <c r="S536" s="48"/>
      <c r="T536" s="48"/>
      <c r="U536" s="48"/>
      <c r="V536" s="48"/>
      <c r="W536" s="48"/>
    </row>
    <row r="537" spans="14:23" x14ac:dyDescent="0.25">
      <c r="O537" s="48" t="s">
        <v>693</v>
      </c>
      <c r="P537" s="48"/>
      <c r="Q537" s="48"/>
      <c r="R537" s="48"/>
      <c r="S537" s="48"/>
      <c r="T537" s="48"/>
      <c r="U537" s="48"/>
      <c r="V537" s="48">
        <f>P448-S448</f>
        <v>0</v>
      </c>
      <c r="W537" s="48"/>
    </row>
    <row r="538" spans="14:23" x14ac:dyDescent="0.25">
      <c r="O538" s="48" t="s">
        <v>694</v>
      </c>
      <c r="P538" s="48"/>
      <c r="Q538" s="48"/>
      <c r="R538" s="48"/>
      <c r="S538" s="48"/>
      <c r="T538" s="48"/>
      <c r="U538" s="48"/>
      <c r="V538" s="108">
        <f>V537-(SUM(Z365:Z370)+SUM(Z410:Z412))</f>
        <v>0</v>
      </c>
      <c r="W538" s="48"/>
    </row>
    <row r="545" spans="15:36" ht="20.25" customHeight="1" x14ac:dyDescent="0.3">
      <c r="O545" s="528"/>
      <c r="P545" s="528"/>
      <c r="Q545" s="528"/>
      <c r="R545" s="529" t="s">
        <v>695</v>
      </c>
      <c r="S545" s="529" t="s">
        <v>696</v>
      </c>
      <c r="T545" s="529" t="s">
        <v>697</v>
      </c>
      <c r="U545" s="529" t="s">
        <v>698</v>
      </c>
      <c r="V545" s="529" t="s">
        <v>494</v>
      </c>
      <c r="W545" s="530" t="s">
        <v>132</v>
      </c>
      <c r="X545" s="530" t="s">
        <v>699</v>
      </c>
      <c r="Y545" s="48"/>
      <c r="Z545" s="48"/>
      <c r="AA545" s="528"/>
      <c r="AB545" s="528"/>
      <c r="AC545" s="528"/>
      <c r="AD545" s="529" t="s">
        <v>695</v>
      </c>
      <c r="AE545" s="529" t="s">
        <v>700</v>
      </c>
      <c r="AF545" s="529" t="s">
        <v>698</v>
      </c>
      <c r="AG545" s="529" t="s">
        <v>494</v>
      </c>
      <c r="AH545" s="530" t="s">
        <v>132</v>
      </c>
      <c r="AI545" s="530" t="s">
        <v>699</v>
      </c>
      <c r="AJ545" s="1065" t="s">
        <v>701</v>
      </c>
    </row>
    <row r="546" spans="15:36" ht="20.25" customHeight="1" x14ac:dyDescent="0.35">
      <c r="O546" s="531" t="s">
        <v>115</v>
      </c>
      <c r="P546" s="531" t="s">
        <v>702</v>
      </c>
      <c r="Q546" s="531" t="s">
        <v>703</v>
      </c>
      <c r="R546" s="532" t="s">
        <v>704</v>
      </c>
      <c r="S546" s="532" t="s">
        <v>704</v>
      </c>
      <c r="T546" s="532" t="s">
        <v>704</v>
      </c>
      <c r="U546" s="532" t="s">
        <v>704</v>
      </c>
      <c r="V546" s="532" t="s">
        <v>704</v>
      </c>
      <c r="W546" s="532" t="s">
        <v>704</v>
      </c>
      <c r="X546" s="533" t="s">
        <v>705</v>
      </c>
      <c r="Y546" s="48"/>
      <c r="Z546" s="48"/>
      <c r="AA546" s="531" t="s">
        <v>115</v>
      </c>
      <c r="AB546" s="531" t="s">
        <v>702</v>
      </c>
      <c r="AC546" s="531" t="s">
        <v>703</v>
      </c>
      <c r="AD546" s="532" t="s">
        <v>704</v>
      </c>
      <c r="AE546" s="532" t="s">
        <v>704</v>
      </c>
      <c r="AF546" s="532" t="s">
        <v>704</v>
      </c>
      <c r="AG546" s="532" t="s">
        <v>704</v>
      </c>
      <c r="AH546" s="532" t="s">
        <v>704</v>
      </c>
      <c r="AI546" s="533" t="s">
        <v>705</v>
      </c>
      <c r="AJ546" s="1066"/>
    </row>
    <row r="547" spans="15:36" ht="20.25" customHeight="1" x14ac:dyDescent="0.3">
      <c r="O547" s="1067" t="s">
        <v>237</v>
      </c>
      <c r="P547" s="532" t="s">
        <v>706</v>
      </c>
      <c r="Q547" s="532" t="s">
        <v>707</v>
      </c>
      <c r="R547" s="534">
        <v>1.0091000000000001</v>
      </c>
      <c r="S547" s="535">
        <v>1.0190999999999999</v>
      </c>
      <c r="T547" s="535">
        <v>1.0190999999999999</v>
      </c>
      <c r="U547" s="536" t="s">
        <v>708</v>
      </c>
      <c r="V547" s="536" t="s">
        <v>708</v>
      </c>
      <c r="W547" s="537">
        <v>1.264</v>
      </c>
      <c r="X547" s="536"/>
      <c r="Y547" s="48"/>
      <c r="Z547" s="48"/>
      <c r="AA547" s="1067" t="s">
        <v>237</v>
      </c>
      <c r="AB547" s="538" t="s">
        <v>706</v>
      </c>
      <c r="AC547" s="532" t="s">
        <v>707</v>
      </c>
      <c r="AD547" s="539">
        <f>R27+S27+R28+S28+R95+R96+S95+S96</f>
        <v>0</v>
      </c>
      <c r="AE547" s="539">
        <f>T27+U27+T28+U28+T95+U95+T96+U96</f>
        <v>0</v>
      </c>
      <c r="AF547" s="540"/>
      <c r="AG547" s="540"/>
      <c r="AH547" s="537">
        <f>W27+W28+W95+W96</f>
        <v>0</v>
      </c>
      <c r="AI547" s="540"/>
      <c r="AJ547" s="541">
        <f>(AD547*R547)+(AE547*T547)+(AH547*W547)</f>
        <v>0</v>
      </c>
    </row>
    <row r="548" spans="15:36" ht="20.25" customHeight="1" x14ac:dyDescent="0.3">
      <c r="O548" s="1068"/>
      <c r="P548" s="532" t="s">
        <v>709</v>
      </c>
      <c r="Q548" s="532" t="s">
        <v>707</v>
      </c>
      <c r="R548" s="535">
        <v>1.0091000000000001</v>
      </c>
      <c r="S548" s="535">
        <v>1.37</v>
      </c>
      <c r="T548" s="535">
        <v>1.0091000000000001</v>
      </c>
      <c r="U548" s="536" t="s">
        <v>708</v>
      </c>
      <c r="V548" s="536" t="s">
        <v>708</v>
      </c>
      <c r="W548" s="542" t="s">
        <v>708</v>
      </c>
      <c r="X548" s="536"/>
      <c r="Y548" s="48"/>
      <c r="Z548" s="48"/>
      <c r="AA548" s="1068"/>
      <c r="AB548" s="538" t="s">
        <v>709</v>
      </c>
      <c r="AC548" s="532" t="s">
        <v>707</v>
      </c>
      <c r="AD548" s="543">
        <f>(S448+T448)-AD575</f>
        <v>0</v>
      </c>
      <c r="AE548" s="543">
        <f>(U448+V448)-AE575</f>
        <v>0</v>
      </c>
      <c r="AF548" s="540"/>
      <c r="AG548" s="540"/>
      <c r="AH548" s="540"/>
      <c r="AI548" s="540"/>
      <c r="AJ548" s="541">
        <f>(AD548*R548)+(AE548*S548)</f>
        <v>0</v>
      </c>
    </row>
    <row r="549" spans="15:36" ht="20.25" customHeight="1" x14ac:dyDescent="0.3">
      <c r="O549" s="1068"/>
      <c r="P549" s="532" t="s">
        <v>710</v>
      </c>
      <c r="Q549" s="532" t="s">
        <v>707</v>
      </c>
      <c r="R549" s="544" t="s">
        <v>708</v>
      </c>
      <c r="S549" s="544" t="s">
        <v>708</v>
      </c>
      <c r="T549" s="544" t="s">
        <v>708</v>
      </c>
      <c r="U549" s="536" t="s">
        <v>708</v>
      </c>
      <c r="V549" s="536" t="s">
        <v>708</v>
      </c>
      <c r="W549" s="537">
        <v>1.264</v>
      </c>
      <c r="X549" s="536"/>
      <c r="Y549" s="48"/>
      <c r="Z549" s="48"/>
      <c r="AA549" s="1068"/>
      <c r="AB549" s="538" t="s">
        <v>710</v>
      </c>
      <c r="AC549" s="532" t="s">
        <v>707</v>
      </c>
      <c r="AD549" s="545"/>
      <c r="AE549" s="545"/>
      <c r="AF549" s="540"/>
      <c r="AG549" s="540"/>
      <c r="AH549" s="546">
        <f>W33+W56</f>
        <v>0</v>
      </c>
      <c r="AI549" s="540"/>
      <c r="AJ549" s="541">
        <f>(AH549*W549)</f>
        <v>0</v>
      </c>
    </row>
    <row r="550" spans="15:36" ht="20.25" customHeight="1" x14ac:dyDescent="0.3">
      <c r="O550" s="1068"/>
      <c r="P550" s="532" t="s">
        <v>711</v>
      </c>
      <c r="Q550" s="532" t="s">
        <v>707</v>
      </c>
      <c r="R550" s="535">
        <v>1.0091000000000001</v>
      </c>
      <c r="S550" s="535">
        <v>1.37</v>
      </c>
      <c r="T550" s="535">
        <v>1.0091000000000001</v>
      </c>
      <c r="U550" s="544" t="s">
        <v>708</v>
      </c>
      <c r="V550" s="536" t="s">
        <v>708</v>
      </c>
      <c r="W550" s="537">
        <v>1.264</v>
      </c>
      <c r="X550" s="536"/>
      <c r="Y550" s="48"/>
      <c r="Z550" s="48"/>
      <c r="AA550" s="1068"/>
      <c r="AB550" s="538" t="s">
        <v>711</v>
      </c>
      <c r="AC550" s="532" t="s">
        <v>707</v>
      </c>
      <c r="AD550" s="539">
        <f>R19+R20+R21+R25+S19+S20+S21+S25</f>
        <v>0</v>
      </c>
      <c r="AE550" s="539">
        <f>T19+T20+T21+T25+U19+U20+U21+U25</f>
        <v>0</v>
      </c>
      <c r="AF550" s="547"/>
      <c r="AG550" s="540"/>
      <c r="AH550" s="546">
        <f>W19+W20+W21+W25</f>
        <v>0</v>
      </c>
      <c r="AI550" s="540"/>
      <c r="AJ550" s="541">
        <f>(AD550*R550)+(AE550*S550)+(AH550*W550)</f>
        <v>0</v>
      </c>
    </row>
    <row r="551" spans="15:36" ht="20.25" customHeight="1" x14ac:dyDescent="0.3">
      <c r="O551" s="1068"/>
      <c r="P551" s="532" t="s">
        <v>140</v>
      </c>
      <c r="Q551" s="532" t="s">
        <v>707</v>
      </c>
      <c r="R551" s="544" t="s">
        <v>708</v>
      </c>
      <c r="S551" s="535">
        <v>1.0091000000000001</v>
      </c>
      <c r="T551" s="544" t="s">
        <v>708</v>
      </c>
      <c r="U551" s="536" t="s">
        <v>708</v>
      </c>
      <c r="V551" s="536" t="s">
        <v>708</v>
      </c>
      <c r="W551" s="537">
        <v>1.264</v>
      </c>
      <c r="X551" s="536"/>
      <c r="Y551" s="48"/>
      <c r="Z551" s="48"/>
      <c r="AA551" s="1068"/>
      <c r="AB551" s="538" t="s">
        <v>140</v>
      </c>
      <c r="AC551" s="532" t="s">
        <v>707</v>
      </c>
      <c r="AD551" s="545"/>
      <c r="AE551" s="543">
        <f>T22+U22</f>
        <v>0</v>
      </c>
      <c r="AF551" s="540"/>
      <c r="AG551" s="540"/>
      <c r="AH551" s="546">
        <f>W22</f>
        <v>0</v>
      </c>
      <c r="AI551" s="540"/>
      <c r="AJ551" s="541">
        <f>(AE551*S551)+(AH551*W551)</f>
        <v>0</v>
      </c>
    </row>
    <row r="552" spans="15:36" ht="20.25" customHeight="1" x14ac:dyDescent="0.3">
      <c r="O552" s="1068"/>
      <c r="P552" s="532" t="s">
        <v>145</v>
      </c>
      <c r="Q552" s="532" t="s">
        <v>707</v>
      </c>
      <c r="R552" s="544" t="s">
        <v>708</v>
      </c>
      <c r="S552" s="535">
        <v>1.0091000000000001</v>
      </c>
      <c r="T552" s="535">
        <v>1.0091000000000001</v>
      </c>
      <c r="U552" s="536" t="s">
        <v>708</v>
      </c>
      <c r="V552" s="536" t="s">
        <v>708</v>
      </c>
      <c r="W552" s="537">
        <v>1.264</v>
      </c>
      <c r="X552" s="536"/>
      <c r="Y552" s="48"/>
      <c r="Z552" s="48"/>
      <c r="AA552" s="1068"/>
      <c r="AB552" s="538" t="s">
        <v>145</v>
      </c>
      <c r="AC552" s="532" t="s">
        <v>707</v>
      </c>
      <c r="AD552" s="545"/>
      <c r="AE552" s="543">
        <f>T26+U26</f>
        <v>0</v>
      </c>
      <c r="AF552" s="540"/>
      <c r="AG552" s="540"/>
      <c r="AH552" s="546">
        <f>W26</f>
        <v>0</v>
      </c>
      <c r="AI552" s="540"/>
      <c r="AJ552" s="541">
        <f>(AE552*T552)+(AH552*W552)</f>
        <v>0</v>
      </c>
    </row>
    <row r="553" spans="15:36" ht="20.25" customHeight="1" x14ac:dyDescent="0.3">
      <c r="O553" s="1068"/>
      <c r="P553" s="532" t="s">
        <v>712</v>
      </c>
      <c r="Q553" s="532" t="s">
        <v>707</v>
      </c>
      <c r="R553" s="544" t="s">
        <v>708</v>
      </c>
      <c r="S553" s="544" t="s">
        <v>708</v>
      </c>
      <c r="T553" s="535">
        <v>1.0091000000000001</v>
      </c>
      <c r="U553" s="536" t="s">
        <v>708</v>
      </c>
      <c r="V553" s="536" t="s">
        <v>708</v>
      </c>
      <c r="W553" s="537">
        <v>1.264</v>
      </c>
      <c r="X553" s="536"/>
      <c r="Y553" s="48"/>
      <c r="Z553" s="48"/>
      <c r="AA553" s="1068"/>
      <c r="AB553" s="538" t="s">
        <v>712</v>
      </c>
      <c r="AC553" s="532" t="s">
        <v>707</v>
      </c>
      <c r="AD553" s="545"/>
      <c r="AE553" s="543">
        <f>T54+T55+U54+U55</f>
        <v>0</v>
      </c>
      <c r="AF553" s="540"/>
      <c r="AG553" s="540"/>
      <c r="AH553" s="546">
        <f>W54+W55</f>
        <v>0</v>
      </c>
      <c r="AI553" s="540"/>
      <c r="AJ553" s="541">
        <f>(AE553*T553)+(AH553*W553)</f>
        <v>0</v>
      </c>
    </row>
    <row r="554" spans="15:36" ht="20.25" customHeight="1" x14ac:dyDescent="0.3">
      <c r="O554" s="1068"/>
      <c r="P554" s="532" t="s">
        <v>72</v>
      </c>
      <c r="Q554" s="532" t="s">
        <v>707</v>
      </c>
      <c r="R554" s="544" t="s">
        <v>708</v>
      </c>
      <c r="S554" s="544" t="s">
        <v>708</v>
      </c>
      <c r="T554" s="535">
        <v>1.0091000000000001</v>
      </c>
      <c r="U554" s="536" t="s">
        <v>708</v>
      </c>
      <c r="V554" s="536" t="s">
        <v>708</v>
      </c>
      <c r="W554" s="537">
        <v>1.264</v>
      </c>
      <c r="X554" s="536"/>
      <c r="Y554" s="48"/>
      <c r="Z554" s="48"/>
      <c r="AA554" s="1068"/>
      <c r="AB554" s="538" t="s">
        <v>72</v>
      </c>
      <c r="AC554" s="532" t="s">
        <v>707</v>
      </c>
      <c r="AD554" s="545"/>
      <c r="AE554" s="543">
        <f>SUM(T58:T65)+SUM(U58:U65)+T75+U75</f>
        <v>0</v>
      </c>
      <c r="AF554" s="540"/>
      <c r="AG554" s="540"/>
      <c r="AH554" s="546">
        <f>SUM(W58:W65)+W75</f>
        <v>0</v>
      </c>
      <c r="AI554" s="540"/>
      <c r="AJ554" s="541">
        <f>(AE554*T554)+(AH554*W554)</f>
        <v>0</v>
      </c>
    </row>
    <row r="555" spans="15:36" ht="20.25" customHeight="1" x14ac:dyDescent="0.3">
      <c r="O555" s="1068"/>
      <c r="P555" s="532" t="s">
        <v>713</v>
      </c>
      <c r="Q555" s="532" t="s">
        <v>707</v>
      </c>
      <c r="R555" s="544" t="s">
        <v>708</v>
      </c>
      <c r="S555" s="544" t="s">
        <v>708</v>
      </c>
      <c r="T555" s="535">
        <v>1.0091000000000001</v>
      </c>
      <c r="U555" s="536" t="s">
        <v>708</v>
      </c>
      <c r="V555" s="536" t="s">
        <v>708</v>
      </c>
      <c r="W555" s="529">
        <v>17.608000000000001</v>
      </c>
      <c r="X555" s="536"/>
      <c r="Y555" s="48"/>
      <c r="Z555" s="48"/>
      <c r="AA555" s="1068"/>
      <c r="AB555" s="538" t="s">
        <v>713</v>
      </c>
      <c r="AC555" s="532" t="s">
        <v>707</v>
      </c>
      <c r="AD555" s="545"/>
      <c r="AE555" s="543">
        <f>T34+T35+T91+T92+T106+U34+U35+U91+U92+U106</f>
        <v>0</v>
      </c>
      <c r="AF555" s="540"/>
      <c r="AG555" s="540"/>
      <c r="AH555" s="546">
        <f>W34+W35+W91+W92+W106</f>
        <v>0</v>
      </c>
      <c r="AI555" s="540"/>
      <c r="AJ555" s="541">
        <f>(AE555*T555)+(AH555*W555)</f>
        <v>0</v>
      </c>
    </row>
    <row r="556" spans="15:36" ht="20.25" customHeight="1" x14ac:dyDescent="0.3">
      <c r="O556" s="1068"/>
      <c r="P556" s="532" t="s">
        <v>714</v>
      </c>
      <c r="Q556" s="532" t="s">
        <v>707</v>
      </c>
      <c r="R556" s="544" t="s">
        <v>708</v>
      </c>
      <c r="S556" s="544" t="s">
        <v>708</v>
      </c>
      <c r="T556" s="548">
        <v>21.353999999999999</v>
      </c>
      <c r="U556" s="548">
        <v>21.353999999999999</v>
      </c>
      <c r="V556" s="536" t="s">
        <v>708</v>
      </c>
      <c r="W556" s="542" t="s">
        <v>708</v>
      </c>
      <c r="X556" s="536"/>
      <c r="Y556" s="48"/>
      <c r="Z556" s="48"/>
      <c r="AA556" s="1068"/>
      <c r="AB556" s="538" t="s">
        <v>714</v>
      </c>
      <c r="AC556" s="532" t="s">
        <v>707</v>
      </c>
      <c r="AD556" s="545"/>
      <c r="AE556" s="543">
        <f>SUM(T43:T45)+SUM(T66:T70)+SUM(U43:U45)+SUM(U66:U70)</f>
        <v>0</v>
      </c>
      <c r="AF556" s="547"/>
      <c r="AG556" s="540"/>
      <c r="AH556" s="549"/>
      <c r="AI556" s="540"/>
      <c r="AJ556" s="541">
        <f>(AE556*T556)</f>
        <v>0</v>
      </c>
    </row>
    <row r="557" spans="15:36" ht="20.25" customHeight="1" x14ac:dyDescent="0.3">
      <c r="O557" s="1068"/>
      <c r="P557" s="532" t="s">
        <v>427</v>
      </c>
      <c r="Q557" s="532" t="s">
        <v>707</v>
      </c>
      <c r="R557" s="544" t="s">
        <v>708</v>
      </c>
      <c r="S557" s="544" t="s">
        <v>708</v>
      </c>
      <c r="T557" s="548">
        <v>21.353999999999999</v>
      </c>
      <c r="U557" s="536" t="s">
        <v>708</v>
      </c>
      <c r="V557" s="536" t="s">
        <v>708</v>
      </c>
      <c r="W557" s="529">
        <v>71.95</v>
      </c>
      <c r="X557" s="536"/>
      <c r="Y557" s="48"/>
      <c r="Z557" s="48"/>
      <c r="AA557" s="1068"/>
      <c r="AB557" s="538" t="s">
        <v>427</v>
      </c>
      <c r="AC557" s="532" t="s">
        <v>707</v>
      </c>
      <c r="AD557" s="545"/>
      <c r="AE557" s="550">
        <f>T52+T53+U52+U53</f>
        <v>0</v>
      </c>
      <c r="AF557" s="540"/>
      <c r="AG557" s="540"/>
      <c r="AH557" s="546">
        <f>W52+W53</f>
        <v>0</v>
      </c>
      <c r="AI557" s="540"/>
      <c r="AJ557" s="541">
        <f>(AE557*T557)+(AH557*W557)</f>
        <v>0</v>
      </c>
    </row>
    <row r="558" spans="15:36" ht="20.25" customHeight="1" x14ac:dyDescent="0.3">
      <c r="O558" s="1068"/>
      <c r="P558" s="532" t="s">
        <v>214</v>
      </c>
      <c r="Q558" s="532" t="s">
        <v>707</v>
      </c>
      <c r="R558" s="548">
        <v>21.353999999999999</v>
      </c>
      <c r="S558" s="548">
        <v>21.353999999999999</v>
      </c>
      <c r="T558" s="548">
        <v>21.353999999999999</v>
      </c>
      <c r="U558" s="544" t="s">
        <v>708</v>
      </c>
      <c r="V558" s="536" t="s">
        <v>708</v>
      </c>
      <c r="W558" s="542" t="s">
        <v>708</v>
      </c>
      <c r="X558" s="536"/>
      <c r="Y558" s="48"/>
      <c r="Z558" s="48"/>
      <c r="AA558" s="1068"/>
      <c r="AB558" s="538" t="s">
        <v>214</v>
      </c>
      <c r="AC558" s="532" t="s">
        <v>707</v>
      </c>
      <c r="AD558" s="535">
        <f>R97+S57</f>
        <v>0</v>
      </c>
      <c r="AE558" s="551">
        <f>T97+U97</f>
        <v>0</v>
      </c>
      <c r="AF558" s="545"/>
      <c r="AG558" s="540"/>
      <c r="AH558" s="549"/>
      <c r="AI558" s="540"/>
      <c r="AJ558" s="541">
        <f>(AD558*R558)+(AE558*T558)</f>
        <v>0</v>
      </c>
    </row>
    <row r="559" spans="15:36" ht="20.25" customHeight="1" x14ac:dyDescent="0.3">
      <c r="O559" s="1068"/>
      <c r="P559" s="532" t="s">
        <v>73</v>
      </c>
      <c r="Q559" s="532" t="s">
        <v>707</v>
      </c>
      <c r="R559" s="548">
        <v>62.44</v>
      </c>
      <c r="S559" s="548">
        <v>21.353999999999999</v>
      </c>
      <c r="T559" s="548">
        <v>21.353999999999999</v>
      </c>
      <c r="U559" s="548">
        <v>21.353999999999999</v>
      </c>
      <c r="V559" s="548">
        <v>21.353999999999999</v>
      </c>
      <c r="W559" s="552">
        <v>828.11699999999996</v>
      </c>
      <c r="X559" s="536"/>
      <c r="Y559" s="48"/>
      <c r="Z559" s="48"/>
      <c r="AA559" s="1068"/>
      <c r="AB559" s="538" t="s">
        <v>73</v>
      </c>
      <c r="AC559" s="532" t="s">
        <v>707</v>
      </c>
      <c r="AD559" s="551">
        <f>R78+R99+S78+S99</f>
        <v>0</v>
      </c>
      <c r="AE559" s="551">
        <f>T78+T99+U78+U99</f>
        <v>0</v>
      </c>
      <c r="AF559" s="547"/>
      <c r="AG559" s="547"/>
      <c r="AH559" s="553">
        <f>W78+W99</f>
        <v>0</v>
      </c>
      <c r="AI559" s="540"/>
      <c r="AJ559" s="541">
        <f>(AD559*R559)+(AE559*T559)+(AH559*W559)</f>
        <v>0</v>
      </c>
    </row>
    <row r="560" spans="15:36" ht="20.25" customHeight="1" x14ac:dyDescent="0.3">
      <c r="O560" s="1069"/>
      <c r="P560" s="532" t="s">
        <v>163</v>
      </c>
      <c r="Q560" s="532" t="s">
        <v>707</v>
      </c>
      <c r="R560" s="554" t="s">
        <v>708</v>
      </c>
      <c r="S560" s="548">
        <v>21.353999999999999</v>
      </c>
      <c r="T560" s="548">
        <v>21.353999999999999</v>
      </c>
      <c r="U560" s="548">
        <v>21.353999999999999</v>
      </c>
      <c r="V560" s="536" t="s">
        <v>708</v>
      </c>
      <c r="W560" s="555">
        <v>8.9860000000000007</v>
      </c>
      <c r="X560" s="536"/>
      <c r="Y560" s="48"/>
      <c r="Z560" s="48"/>
      <c r="AA560" s="1069"/>
      <c r="AB560" s="538" t="s">
        <v>163</v>
      </c>
      <c r="AC560" s="532" t="s">
        <v>707</v>
      </c>
      <c r="AD560" s="556"/>
      <c r="AE560" s="557">
        <f>T46+T74+U46+U74</f>
        <v>0</v>
      </c>
      <c r="AF560" s="558"/>
      <c r="AG560" s="540"/>
      <c r="AH560" s="559">
        <f>W46+W74</f>
        <v>0</v>
      </c>
      <c r="AI560" s="540"/>
      <c r="AJ560" s="541">
        <f>(AE560*T560)+(AH560*W560)</f>
        <v>0</v>
      </c>
    </row>
    <row r="561" spans="15:36" ht="20.25" customHeight="1" x14ac:dyDescent="0.3">
      <c r="O561" s="1069"/>
      <c r="P561" s="532" t="s">
        <v>715</v>
      </c>
      <c r="Q561" s="532" t="s">
        <v>707</v>
      </c>
      <c r="R561" s="548">
        <v>21.353999999999999</v>
      </c>
      <c r="S561" s="554" t="s">
        <v>708</v>
      </c>
      <c r="T561" s="548">
        <v>21.353999999999999</v>
      </c>
      <c r="U561" s="548">
        <v>21.353999999999999</v>
      </c>
      <c r="V561" s="536" t="s">
        <v>708</v>
      </c>
      <c r="W561" s="555">
        <v>445.02800000000002</v>
      </c>
      <c r="X561" s="536"/>
      <c r="Y561" s="48"/>
      <c r="Z561" s="48"/>
      <c r="AA561" s="1069"/>
      <c r="AB561" s="538" t="s">
        <v>715</v>
      </c>
      <c r="AC561" s="532" t="s">
        <v>707</v>
      </c>
      <c r="AD561" s="557">
        <f>R113+S113</f>
        <v>0</v>
      </c>
      <c r="AE561" s="560">
        <f>T113+U113</f>
        <v>0</v>
      </c>
      <c r="AF561" s="558"/>
      <c r="AG561" s="540"/>
      <c r="AH561" s="559">
        <f>W113</f>
        <v>0</v>
      </c>
      <c r="AI561" s="540"/>
      <c r="AJ561" s="541">
        <f>(AD561*R561)+(AE561*T561)+(AH561*W561)</f>
        <v>0</v>
      </c>
    </row>
    <row r="562" spans="15:36" ht="20.25" customHeight="1" x14ac:dyDescent="0.3">
      <c r="O562" s="1069"/>
      <c r="P562" s="532" t="s">
        <v>716</v>
      </c>
      <c r="Q562" s="532" t="s">
        <v>707</v>
      </c>
      <c r="R562" s="536"/>
      <c r="S562" s="548">
        <v>21.353999999999999</v>
      </c>
      <c r="T562" s="548">
        <v>21.353999999999999</v>
      </c>
      <c r="U562" s="548">
        <v>21.353999999999999</v>
      </c>
      <c r="V562" s="536" t="s">
        <v>708</v>
      </c>
      <c r="W562" s="552">
        <v>586.51400000000001</v>
      </c>
      <c r="X562" s="548">
        <v>10.204000000000001</v>
      </c>
      <c r="Y562" s="48"/>
      <c r="Z562" s="48"/>
      <c r="AA562" s="1069"/>
      <c r="AB562" s="538" t="s">
        <v>716</v>
      </c>
      <c r="AC562" s="532" t="s">
        <v>707</v>
      </c>
      <c r="AD562" s="540"/>
      <c r="AE562" s="543">
        <f>T90+T115+U90+U115</f>
        <v>0</v>
      </c>
      <c r="AF562" s="547"/>
      <c r="AG562" s="540"/>
      <c r="AH562" s="553">
        <f>W90+W115</f>
        <v>0</v>
      </c>
      <c r="AI562" s="547"/>
      <c r="AJ562" s="541">
        <f>(AE562*T562)+(AH562*W562)</f>
        <v>0</v>
      </c>
    </row>
    <row r="563" spans="15:36" ht="20.25" customHeight="1" x14ac:dyDescent="0.3">
      <c r="O563" s="1069"/>
      <c r="P563" s="532" t="s">
        <v>717</v>
      </c>
      <c r="Q563" s="532" t="s">
        <v>707</v>
      </c>
      <c r="R563" s="536"/>
      <c r="S563" s="542" t="s">
        <v>708</v>
      </c>
      <c r="T563" s="542" t="s">
        <v>708</v>
      </c>
      <c r="U563" s="548">
        <v>21.353999999999999</v>
      </c>
      <c r="V563" s="548">
        <v>10.204000000000001</v>
      </c>
      <c r="W563" s="561">
        <v>626.95920000000001</v>
      </c>
      <c r="X563" s="548">
        <v>10.204000000000001</v>
      </c>
      <c r="Y563" s="48"/>
      <c r="Z563" s="48"/>
      <c r="AA563" s="1069"/>
      <c r="AB563" s="538" t="s">
        <v>717</v>
      </c>
      <c r="AC563" s="532" t="s">
        <v>707</v>
      </c>
      <c r="AD563" s="540"/>
      <c r="AE563" s="546">
        <f>T116+U116</f>
        <v>0</v>
      </c>
      <c r="AF563" s="547"/>
      <c r="AG563" s="547"/>
      <c r="AH563" s="553">
        <f>W116</f>
        <v>0</v>
      </c>
      <c r="AI563" s="535"/>
      <c r="AJ563" s="541">
        <f>(AE563*U563)+(AH563*W563)</f>
        <v>0</v>
      </c>
    </row>
    <row r="564" spans="15:36" ht="20.25" customHeight="1" x14ac:dyDescent="0.3">
      <c r="O564" s="1069"/>
      <c r="P564" s="532" t="s">
        <v>718</v>
      </c>
      <c r="Q564" s="532" t="s">
        <v>707</v>
      </c>
      <c r="R564" s="536"/>
      <c r="S564" s="542" t="s">
        <v>708</v>
      </c>
      <c r="T564" s="542" t="s">
        <v>708</v>
      </c>
      <c r="U564" s="548">
        <v>21.353999999999999</v>
      </c>
      <c r="V564" s="548">
        <v>10.204000000000001</v>
      </c>
      <c r="W564" s="561">
        <v>579.04349999999999</v>
      </c>
      <c r="X564" s="548">
        <v>10.204000000000001</v>
      </c>
      <c r="Y564" s="48"/>
      <c r="Z564" s="48"/>
      <c r="AA564" s="1069"/>
      <c r="AB564" s="538" t="s">
        <v>718</v>
      </c>
      <c r="AC564" s="532" t="s">
        <v>707</v>
      </c>
      <c r="AD564" s="540"/>
      <c r="AE564" s="540"/>
      <c r="AF564" s="547"/>
      <c r="AG564" s="547"/>
      <c r="AH564" s="540"/>
      <c r="AI564" s="535">
        <f>W98+W105</f>
        <v>0</v>
      </c>
      <c r="AJ564" s="562"/>
    </row>
    <row r="565" spans="15:36" ht="20.25" customHeight="1" x14ac:dyDescent="0.3">
      <c r="O565" s="1069"/>
      <c r="P565" s="532" t="s">
        <v>719</v>
      </c>
      <c r="Q565" s="532" t="s">
        <v>707</v>
      </c>
      <c r="R565" s="536"/>
      <c r="S565" s="542" t="s">
        <v>708</v>
      </c>
      <c r="T565" s="542" t="s">
        <v>708</v>
      </c>
      <c r="U565" s="548">
        <v>21.353999999999999</v>
      </c>
      <c r="V565" s="548">
        <v>10.204000000000001</v>
      </c>
      <c r="W565" s="561">
        <v>587.42880000000002</v>
      </c>
      <c r="X565" s="548">
        <v>10.204000000000001</v>
      </c>
      <c r="Y565" s="48"/>
      <c r="Z565" s="48"/>
      <c r="AA565" s="1069"/>
      <c r="AB565" s="538" t="s">
        <v>719</v>
      </c>
      <c r="AC565" s="532" t="s">
        <v>707</v>
      </c>
      <c r="AD565" s="540"/>
      <c r="AE565" s="540"/>
      <c r="AF565" s="547"/>
      <c r="AG565" s="547"/>
      <c r="AH565" s="540"/>
      <c r="AI565" s="563"/>
      <c r="AJ565" s="562"/>
    </row>
    <row r="566" spans="15:36" ht="20.25" customHeight="1" x14ac:dyDescent="0.3">
      <c r="O566" s="1069"/>
      <c r="P566" s="532" t="s">
        <v>720</v>
      </c>
      <c r="Q566" s="532" t="s">
        <v>707</v>
      </c>
      <c r="R566" s="536"/>
      <c r="S566" s="542" t="s">
        <v>708</v>
      </c>
      <c r="T566" s="548">
        <v>21.353999999999999</v>
      </c>
      <c r="U566" s="548">
        <v>21.353999999999999</v>
      </c>
      <c r="V566" s="536" t="s">
        <v>708</v>
      </c>
      <c r="W566" s="564">
        <v>99.759200000000007</v>
      </c>
      <c r="X566" s="548">
        <v>10.204000000000001</v>
      </c>
      <c r="Y566" s="48"/>
      <c r="Z566" s="48"/>
      <c r="AA566" s="1069"/>
      <c r="AB566" s="538" t="s">
        <v>720</v>
      </c>
      <c r="AC566" s="532" t="s">
        <v>707</v>
      </c>
      <c r="AD566" s="540"/>
      <c r="AE566" s="540"/>
      <c r="AF566" s="547"/>
      <c r="AG566" s="540"/>
      <c r="AH566" s="540"/>
      <c r="AI566" s="547"/>
      <c r="AJ566" s="562"/>
    </row>
    <row r="567" spans="15:36" ht="20.25" customHeight="1" x14ac:dyDescent="0.3">
      <c r="O567" s="1069"/>
      <c r="P567" s="532" t="s">
        <v>721</v>
      </c>
      <c r="Q567" s="532" t="s">
        <v>707</v>
      </c>
      <c r="R567" s="565" t="s">
        <v>708</v>
      </c>
      <c r="S567" s="548">
        <v>21.353999999999999</v>
      </c>
      <c r="T567" s="536"/>
      <c r="U567" s="548">
        <v>21.353999999999999</v>
      </c>
      <c r="V567" s="536"/>
      <c r="W567" s="566">
        <v>8.9863999999999997</v>
      </c>
      <c r="X567" s="536"/>
      <c r="Y567" s="48"/>
      <c r="Z567" s="48"/>
      <c r="AA567" s="1069"/>
      <c r="AB567" s="538" t="s">
        <v>721</v>
      </c>
      <c r="AC567" s="532" t="s">
        <v>707</v>
      </c>
      <c r="AD567" s="567"/>
      <c r="AE567" s="543">
        <f>SUM(T36:T39)+T41+T42+SUM(U36:U39)+U41+U42</f>
        <v>0</v>
      </c>
      <c r="AF567" s="567"/>
      <c r="AG567" s="540"/>
      <c r="AH567" s="551">
        <f>SUM(W36:W39)+W41+W42</f>
        <v>0</v>
      </c>
      <c r="AI567" s="540"/>
      <c r="AJ567" s="541">
        <f>(AE567*S567)+(AH567*W567)</f>
        <v>0</v>
      </c>
    </row>
    <row r="568" spans="15:36" ht="20.25" customHeight="1" x14ac:dyDescent="0.3">
      <c r="O568" s="1069"/>
      <c r="P568" s="532" t="s">
        <v>722</v>
      </c>
      <c r="Q568" s="532" t="s">
        <v>707</v>
      </c>
      <c r="R568" s="565" t="s">
        <v>708</v>
      </c>
      <c r="S568" s="566">
        <v>64.636499999999998</v>
      </c>
      <c r="T568" s="536"/>
      <c r="U568" s="565" t="s">
        <v>708</v>
      </c>
      <c r="V568" s="536"/>
      <c r="W568" s="566">
        <v>75.491900000000001</v>
      </c>
      <c r="X568" s="536"/>
      <c r="Y568" s="48"/>
      <c r="Z568" s="48"/>
      <c r="AA568" s="1069"/>
      <c r="AB568" s="538" t="s">
        <v>722</v>
      </c>
      <c r="AC568" s="532" t="s">
        <v>707</v>
      </c>
      <c r="AD568" s="567"/>
      <c r="AE568" s="543">
        <f>SUM(T15:T18)+SUM(U15:U18)</f>
        <v>0</v>
      </c>
      <c r="AF568" s="567"/>
      <c r="AG568" s="540"/>
      <c r="AH568" s="551">
        <f>SUM(W15:W18)</f>
        <v>0</v>
      </c>
      <c r="AI568" s="540"/>
      <c r="AJ568" s="541">
        <f>(AE568*S568)+(AH568*W568)</f>
        <v>0</v>
      </c>
    </row>
    <row r="569" spans="15:36" ht="20.25" customHeight="1" x14ac:dyDescent="0.3">
      <c r="O569" s="1069"/>
      <c r="P569" s="532" t="s">
        <v>723</v>
      </c>
      <c r="Q569" s="532" t="s">
        <v>707</v>
      </c>
      <c r="R569" s="536"/>
      <c r="S569" s="536"/>
      <c r="T569" s="548">
        <v>21.353999999999999</v>
      </c>
      <c r="U569" s="548">
        <v>21.353999999999999</v>
      </c>
      <c r="V569" s="536"/>
      <c r="W569" s="566">
        <v>8.9863999999999997</v>
      </c>
      <c r="X569" s="536"/>
      <c r="Y569" s="48"/>
      <c r="Z569" s="48"/>
      <c r="AA569" s="1069"/>
      <c r="AB569" s="538" t="s">
        <v>723</v>
      </c>
      <c r="AC569" s="532" t="s">
        <v>707</v>
      </c>
      <c r="AD569" s="540"/>
      <c r="AE569" s="540"/>
      <c r="AF569" s="547"/>
      <c r="AG569" s="540"/>
      <c r="AH569" s="547"/>
      <c r="AI569" s="540"/>
      <c r="AJ569" s="541">
        <f>(AE569*T569)+(AH569*W569)</f>
        <v>0</v>
      </c>
    </row>
    <row r="570" spans="15:36" ht="20.25" customHeight="1" x14ac:dyDescent="0.3">
      <c r="O570" s="1069"/>
      <c r="P570" s="532" t="s">
        <v>724</v>
      </c>
      <c r="Q570" s="532" t="s">
        <v>707</v>
      </c>
      <c r="R570" s="536"/>
      <c r="S570" s="548">
        <v>21.353999999999999</v>
      </c>
      <c r="T570" s="548">
        <v>21.353999999999999</v>
      </c>
      <c r="U570" s="548">
        <v>21.353999999999999</v>
      </c>
      <c r="V570" s="536"/>
      <c r="W570" s="566">
        <v>8.9863999999999997</v>
      </c>
      <c r="X570" s="536"/>
      <c r="Y570" s="48"/>
      <c r="Z570" s="48"/>
      <c r="AA570" s="1069"/>
      <c r="AB570" s="538" t="s">
        <v>724</v>
      </c>
      <c r="AC570" s="532" t="s">
        <v>707</v>
      </c>
      <c r="AD570" s="540"/>
      <c r="AE570" s="543">
        <f>T77+T85+U77+U85</f>
        <v>0</v>
      </c>
      <c r="AF570" s="547"/>
      <c r="AG570" s="540"/>
      <c r="AH570" s="551">
        <f>W77+W85</f>
        <v>0</v>
      </c>
      <c r="AI570" s="540"/>
      <c r="AJ570" s="541">
        <f>(AE570*T570)+(AH570*W570)</f>
        <v>0</v>
      </c>
    </row>
    <row r="571" spans="15:36" ht="20.25" customHeight="1" x14ac:dyDescent="0.3">
      <c r="O571" s="1069"/>
      <c r="P571" s="532" t="s">
        <v>725</v>
      </c>
      <c r="Q571" s="532" t="s">
        <v>707</v>
      </c>
      <c r="R571" s="536"/>
      <c r="S571" s="568" t="s">
        <v>708</v>
      </c>
      <c r="T571" s="548">
        <v>21.353999999999999</v>
      </c>
      <c r="U571" s="548">
        <v>21.353999999999999</v>
      </c>
      <c r="V571" s="548">
        <v>10.204000000000001</v>
      </c>
      <c r="W571" s="566">
        <v>1041.8880999999999</v>
      </c>
      <c r="X571" s="536"/>
      <c r="Y571" s="48"/>
      <c r="Z571" s="48"/>
      <c r="AA571" s="1069"/>
      <c r="AB571" s="538" t="s">
        <v>725</v>
      </c>
      <c r="AC571" s="532" t="s">
        <v>707</v>
      </c>
      <c r="AD571" s="540"/>
      <c r="AE571" s="569">
        <f>T76+T114+U76+U114</f>
        <v>0</v>
      </c>
      <c r="AF571" s="547"/>
      <c r="AG571" s="547"/>
      <c r="AH571" s="551">
        <f>W76+W114</f>
        <v>0</v>
      </c>
      <c r="AI571" s="540"/>
      <c r="AJ571" s="541">
        <f>(AE571*T571)+(AH571*W571)</f>
        <v>0</v>
      </c>
    </row>
    <row r="572" spans="15:36" ht="20.25" customHeight="1" x14ac:dyDescent="0.3">
      <c r="O572" s="1069"/>
      <c r="P572" s="532" t="s">
        <v>726</v>
      </c>
      <c r="Q572" s="532" t="s">
        <v>707</v>
      </c>
      <c r="R572" s="536"/>
      <c r="S572" s="568" t="s">
        <v>708</v>
      </c>
      <c r="T572" s="548">
        <v>21.353999999999999</v>
      </c>
      <c r="U572" s="548">
        <v>21.353999999999999</v>
      </c>
      <c r="V572" s="548">
        <v>10.204000000000001</v>
      </c>
      <c r="W572" s="566">
        <v>1041.8880999999999</v>
      </c>
      <c r="X572" s="536"/>
      <c r="Y572" s="48"/>
      <c r="Z572" s="48"/>
      <c r="AA572" s="1069"/>
      <c r="AB572" s="538" t="s">
        <v>726</v>
      </c>
      <c r="AC572" s="532" t="s">
        <v>707</v>
      </c>
      <c r="AD572" s="540"/>
      <c r="AE572" s="570">
        <f>T84+U84</f>
        <v>0</v>
      </c>
      <c r="AF572" s="547"/>
      <c r="AG572" s="547"/>
      <c r="AH572" s="535">
        <f>W84</f>
        <v>0</v>
      </c>
      <c r="AI572" s="540"/>
      <c r="AJ572" s="562"/>
    </row>
    <row r="573" spans="15:36" ht="20.25" customHeight="1" x14ac:dyDescent="0.3">
      <c r="O573" s="1069"/>
      <c r="P573" s="532" t="s">
        <v>727</v>
      </c>
      <c r="Q573" s="532" t="s">
        <v>707</v>
      </c>
      <c r="R573" s="536"/>
      <c r="S573" s="568" t="s">
        <v>708</v>
      </c>
      <c r="T573" s="548">
        <v>21.353999999999999</v>
      </c>
      <c r="U573" s="548">
        <v>21.353999999999999</v>
      </c>
      <c r="V573" s="548">
        <v>10.204000000000001</v>
      </c>
      <c r="W573" s="566">
        <v>1041.8880999999999</v>
      </c>
      <c r="X573" s="536"/>
      <c r="Y573" s="48"/>
      <c r="Z573" s="48"/>
      <c r="AA573" s="1069"/>
      <c r="AB573" s="538" t="s">
        <v>727</v>
      </c>
      <c r="AC573" s="532" t="s">
        <v>707</v>
      </c>
      <c r="AD573" s="540"/>
      <c r="AE573" s="569">
        <f>T83+U83</f>
        <v>0</v>
      </c>
      <c r="AF573" s="547"/>
      <c r="AG573" s="547"/>
      <c r="AH573" s="551">
        <f>W83</f>
        <v>0</v>
      </c>
      <c r="AI573" s="540"/>
      <c r="AJ573" s="541">
        <f>(AE573*T573)+(AH573*W573)</f>
        <v>0</v>
      </c>
    </row>
    <row r="574" spans="15:36" ht="13.8" thickBot="1" x14ac:dyDescent="0.3">
      <c r="O574" s="48"/>
      <c r="P574" s="48"/>
      <c r="Q574" s="48"/>
      <c r="R574" s="48"/>
      <c r="S574" s="48"/>
      <c r="T574" s="48"/>
      <c r="U574" s="48"/>
      <c r="V574" s="48"/>
      <c r="W574" s="48"/>
      <c r="X574" s="48"/>
      <c r="Y574" s="48"/>
      <c r="Z574" s="48"/>
      <c r="AA574" s="48"/>
      <c r="AB574" s="48"/>
      <c r="AC574" s="48"/>
      <c r="AD574" s="48"/>
      <c r="AE574" s="48"/>
      <c r="AF574" s="48"/>
      <c r="AG574" s="48"/>
      <c r="AH574" s="48"/>
      <c r="AI574" s="48"/>
      <c r="AJ574" s="48"/>
    </row>
    <row r="575" spans="15:36" ht="15" thickBot="1" x14ac:dyDescent="0.35">
      <c r="O575" s="48"/>
      <c r="P575" s="48"/>
      <c r="Q575" s="48"/>
      <c r="R575" s="48"/>
      <c r="S575" s="48"/>
      <c r="T575" s="48"/>
      <c r="U575" s="48"/>
      <c r="V575" s="48"/>
      <c r="W575" s="48"/>
      <c r="X575" s="48"/>
      <c r="Y575" s="48"/>
      <c r="Z575" s="48"/>
      <c r="AA575" s="48"/>
      <c r="AB575" s="571" t="s">
        <v>607</v>
      </c>
      <c r="AC575" s="48"/>
      <c r="AD575" s="572">
        <f>SUM(AD549:AD573)+AD547</f>
        <v>0</v>
      </c>
      <c r="AE575" s="572">
        <f t="shared" ref="AE575:AI575" si="128">SUM(AE549:AE573)+AE547</f>
        <v>0</v>
      </c>
      <c r="AF575" s="572">
        <f t="shared" si="128"/>
        <v>0</v>
      </c>
      <c r="AG575" s="572">
        <f t="shared" si="128"/>
        <v>0</v>
      </c>
      <c r="AH575" s="572">
        <f t="shared" si="128"/>
        <v>0</v>
      </c>
      <c r="AI575" s="572">
        <f t="shared" si="128"/>
        <v>0</v>
      </c>
      <c r="AJ575" s="573">
        <f>SUM(AJ547:AJ573)</f>
        <v>0</v>
      </c>
    </row>
    <row r="579" spans="28:36" ht="14.4" x14ac:dyDescent="0.3">
      <c r="AB579" s="574" t="s">
        <v>728</v>
      </c>
      <c r="AC579" s="48"/>
      <c r="AD579" s="108">
        <f t="shared" ref="AD579:AJ579" si="129">SUM(AD547:AD573)</f>
        <v>0</v>
      </c>
      <c r="AE579" s="108">
        <f t="shared" si="129"/>
        <v>0</v>
      </c>
      <c r="AF579" s="575">
        <f t="shared" si="129"/>
        <v>0</v>
      </c>
      <c r="AG579" s="575">
        <f t="shared" si="129"/>
        <v>0</v>
      </c>
      <c r="AH579" s="108">
        <f t="shared" si="129"/>
        <v>0</v>
      </c>
      <c r="AI579" s="575">
        <f t="shared" si="129"/>
        <v>0</v>
      </c>
      <c r="AJ579" s="1070">
        <f t="shared" si="129"/>
        <v>0</v>
      </c>
    </row>
    <row r="580" spans="28:36" ht="14.4" x14ac:dyDescent="0.3">
      <c r="AB580" s="574" t="s">
        <v>729</v>
      </c>
      <c r="AC580" s="48"/>
      <c r="AD580" s="108">
        <f>(S201+T201)-AD579</f>
        <v>0</v>
      </c>
      <c r="AE580" s="108">
        <f>(U201+V201)-AE579</f>
        <v>0</v>
      </c>
      <c r="AF580" s="576"/>
      <c r="AG580" s="576"/>
      <c r="AH580" s="108">
        <f>W201-AH579</f>
        <v>0</v>
      </c>
      <c r="AI580" s="576"/>
      <c r="AJ580" s="1071"/>
    </row>
  </sheetData>
  <sheetProtection algorithmName="SHA-512" hashValue="XI2Wj/2EDaE1VjFBvrDEw6xpyUzuuU2oied9isF0Dp2lcDLApHlIZUHyjDGvaBzJ99n+uH53Gc99TnQlT4/kqg==" saltValue="5jYoveHbksNi3lO1exta1g==" spinCount="100000" sheet="1" objects="1" scenarios="1"/>
  <mergeCells count="277">
    <mergeCell ref="I4:L4"/>
    <mergeCell ref="A5:B5"/>
    <mergeCell ref="C5:F5"/>
    <mergeCell ref="G5:H5"/>
    <mergeCell ref="I5:L5"/>
    <mergeCell ref="A1:L1"/>
    <mergeCell ref="A2:B2"/>
    <mergeCell ref="C2:H2"/>
    <mergeCell ref="I2:L2"/>
    <mergeCell ref="A3:B3"/>
    <mergeCell ref="C3:F3"/>
    <mergeCell ref="G3:H3"/>
    <mergeCell ref="I3:L3"/>
    <mergeCell ref="A7:A9"/>
    <mergeCell ref="B7:B9"/>
    <mergeCell ref="C7:C9"/>
    <mergeCell ref="D7:D9"/>
    <mergeCell ref="E7:E9"/>
    <mergeCell ref="F7:F9"/>
    <mergeCell ref="A4:B4"/>
    <mergeCell ref="C4:F4"/>
    <mergeCell ref="G4:H4"/>
    <mergeCell ref="Y7:Y9"/>
    <mergeCell ref="G7:L7"/>
    <mergeCell ref="O7:O9"/>
    <mergeCell ref="P7:P9"/>
    <mergeCell ref="Q7:Q9"/>
    <mergeCell ref="R7:R9"/>
    <mergeCell ref="S7:S9"/>
    <mergeCell ref="G8:G9"/>
    <mergeCell ref="H8:H9"/>
    <mergeCell ref="I8:I9"/>
    <mergeCell ref="J8:J9"/>
    <mergeCell ref="G37:H37"/>
    <mergeCell ref="G38:H38"/>
    <mergeCell ref="G43:H43"/>
    <mergeCell ref="O122:O124"/>
    <mergeCell ref="T7:T9"/>
    <mergeCell ref="U7:U9"/>
    <mergeCell ref="V7:V9"/>
    <mergeCell ref="W7:W9"/>
    <mergeCell ref="X7:X9"/>
    <mergeCell ref="P122:P124"/>
    <mergeCell ref="O125:O127"/>
    <mergeCell ref="P125:P127"/>
    <mergeCell ref="O128:O130"/>
    <mergeCell ref="P128:P130"/>
    <mergeCell ref="O131:O133"/>
    <mergeCell ref="P131:P133"/>
    <mergeCell ref="K8:K9"/>
    <mergeCell ref="L8:L9"/>
    <mergeCell ref="O143:O145"/>
    <mergeCell ref="P143:P145"/>
    <mergeCell ref="O146:O148"/>
    <mergeCell ref="P146:P148"/>
    <mergeCell ref="O149:O151"/>
    <mergeCell ref="P149:P151"/>
    <mergeCell ref="O134:O136"/>
    <mergeCell ref="P134:P136"/>
    <mergeCell ref="O137:O139"/>
    <mergeCell ref="P137:P139"/>
    <mergeCell ref="O140:O142"/>
    <mergeCell ref="P140:P142"/>
    <mergeCell ref="O161:O163"/>
    <mergeCell ref="P161:P163"/>
    <mergeCell ref="O164:O166"/>
    <mergeCell ref="P164:P166"/>
    <mergeCell ref="O167:O169"/>
    <mergeCell ref="P167:P169"/>
    <mergeCell ref="O152:O154"/>
    <mergeCell ref="P152:P154"/>
    <mergeCell ref="O155:O157"/>
    <mergeCell ref="P155:P157"/>
    <mergeCell ref="O158:O160"/>
    <mergeCell ref="P158:P160"/>
    <mergeCell ref="O179:O181"/>
    <mergeCell ref="P179:P181"/>
    <mergeCell ref="O182:O184"/>
    <mergeCell ref="P182:P184"/>
    <mergeCell ref="O185:O187"/>
    <mergeCell ref="P185:P187"/>
    <mergeCell ref="O170:O172"/>
    <mergeCell ref="P170:P172"/>
    <mergeCell ref="O173:O175"/>
    <mergeCell ref="P173:P175"/>
    <mergeCell ref="O176:O178"/>
    <mergeCell ref="P176:P178"/>
    <mergeCell ref="O197:O199"/>
    <mergeCell ref="P197:P199"/>
    <mergeCell ref="O200:O202"/>
    <mergeCell ref="P200:P202"/>
    <mergeCell ref="O203:O205"/>
    <mergeCell ref="P203:P205"/>
    <mergeCell ref="O188:O190"/>
    <mergeCell ref="P188:P190"/>
    <mergeCell ref="O191:O193"/>
    <mergeCell ref="P191:P193"/>
    <mergeCell ref="O194:O196"/>
    <mergeCell ref="P194:P196"/>
    <mergeCell ref="O215:O217"/>
    <mergeCell ref="P215:P217"/>
    <mergeCell ref="O218:O220"/>
    <mergeCell ref="P218:P220"/>
    <mergeCell ref="O221:O223"/>
    <mergeCell ref="P221:P223"/>
    <mergeCell ref="O206:O208"/>
    <mergeCell ref="P206:P208"/>
    <mergeCell ref="O209:O211"/>
    <mergeCell ref="P209:P211"/>
    <mergeCell ref="O212:O214"/>
    <mergeCell ref="P212:P214"/>
    <mergeCell ref="O233:O235"/>
    <mergeCell ref="P233:P235"/>
    <mergeCell ref="O236:O238"/>
    <mergeCell ref="P236:P238"/>
    <mergeCell ref="O239:O241"/>
    <mergeCell ref="P239:P241"/>
    <mergeCell ref="O224:O226"/>
    <mergeCell ref="P224:P226"/>
    <mergeCell ref="O227:O229"/>
    <mergeCell ref="P227:P229"/>
    <mergeCell ref="O230:O232"/>
    <mergeCell ref="P230:P232"/>
    <mergeCell ref="O251:O253"/>
    <mergeCell ref="P251:P253"/>
    <mergeCell ref="O254:O256"/>
    <mergeCell ref="P254:P256"/>
    <mergeCell ref="O257:O259"/>
    <mergeCell ref="P257:P259"/>
    <mergeCell ref="O242:O244"/>
    <mergeCell ref="P242:P244"/>
    <mergeCell ref="O245:O247"/>
    <mergeCell ref="P245:P247"/>
    <mergeCell ref="O248:O250"/>
    <mergeCell ref="P248:P250"/>
    <mergeCell ref="O269:O271"/>
    <mergeCell ref="P269:P271"/>
    <mergeCell ref="O272:O274"/>
    <mergeCell ref="P272:P274"/>
    <mergeCell ref="O275:O277"/>
    <mergeCell ref="P275:P277"/>
    <mergeCell ref="O260:O262"/>
    <mergeCell ref="P260:P262"/>
    <mergeCell ref="O263:O265"/>
    <mergeCell ref="P263:P265"/>
    <mergeCell ref="O266:O268"/>
    <mergeCell ref="P266:P268"/>
    <mergeCell ref="O287:O289"/>
    <mergeCell ref="P287:P289"/>
    <mergeCell ref="O290:O292"/>
    <mergeCell ref="P290:P292"/>
    <mergeCell ref="O293:O295"/>
    <mergeCell ref="P293:P295"/>
    <mergeCell ref="O278:O280"/>
    <mergeCell ref="P278:P280"/>
    <mergeCell ref="O281:O283"/>
    <mergeCell ref="P281:P283"/>
    <mergeCell ref="O284:O286"/>
    <mergeCell ref="P284:P286"/>
    <mergeCell ref="O305:O307"/>
    <mergeCell ref="P305:P307"/>
    <mergeCell ref="O308:O310"/>
    <mergeCell ref="P308:P310"/>
    <mergeCell ref="O311:O313"/>
    <mergeCell ref="P311:P313"/>
    <mergeCell ref="O296:O298"/>
    <mergeCell ref="P296:P298"/>
    <mergeCell ref="O299:O301"/>
    <mergeCell ref="P299:P301"/>
    <mergeCell ref="O302:O304"/>
    <mergeCell ref="P302:P304"/>
    <mergeCell ref="O323:O325"/>
    <mergeCell ref="P323:P325"/>
    <mergeCell ref="O326:O328"/>
    <mergeCell ref="P326:P328"/>
    <mergeCell ref="O329:O331"/>
    <mergeCell ref="P329:P331"/>
    <mergeCell ref="O314:O316"/>
    <mergeCell ref="P314:P316"/>
    <mergeCell ref="O317:O319"/>
    <mergeCell ref="P317:P319"/>
    <mergeCell ref="O320:O322"/>
    <mergeCell ref="P320:P322"/>
    <mergeCell ref="O341:O343"/>
    <mergeCell ref="P341:P343"/>
    <mergeCell ref="O344:O346"/>
    <mergeCell ref="P344:P346"/>
    <mergeCell ref="O347:O349"/>
    <mergeCell ref="P347:P349"/>
    <mergeCell ref="O332:O334"/>
    <mergeCell ref="P332:P334"/>
    <mergeCell ref="O335:O337"/>
    <mergeCell ref="P335:P337"/>
    <mergeCell ref="O338:O340"/>
    <mergeCell ref="P338:P340"/>
    <mergeCell ref="O359:O361"/>
    <mergeCell ref="P359:P361"/>
    <mergeCell ref="O362:O364"/>
    <mergeCell ref="P362:P364"/>
    <mergeCell ref="O365:O367"/>
    <mergeCell ref="P365:P367"/>
    <mergeCell ref="O350:O352"/>
    <mergeCell ref="P350:P352"/>
    <mergeCell ref="O353:O355"/>
    <mergeCell ref="P353:P355"/>
    <mergeCell ref="O356:O358"/>
    <mergeCell ref="P356:P358"/>
    <mergeCell ref="O377:O379"/>
    <mergeCell ref="P377:P379"/>
    <mergeCell ref="O380:O382"/>
    <mergeCell ref="P380:P382"/>
    <mergeCell ref="O383:O385"/>
    <mergeCell ref="P383:P385"/>
    <mergeCell ref="O368:O370"/>
    <mergeCell ref="P368:P370"/>
    <mergeCell ref="O371:O373"/>
    <mergeCell ref="P371:P373"/>
    <mergeCell ref="O374:O376"/>
    <mergeCell ref="P374:P376"/>
    <mergeCell ref="O395:O397"/>
    <mergeCell ref="P395:P397"/>
    <mergeCell ref="O398:O400"/>
    <mergeCell ref="P398:P400"/>
    <mergeCell ref="O401:O403"/>
    <mergeCell ref="P401:P403"/>
    <mergeCell ref="O386:O388"/>
    <mergeCell ref="P386:P388"/>
    <mergeCell ref="O389:O391"/>
    <mergeCell ref="P389:P391"/>
    <mergeCell ref="O392:O394"/>
    <mergeCell ref="P392:P394"/>
    <mergeCell ref="O413:O415"/>
    <mergeCell ref="P413:P415"/>
    <mergeCell ref="O416:O418"/>
    <mergeCell ref="P416:P418"/>
    <mergeCell ref="O419:O421"/>
    <mergeCell ref="P419:P421"/>
    <mergeCell ref="O404:O406"/>
    <mergeCell ref="P404:P406"/>
    <mergeCell ref="O407:O409"/>
    <mergeCell ref="P407:P409"/>
    <mergeCell ref="O410:O412"/>
    <mergeCell ref="P410:P412"/>
    <mergeCell ref="O431:O433"/>
    <mergeCell ref="P431:P433"/>
    <mergeCell ref="O434:O436"/>
    <mergeCell ref="P434:P436"/>
    <mergeCell ref="O437:O439"/>
    <mergeCell ref="P437:P439"/>
    <mergeCell ref="O422:O424"/>
    <mergeCell ref="P422:P424"/>
    <mergeCell ref="O425:O427"/>
    <mergeCell ref="P425:P427"/>
    <mergeCell ref="O428:O430"/>
    <mergeCell ref="P428:P430"/>
    <mergeCell ref="O469:S469"/>
    <mergeCell ref="O470:S470"/>
    <mergeCell ref="O474:S474"/>
    <mergeCell ref="O476:S476"/>
    <mergeCell ref="O478:S478"/>
    <mergeCell ref="O482:S482"/>
    <mergeCell ref="O440:O442"/>
    <mergeCell ref="P440:P442"/>
    <mergeCell ref="O443:O445"/>
    <mergeCell ref="P443:P445"/>
    <mergeCell ref="O467:S467"/>
    <mergeCell ref="O468:S468"/>
    <mergeCell ref="AJ545:AJ546"/>
    <mergeCell ref="O547:O573"/>
    <mergeCell ref="AA547:AA573"/>
    <mergeCell ref="AJ579:AJ580"/>
    <mergeCell ref="O485:S485"/>
    <mergeCell ref="O488:S488"/>
    <mergeCell ref="O489:S489"/>
    <mergeCell ref="O490:S490"/>
    <mergeCell ref="O491:S491"/>
    <mergeCell ref="O502:S502"/>
  </mergeCells>
  <dataValidations count="3">
    <dataValidation type="list" allowBlank="1" showInputMessage="1" showErrorMessage="1" sqref="A20:A34" xr:uid="{27F8A33D-0B2C-4CCF-A1FC-5D131840440C}">
      <formula1>Waste_Type</formula1>
    </dataValidation>
    <dataValidation type="list" allowBlank="1" showInputMessage="1" showErrorMessage="1" error="You must pick from the list that best describes the material / waste you are using or producing on site " sqref="B10:B34" xr:uid="{3B4422B5-7A4F-4648-826F-C5273E3DC6B5}">
      <formula1>Waste_Activity</formula1>
    </dataValidation>
    <dataValidation type="list" allowBlank="1" showInputMessage="1" showErrorMessage="1" error="Please choose from the drop down menu" sqref="A10:A19" xr:uid="{71EDE7E2-E843-497B-B0A4-6C0A946570EB}">
      <formula1>Waste_Type</formula1>
    </dataValidation>
  </dataValidations>
  <printOptions horizontalCentered="1"/>
  <pageMargins left="0.15748031496062992" right="0.15748031496062992" top="0.59055118110236227" bottom="0.39370078740157483" header="0.51181102362204722" footer="0.51181102362204722"/>
  <pageSetup paperSize="9" scale="55" fitToHeight="0" orientation="landscape" r:id="rId1"/>
  <headerFooter alignWithMargins="0">
    <oddFooter>&amp;LFM-HSS-W01-01&amp;CJanuary 2020&amp;RRev 17.0</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1990-3C7E-4FE4-8438-FDA60967A56A}">
  <sheetPr codeName="Sheet9">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730</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731</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SUM('Jan 26:Mar 26'!G11)</f>
        <v>0</v>
      </c>
      <c r="G9" s="614">
        <f>SUM('Jan 26:Mar 26'!I11)</f>
        <v>0</v>
      </c>
      <c r="H9" s="614">
        <f>SUM('Jan 26:Mar 26'!J11)</f>
        <v>0</v>
      </c>
      <c r="I9" s="614">
        <f>SUM('Jan 26:Mar 26'!M11)</f>
        <v>0</v>
      </c>
      <c r="J9" s="614"/>
      <c r="K9" s="614"/>
      <c r="L9" s="614">
        <f>SUM('Jan 26:Mar 26'!O11)</f>
        <v>0</v>
      </c>
      <c r="M9" s="614">
        <f>SUM('Jan 26:Mar 26'!P11)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SUM('Jan 26:Mar 26'!G12)</f>
        <v>0</v>
      </c>
      <c r="G10" s="618">
        <f>SUM('Jan 26:Mar 26'!I12)</f>
        <v>0</v>
      </c>
      <c r="H10" s="618">
        <f>SUM('Jan 26:Mar 26'!J12)</f>
        <v>0</v>
      </c>
      <c r="I10" s="618">
        <f>SUM('Jan 26:Mar 26'!M12)</f>
        <v>0</v>
      </c>
      <c r="J10" s="618"/>
      <c r="K10" s="618"/>
      <c r="L10" s="618">
        <f>SUM('Jan 26:Mar 26'!O12)</f>
        <v>0</v>
      </c>
      <c r="M10" s="618">
        <f>SUM('Jan 26:Mar 26'!P12)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SUM('Jan 26:Mar 26'!G13)</f>
        <v>0</v>
      </c>
      <c r="G11" s="618">
        <f>SUM('Jan 26:Mar 26'!I13)</f>
        <v>0</v>
      </c>
      <c r="H11" s="618">
        <f>SUM('Jan 26:Mar 26'!J13)</f>
        <v>0</v>
      </c>
      <c r="I11" s="618">
        <f>SUM('Jan 26:Mar 26'!M13)</f>
        <v>0</v>
      </c>
      <c r="J11" s="618"/>
      <c r="K11" s="618"/>
      <c r="L11" s="618">
        <f>SUM('Jan 26:Mar 26'!O13)</f>
        <v>0</v>
      </c>
      <c r="M11" s="618">
        <f>SUM('Jan 26:Mar 26'!P13)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SUM('Jan 26:Mar 26'!G14)</f>
        <v>0</v>
      </c>
      <c r="G12" s="618">
        <f>SUM('Jan 26:Mar 26'!I14)</f>
        <v>0</v>
      </c>
      <c r="H12" s="618">
        <f>SUM('Jan 26:Mar 26'!J14)</f>
        <v>0</v>
      </c>
      <c r="I12" s="618">
        <f>SUM('Jan 26:Mar 26'!M14)</f>
        <v>0</v>
      </c>
      <c r="J12" s="618"/>
      <c r="K12" s="618"/>
      <c r="L12" s="618">
        <f>SUM('Jan 26:Mar 26'!O14)</f>
        <v>0</v>
      </c>
      <c r="M12" s="618">
        <f>SUM('Jan 26:Mar 26'!P14)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SUM('Jan 26:Mar 26'!G15)</f>
        <v>0</v>
      </c>
      <c r="G13" s="618">
        <f>SUM('Jan 26:Mar 26'!I15)</f>
        <v>0</v>
      </c>
      <c r="H13" s="618">
        <f>SUM('Jan 26:Mar 26'!J15)</f>
        <v>0</v>
      </c>
      <c r="I13" s="618">
        <f>SUM('Jan 26:Mar 26'!M15)</f>
        <v>0</v>
      </c>
      <c r="J13" s="618"/>
      <c r="K13" s="618"/>
      <c r="L13" s="618">
        <f>SUM('Jan 26:Mar 26'!O15)</f>
        <v>0</v>
      </c>
      <c r="M13" s="618">
        <f>SUM('Jan 26:Mar 26'!P15)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SUM('Jan 26:Mar 26'!G16)</f>
        <v>0</v>
      </c>
      <c r="G14" s="618">
        <f>SUM('Jan 26:Mar 26'!I16)</f>
        <v>0</v>
      </c>
      <c r="H14" s="618">
        <f>SUM('Jan 26:Mar 26'!J16)</f>
        <v>0</v>
      </c>
      <c r="I14" s="618">
        <f>SUM('Jan 26:Mar 26'!M16)</f>
        <v>0</v>
      </c>
      <c r="J14" s="618"/>
      <c r="K14" s="618"/>
      <c r="L14" s="618">
        <f>SUM('Jan 26:Mar 26'!O16)</f>
        <v>0</v>
      </c>
      <c r="M14" s="618">
        <f>SUM('Jan 26:Mar 26'!P16)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SUM('Jan 26:Mar 26'!G17)</f>
        <v>0</v>
      </c>
      <c r="G15" s="618">
        <f>SUM('Jan 26:Mar 26'!I17)</f>
        <v>0</v>
      </c>
      <c r="H15" s="618">
        <f>SUM('Jan 26:Mar 26'!J17)</f>
        <v>0</v>
      </c>
      <c r="I15" s="618">
        <f>SUM('Jan 26:Mar 26'!M17)</f>
        <v>0</v>
      </c>
      <c r="J15" s="618"/>
      <c r="K15" s="618"/>
      <c r="L15" s="618">
        <f>SUM('Jan 26:Mar 26'!O17)</f>
        <v>0</v>
      </c>
      <c r="M15" s="618">
        <f>SUM('Jan 26:Mar 26'!P17)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SUM('Jan 26:Mar 26'!G18)</f>
        <v>0</v>
      </c>
      <c r="G16" s="618">
        <f>SUM('Jan 26:Mar 26'!I18)</f>
        <v>0</v>
      </c>
      <c r="H16" s="618">
        <f>SUM('Jan 26:Mar 26'!J18)</f>
        <v>0</v>
      </c>
      <c r="I16" s="618">
        <f>SUM('Jan 26:Mar 26'!M18)</f>
        <v>0</v>
      </c>
      <c r="J16" s="618"/>
      <c r="K16" s="618"/>
      <c r="L16" s="618">
        <f>SUM('Jan 26:Mar 26'!O18)</f>
        <v>0</v>
      </c>
      <c r="M16" s="618">
        <f>SUM('Jan 26:Mar 26'!P18)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SUM('Jan 26:Mar 26'!G19)</f>
        <v>0</v>
      </c>
      <c r="G17" s="618">
        <f>SUM('Jan 26:Mar 26'!I19)</f>
        <v>0</v>
      </c>
      <c r="H17" s="618">
        <f>SUM('Jan 26:Mar 26'!J19)</f>
        <v>0</v>
      </c>
      <c r="I17" s="618">
        <f>SUM('Jan 26:Mar 26'!M19)</f>
        <v>0</v>
      </c>
      <c r="J17" s="618"/>
      <c r="K17" s="618"/>
      <c r="L17" s="618">
        <f>SUM('Jan 26:Mar 26'!O19)</f>
        <v>0</v>
      </c>
      <c r="M17" s="618">
        <f>SUM('Jan 26:Mar 26'!P19)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SUM('Jan 26:Mar 26'!G20)</f>
        <v>0</v>
      </c>
      <c r="G18" s="618">
        <f>SUM('Jan 26:Mar 26'!I20)</f>
        <v>0</v>
      </c>
      <c r="H18" s="618">
        <f>SUM('Jan 26:Mar 26'!J20)</f>
        <v>0</v>
      </c>
      <c r="I18" s="618">
        <f>SUM('Jan 26:Mar 26'!M20)</f>
        <v>0</v>
      </c>
      <c r="J18" s="618"/>
      <c r="K18" s="618"/>
      <c r="L18" s="618">
        <f>SUM('Jan 26:Mar 26'!O20)</f>
        <v>0</v>
      </c>
      <c r="M18" s="618">
        <f>SUM('Jan 26:Mar 26'!P20)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SUM('Jan 26:Mar 26'!G21)</f>
        <v>0</v>
      </c>
      <c r="G19" s="618">
        <f>SUM('Jan 26:Mar 26'!I21)</f>
        <v>0</v>
      </c>
      <c r="H19" s="618">
        <f>SUM('Jan 26:Mar 26'!J21)</f>
        <v>0</v>
      </c>
      <c r="I19" s="618">
        <f>SUM('Jan 26:Mar 26'!M21)</f>
        <v>0</v>
      </c>
      <c r="J19" s="618"/>
      <c r="K19" s="618"/>
      <c r="L19" s="618">
        <f>SUM('Jan 26:Mar 26'!O21)</f>
        <v>0</v>
      </c>
      <c r="M19" s="618">
        <f>SUM('Jan 26:Mar 26'!P21)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SUM('Jan 26:Mar 26'!G22)</f>
        <v>0</v>
      </c>
      <c r="G20" s="618">
        <f>SUM('Jan 26:Mar 26'!I22)</f>
        <v>0</v>
      </c>
      <c r="H20" s="618">
        <f>SUM('Jan 26:Mar 26'!J22)</f>
        <v>0</v>
      </c>
      <c r="I20" s="618">
        <f>SUM('Jan 26:Mar 26'!M22)</f>
        <v>0</v>
      </c>
      <c r="J20" s="618"/>
      <c r="K20" s="618"/>
      <c r="L20" s="618">
        <f>SUM('Jan 26:Mar 26'!O22)</f>
        <v>0</v>
      </c>
      <c r="M20" s="618">
        <f>SUM('Jan 26:Mar 26'!P22)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SUM('Jan 26:Mar 26'!G23)</f>
        <v>0</v>
      </c>
      <c r="G21" s="618">
        <f>SUM('Jan 26:Mar 26'!I23)</f>
        <v>0</v>
      </c>
      <c r="H21" s="618">
        <f>SUM('Jan 26:Mar 26'!J23)</f>
        <v>0</v>
      </c>
      <c r="I21" s="618">
        <f>SUM('Jan 26:Mar 26'!M23)</f>
        <v>0</v>
      </c>
      <c r="J21" s="618"/>
      <c r="K21" s="618"/>
      <c r="L21" s="618">
        <f>SUM('Jan 26:Mar 26'!O23)</f>
        <v>0</v>
      </c>
      <c r="M21" s="618">
        <f>SUM('Jan 26:Mar 26'!P23)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SUM('Jan 26:Mar 26'!G24)</f>
        <v>0</v>
      </c>
      <c r="G22" s="618">
        <f>SUM('Jan 26:Mar 26'!I24)</f>
        <v>0</v>
      </c>
      <c r="H22" s="618">
        <f>SUM('Jan 26:Mar 26'!J24)</f>
        <v>0</v>
      </c>
      <c r="I22" s="618">
        <f>SUM('Jan 26:Mar 26'!M24)</f>
        <v>0</v>
      </c>
      <c r="J22" s="618"/>
      <c r="K22" s="618"/>
      <c r="L22" s="618">
        <f>SUM('Jan 26:Mar 26'!O24)</f>
        <v>0</v>
      </c>
      <c r="M22" s="618">
        <f>SUM('Jan 26:Mar 26'!P24)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SUM('Jan 26:Mar 26'!G25)</f>
        <v>0</v>
      </c>
      <c r="G23" s="618">
        <f>SUM('Jan 26:Mar 26'!I25)</f>
        <v>0</v>
      </c>
      <c r="H23" s="618">
        <f>SUM('Jan 26:Mar 26'!J25)</f>
        <v>0</v>
      </c>
      <c r="I23" s="618">
        <f>SUM('Jan 26:Mar 26'!M25)</f>
        <v>0</v>
      </c>
      <c r="J23" s="618"/>
      <c r="K23" s="618"/>
      <c r="L23" s="618">
        <f>SUM('Jan 26:Mar 26'!O25)</f>
        <v>0</v>
      </c>
      <c r="M23" s="618">
        <f>SUM('Jan 26:Mar 26'!P25)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SUM('Jan 26:Mar 26'!G26)</f>
        <v>0</v>
      </c>
      <c r="G24" s="618">
        <f>SUM('Jan 26:Mar 26'!I26)</f>
        <v>0</v>
      </c>
      <c r="H24" s="618">
        <f>SUM('Jan 26:Mar 26'!J26)</f>
        <v>0</v>
      </c>
      <c r="I24" s="618">
        <f>SUM('Jan 26:Mar 26'!M26)</f>
        <v>0</v>
      </c>
      <c r="J24" s="618"/>
      <c r="K24" s="618"/>
      <c r="L24" s="618">
        <f>SUM('Jan 26:Mar 26'!O26)</f>
        <v>0</v>
      </c>
      <c r="M24" s="618">
        <f>SUM('Jan 26:Mar 26'!P26)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SUM('Jan 26:Mar 26'!G27)</f>
        <v>0</v>
      </c>
      <c r="G25" s="618">
        <f>SUM('Jan 26:Mar 26'!I27)</f>
        <v>0</v>
      </c>
      <c r="H25" s="618">
        <f>SUM('Jan 26:Mar 26'!J27)</f>
        <v>0</v>
      </c>
      <c r="I25" s="618">
        <f>SUM('Jan 26:Mar 26'!M27)</f>
        <v>0</v>
      </c>
      <c r="J25" s="618"/>
      <c r="K25" s="618"/>
      <c r="L25" s="618">
        <f>SUM('Jan 26:Mar 26'!O27)</f>
        <v>0</v>
      </c>
      <c r="M25" s="618">
        <f>SUM('Jan 26:Mar 26'!P27)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SUM('Jan 26:Mar 26'!G28)</f>
        <v>0</v>
      </c>
      <c r="G26" s="618">
        <f>SUM('Jan 26:Mar 26'!I28)</f>
        <v>0</v>
      </c>
      <c r="H26" s="618">
        <f>SUM('Jan 26:Mar 26'!J28)</f>
        <v>0</v>
      </c>
      <c r="I26" s="618">
        <f>SUM('Jan 26:Mar 26'!M28)</f>
        <v>0</v>
      </c>
      <c r="J26" s="618"/>
      <c r="K26" s="618"/>
      <c r="L26" s="618">
        <f>SUM('Jan 26:Mar 26'!O28)</f>
        <v>0</v>
      </c>
      <c r="M26" s="618">
        <f>SUM('Jan 26:Mar 26'!P28)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SUM('Jan 26:Mar 26'!G29)</f>
        <v>0</v>
      </c>
      <c r="G27" s="618">
        <f>SUM('Jan 26:Mar 26'!I29)</f>
        <v>0</v>
      </c>
      <c r="H27" s="618">
        <f>SUM('Jan 26:Mar 26'!J29)</f>
        <v>0</v>
      </c>
      <c r="I27" s="618">
        <f>SUM('Jan 26:Mar 26'!M29)</f>
        <v>0</v>
      </c>
      <c r="J27" s="618"/>
      <c r="K27" s="618"/>
      <c r="L27" s="618">
        <f>SUM('Jan 26:Mar 26'!O29)</f>
        <v>0</v>
      </c>
      <c r="M27" s="618">
        <f>SUM('Jan 26:Mar 26'!P29)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SUM('Jan 26:Mar 26'!G30)</f>
        <v>0</v>
      </c>
      <c r="G28" s="618">
        <f>SUM('Jan 26:Mar 26'!I30)</f>
        <v>0</v>
      </c>
      <c r="H28" s="618">
        <f>SUM('Jan 26:Mar 26'!J30)</f>
        <v>0</v>
      </c>
      <c r="I28" s="618">
        <f>SUM('Jan 26:Mar 26'!M30)</f>
        <v>0</v>
      </c>
      <c r="J28" s="618"/>
      <c r="K28" s="618"/>
      <c r="L28" s="618">
        <f>SUM('Jan 26:Mar 26'!O30)</f>
        <v>0</v>
      </c>
      <c r="M28" s="618">
        <f>SUM('Jan 26:Mar 26'!P30)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SUM('Jan 26:Mar 26'!G31)</f>
        <v>0</v>
      </c>
      <c r="G29" s="618">
        <f>SUM('Jan 26:Mar 26'!I31)</f>
        <v>0</v>
      </c>
      <c r="H29" s="618">
        <f>SUM('Jan 26:Mar 26'!J31)</f>
        <v>0</v>
      </c>
      <c r="I29" s="618">
        <f>SUM('Jan 26:Mar 26'!M31)</f>
        <v>0</v>
      </c>
      <c r="J29" s="618"/>
      <c r="K29" s="618"/>
      <c r="L29" s="618">
        <f>SUM('Jan 26:Mar 26'!O31)</f>
        <v>0</v>
      </c>
      <c r="M29" s="618">
        <f>SUM('Jan 26:Mar 26'!P31)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SUM('Jan 26:Mar 26'!G32)</f>
        <v>0</v>
      </c>
      <c r="G30" s="618">
        <f>SUM('Jan 26:Mar 26'!I32)</f>
        <v>0</v>
      </c>
      <c r="H30" s="618">
        <f>SUM('Jan 26:Mar 26'!J32)</f>
        <v>0</v>
      </c>
      <c r="I30" s="618">
        <f>SUM('Jan 26:Mar 26'!M32)</f>
        <v>0</v>
      </c>
      <c r="J30" s="618"/>
      <c r="K30" s="618"/>
      <c r="L30" s="618">
        <f>SUM('Jan 26:Mar 26'!O32)</f>
        <v>0</v>
      </c>
      <c r="M30" s="618">
        <f>SUM('Jan 26:Mar 26'!P32)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SUM('Jan 26:Mar 26'!G33)</f>
        <v>0</v>
      </c>
      <c r="G31" s="618">
        <f>SUM('Jan 26:Mar 26'!I33)</f>
        <v>0</v>
      </c>
      <c r="H31" s="618">
        <f>SUM('Jan 26:Mar 26'!J33)</f>
        <v>0</v>
      </c>
      <c r="I31" s="618">
        <f>SUM('Jan 26:Mar 26'!M33)</f>
        <v>0</v>
      </c>
      <c r="J31" s="618"/>
      <c r="K31" s="618"/>
      <c r="L31" s="618">
        <f>SUM('Jan 26:Mar 26'!O33)</f>
        <v>0</v>
      </c>
      <c r="M31" s="618">
        <f>SUM('Jan 26:Mar 26'!P33)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SUM('Jan 26:Mar 26'!G34)</f>
        <v>0</v>
      </c>
      <c r="G32" s="618">
        <f>SUM('Jan 26:Mar 26'!I34)</f>
        <v>0</v>
      </c>
      <c r="H32" s="618">
        <f>SUM('Jan 26:Mar 26'!J34)</f>
        <v>0</v>
      </c>
      <c r="I32" s="618">
        <f>SUM('Jan 26:Mar 26'!M34)</f>
        <v>0</v>
      </c>
      <c r="J32" s="618"/>
      <c r="K32" s="618"/>
      <c r="L32" s="618">
        <f>SUM('Jan 26:Mar 26'!O34)</f>
        <v>0</v>
      </c>
      <c r="M32" s="618">
        <f>SUM('Jan 26:Mar 26'!P34)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SUM('Jan 26:Mar 26'!G35)</f>
        <v>0</v>
      </c>
      <c r="G33" s="618">
        <f>SUM('Jan 26:Mar 26'!I35)</f>
        <v>0</v>
      </c>
      <c r="H33" s="618">
        <f>SUM('Jan 26:Mar 26'!J35)</f>
        <v>0</v>
      </c>
      <c r="I33" s="618">
        <f>SUM('Jan 26:Mar 26'!M35)</f>
        <v>0</v>
      </c>
      <c r="J33" s="618"/>
      <c r="K33" s="618"/>
      <c r="L33" s="618">
        <f>SUM('Jan 26:Mar 26'!O35)</f>
        <v>0</v>
      </c>
      <c r="M33" s="618">
        <f>SUM('Jan 26:Mar 26'!P35)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tpj1Vvc13WERXrXNwkymoEGdOcwGuNQr8Py6EQdzw1ZqJsNqYk4UMtx5MQRfMECiUZtup4dEk2jQdlF5ypW+dA==" saltValue="r3dw5SFuIbEsiV1WozHFJg==" spinCount="100000" sheet="1" objects="1" scenarios="1"/>
  <mergeCells count="24">
    <mergeCell ref="A1:M1"/>
    <mergeCell ref="A2:B2"/>
    <mergeCell ref="C2:I2"/>
    <mergeCell ref="J2:M2"/>
    <mergeCell ref="A3:B3"/>
    <mergeCell ref="C3:G3"/>
    <mergeCell ref="H3:I3"/>
    <mergeCell ref="J3:M3"/>
    <mergeCell ref="A4:B4"/>
    <mergeCell ref="C4:G4"/>
    <mergeCell ref="H4:I4"/>
    <mergeCell ref="J4:M4"/>
    <mergeCell ref="A5:B5"/>
    <mergeCell ref="C5:G5"/>
    <mergeCell ref="H5:I5"/>
    <mergeCell ref="J5:M5"/>
    <mergeCell ref="E39:H40"/>
    <mergeCell ref="I39:I40"/>
    <mergeCell ref="A7:A8"/>
    <mergeCell ref="B7:B8"/>
    <mergeCell ref="C7:C8"/>
    <mergeCell ref="D7:D8"/>
    <mergeCell ref="E7:E8"/>
    <mergeCell ref="F7:M7"/>
  </mergeCells>
  <printOptions horizontalCentered="1"/>
  <pageMargins left="0.39370078740157483" right="0.19685039370078741" top="0.59055118110236227" bottom="0.39370078740157483" header="0.51181102362204722" footer="0.51181102362204722"/>
  <pageSetup paperSize="9" scale="55" orientation="landscape" r:id="rId1"/>
  <headerFooter alignWithMargins="0">
    <oddFooter>&amp;LFM-HSS-W01-01&amp;CJanuary 2020&amp;RRev 17.0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F475-DBF8-43B5-A103-F1B34E3D0E72}">
  <sheetPr codeName="Sheet13">
    <tabColor indexed="43"/>
  </sheetPr>
  <dimension ref="A1:U40"/>
  <sheetViews>
    <sheetView showGridLines="0" showZeros="0" zoomScale="65" zoomScaleNormal="65" workbookViewId="0">
      <selection activeCell="O26" sqref="O26"/>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730</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734</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SUM('Apr 26:Jun 26'!G11)</f>
        <v>0</v>
      </c>
      <c r="G9" s="614">
        <f>SUM('Apr 26:Jun 26'!I11)</f>
        <v>0</v>
      </c>
      <c r="H9" s="614">
        <f>SUM('Apr 26:Jun 26'!J11)</f>
        <v>0</v>
      </c>
      <c r="I9" s="614">
        <f>SUM('Apr 26:Jun 26'!M11)</f>
        <v>0</v>
      </c>
      <c r="J9" s="614"/>
      <c r="K9" s="614"/>
      <c r="L9" s="614">
        <f>SUM('Apr 26:Jun 26'!O11)</f>
        <v>0</v>
      </c>
      <c r="M9" s="614">
        <f>SUM('Apr 26:Jun 26'!P11)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SUM('Apr 26:Jun 26'!G12)</f>
        <v>0</v>
      </c>
      <c r="G10" s="618">
        <f>SUM('Apr 26:Jun 26'!I12)</f>
        <v>0</v>
      </c>
      <c r="H10" s="618">
        <f>SUM('Apr 26:Jun 26'!J12)</f>
        <v>0</v>
      </c>
      <c r="I10" s="618">
        <f>SUM('Apr 26:Jun 26'!M12)</f>
        <v>0</v>
      </c>
      <c r="J10" s="618"/>
      <c r="K10" s="618"/>
      <c r="L10" s="618">
        <f>SUM('Apr 26:Jun 26'!O12)</f>
        <v>0</v>
      </c>
      <c r="M10" s="618">
        <f>SUM('Apr 26:Jun 26'!P12)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SUM('Apr 26:Jun 26'!G13)</f>
        <v>0</v>
      </c>
      <c r="G11" s="618">
        <f>SUM('Apr 26:Jun 26'!I13)</f>
        <v>0</v>
      </c>
      <c r="H11" s="618">
        <f>SUM('Apr 26:Jun 26'!J13)</f>
        <v>0</v>
      </c>
      <c r="I11" s="618">
        <f>SUM('Apr 26:Jun 26'!M13)</f>
        <v>0</v>
      </c>
      <c r="J11" s="618"/>
      <c r="K11" s="618"/>
      <c r="L11" s="618">
        <f>SUM('Apr 26:Jun 26'!O13)</f>
        <v>0</v>
      </c>
      <c r="M11" s="618">
        <f>SUM('Apr 26:Jun 26'!P13)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SUM('Apr 26:Jun 26'!G14)</f>
        <v>0</v>
      </c>
      <c r="G12" s="618">
        <f>SUM('Apr 26:Jun 26'!I14)</f>
        <v>0</v>
      </c>
      <c r="H12" s="618">
        <f>SUM('Apr 26:Jun 26'!J14)</f>
        <v>0</v>
      </c>
      <c r="I12" s="618">
        <f>SUM('Apr 26:Jun 26'!M14)</f>
        <v>0</v>
      </c>
      <c r="J12" s="618"/>
      <c r="K12" s="618"/>
      <c r="L12" s="618">
        <f>SUM('Apr 26:Jun 26'!O14)</f>
        <v>0</v>
      </c>
      <c r="M12" s="618">
        <f>SUM('Apr 26:Jun 26'!P14)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SUM('Apr 26:Jun 26'!G15)</f>
        <v>0</v>
      </c>
      <c r="G13" s="618">
        <f>SUM('Apr 26:Jun 26'!I15)</f>
        <v>0</v>
      </c>
      <c r="H13" s="618">
        <f>SUM('Apr 26:Jun 26'!J15)</f>
        <v>0</v>
      </c>
      <c r="I13" s="618">
        <f>SUM('Apr 26:Jun 26'!M15)</f>
        <v>0</v>
      </c>
      <c r="J13" s="618"/>
      <c r="K13" s="618"/>
      <c r="L13" s="618">
        <f>SUM('Apr 26:Jun 26'!O15)</f>
        <v>0</v>
      </c>
      <c r="M13" s="618">
        <f>SUM('Apr 26:Jun 26'!P15)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SUM('Apr 26:Jun 26'!G16)</f>
        <v>0</v>
      </c>
      <c r="G14" s="618">
        <f>SUM('Apr 26:Jun 26'!I16)</f>
        <v>0</v>
      </c>
      <c r="H14" s="618">
        <f>SUM('Apr 26:Jun 26'!J16)</f>
        <v>0</v>
      </c>
      <c r="I14" s="618">
        <f>SUM('Apr 26:Jun 26'!M16)</f>
        <v>0</v>
      </c>
      <c r="J14" s="618"/>
      <c r="K14" s="618"/>
      <c r="L14" s="618">
        <f>SUM('Apr 26:Jun 26'!O16)</f>
        <v>0</v>
      </c>
      <c r="M14" s="618">
        <f>SUM('Apr 26:Jun 26'!P16)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SUM('Apr 26:Jun 26'!G17)</f>
        <v>0</v>
      </c>
      <c r="G15" s="618">
        <f>SUM('Apr 26:Jun 26'!I17)</f>
        <v>0</v>
      </c>
      <c r="H15" s="618">
        <f>SUM('Apr 26:Jun 26'!J17)</f>
        <v>0</v>
      </c>
      <c r="I15" s="618">
        <f>SUM('Apr 26:Jun 26'!M17)</f>
        <v>0</v>
      </c>
      <c r="J15" s="618"/>
      <c r="K15" s="618"/>
      <c r="L15" s="618">
        <f>SUM('Apr 26:Jun 26'!O17)</f>
        <v>0</v>
      </c>
      <c r="M15" s="618">
        <f>SUM('Apr 26:Jun 26'!P17)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SUM('Apr 26:Jun 26'!G18)</f>
        <v>0</v>
      </c>
      <c r="G16" s="618">
        <f>SUM('Apr 26:Jun 26'!I18)</f>
        <v>0</v>
      </c>
      <c r="H16" s="618">
        <f>SUM('Apr 26:Jun 26'!J18)</f>
        <v>0</v>
      </c>
      <c r="I16" s="618">
        <f>SUM('Apr 26:Jun 26'!M18)</f>
        <v>0</v>
      </c>
      <c r="J16" s="618"/>
      <c r="K16" s="618"/>
      <c r="L16" s="618">
        <f>SUM('Apr 26:Jun 26'!O18)</f>
        <v>0</v>
      </c>
      <c r="M16" s="618">
        <f>SUM('Apr 26:Jun 26'!P18)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SUM('Apr 26:Jun 26'!G19)</f>
        <v>0</v>
      </c>
      <c r="G17" s="618">
        <f>SUM('Apr 26:Jun 26'!I19)</f>
        <v>0</v>
      </c>
      <c r="H17" s="618">
        <f>SUM('Apr 26:Jun 26'!J19)</f>
        <v>0</v>
      </c>
      <c r="I17" s="618">
        <f>SUM('Apr 26:Jun 26'!M19)</f>
        <v>0</v>
      </c>
      <c r="J17" s="618"/>
      <c r="K17" s="618"/>
      <c r="L17" s="618">
        <f>SUM('Apr 26:Jun 26'!O19)</f>
        <v>0</v>
      </c>
      <c r="M17" s="618">
        <f>SUM('Apr 26:Jun 26'!P19)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SUM('Apr 26:Jun 26'!G20)</f>
        <v>0</v>
      </c>
      <c r="G18" s="618">
        <f>SUM('Apr 26:Jun 26'!I20)</f>
        <v>0</v>
      </c>
      <c r="H18" s="618">
        <f>SUM('Apr 26:Jun 26'!J20)</f>
        <v>0</v>
      </c>
      <c r="I18" s="618">
        <f>SUM('Apr 26:Jun 26'!M20)</f>
        <v>0</v>
      </c>
      <c r="J18" s="618"/>
      <c r="K18" s="618"/>
      <c r="L18" s="618">
        <f>SUM('Apr 26:Jun 26'!O20)</f>
        <v>0</v>
      </c>
      <c r="M18" s="618">
        <f>SUM('Apr 26:Jun 26'!P20)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SUM('Apr 26:Jun 26'!G21)</f>
        <v>0</v>
      </c>
      <c r="G19" s="618">
        <f>SUM('Apr 26:Jun 26'!I21)</f>
        <v>0</v>
      </c>
      <c r="H19" s="618">
        <f>SUM('Apr 26:Jun 26'!J21)</f>
        <v>0</v>
      </c>
      <c r="I19" s="618">
        <f>SUM('Apr 26:Jun 26'!M21)</f>
        <v>0</v>
      </c>
      <c r="J19" s="618"/>
      <c r="K19" s="618"/>
      <c r="L19" s="618">
        <f>SUM('Apr 26:Jun 26'!O21)</f>
        <v>0</v>
      </c>
      <c r="M19" s="618">
        <f>SUM('Apr 26:Jun 26'!P21)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SUM('Apr 26:Jun 26'!G22)</f>
        <v>0</v>
      </c>
      <c r="G20" s="618">
        <f>SUM('Apr 26:Jun 26'!I22)</f>
        <v>0</v>
      </c>
      <c r="H20" s="618">
        <f>SUM('Apr 26:Jun 26'!J22)</f>
        <v>0</v>
      </c>
      <c r="I20" s="618">
        <f>SUM('Apr 26:Jun 26'!M22)</f>
        <v>0</v>
      </c>
      <c r="J20" s="618"/>
      <c r="K20" s="618"/>
      <c r="L20" s="618">
        <f>SUM('Apr 26:Jun 26'!O22)</f>
        <v>0</v>
      </c>
      <c r="M20" s="618">
        <f>SUM('Apr 26:Jun 26'!P22)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SUM('Apr 26:Jun 26'!G23)</f>
        <v>0</v>
      </c>
      <c r="G21" s="618">
        <f>SUM('Apr 26:Jun 26'!I23)</f>
        <v>0</v>
      </c>
      <c r="H21" s="618">
        <f>SUM('Apr 26:Jun 26'!J23)</f>
        <v>0</v>
      </c>
      <c r="I21" s="618">
        <f>SUM('Apr 26:Jun 26'!M23)</f>
        <v>0</v>
      </c>
      <c r="J21" s="618"/>
      <c r="K21" s="618"/>
      <c r="L21" s="618">
        <f>SUM('Apr 26:Jun 26'!O23)</f>
        <v>0</v>
      </c>
      <c r="M21" s="618">
        <f>SUM('Apr 26:Jun 26'!P23)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SUM('Apr 26:Jun 26'!G24)</f>
        <v>0</v>
      </c>
      <c r="G22" s="618">
        <f>SUM('Apr 26:Jun 26'!I24)</f>
        <v>0</v>
      </c>
      <c r="H22" s="618">
        <f>SUM('Apr 26:Jun 26'!J24)</f>
        <v>0</v>
      </c>
      <c r="I22" s="618">
        <f>SUM('Apr 26:Jun 26'!M24)</f>
        <v>0</v>
      </c>
      <c r="J22" s="618"/>
      <c r="K22" s="618"/>
      <c r="L22" s="618">
        <f>SUM('Apr 26:Jun 26'!O24)</f>
        <v>0</v>
      </c>
      <c r="M22" s="618">
        <f>SUM('Apr 26:Jun 26'!P24)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SUM('Apr 26:Jun 26'!G25)</f>
        <v>0</v>
      </c>
      <c r="G23" s="618">
        <f>SUM('Apr 26:Jun 26'!I25)</f>
        <v>0</v>
      </c>
      <c r="H23" s="618">
        <f>SUM('Apr 26:Jun 26'!J25)</f>
        <v>0</v>
      </c>
      <c r="I23" s="618">
        <f>SUM('Apr 26:Jun 26'!M25)</f>
        <v>0</v>
      </c>
      <c r="J23" s="618"/>
      <c r="K23" s="618"/>
      <c r="L23" s="618">
        <f>SUM('Apr 26:Jun 26'!O25)</f>
        <v>0</v>
      </c>
      <c r="M23" s="618">
        <f>SUM('Apr 26:Jun 26'!P25)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SUM('Apr 26:Jun 26'!G26)</f>
        <v>0</v>
      </c>
      <c r="G24" s="618">
        <f>SUM('Apr 26:Jun 26'!I26)</f>
        <v>0</v>
      </c>
      <c r="H24" s="618">
        <f>SUM('Apr 26:Jun 26'!J26)</f>
        <v>0</v>
      </c>
      <c r="I24" s="618">
        <f>SUM('Apr 26:Jun 26'!M26)</f>
        <v>0</v>
      </c>
      <c r="J24" s="618"/>
      <c r="K24" s="618"/>
      <c r="L24" s="618">
        <f>SUM('Apr 26:Jun 26'!O26)</f>
        <v>0</v>
      </c>
      <c r="M24" s="618">
        <f>SUM('Apr 26:Jun 26'!P26)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SUM('Apr 26:Jun 26'!G27)</f>
        <v>0</v>
      </c>
      <c r="G25" s="618">
        <f>SUM('Apr 26:Jun 26'!I27)</f>
        <v>0</v>
      </c>
      <c r="H25" s="618">
        <f>SUM('Apr 26:Jun 26'!J27)</f>
        <v>0</v>
      </c>
      <c r="I25" s="618">
        <f>SUM('Apr 26:Jun 26'!M27)</f>
        <v>0</v>
      </c>
      <c r="J25" s="618"/>
      <c r="K25" s="618"/>
      <c r="L25" s="618">
        <f>SUM('Apr 26:Jun 26'!O27)</f>
        <v>0</v>
      </c>
      <c r="M25" s="618">
        <f>SUM('Apr 26:Jun 26'!P27)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SUM('Apr 26:Jun 26'!G28)</f>
        <v>0</v>
      </c>
      <c r="G26" s="618">
        <f>SUM('Apr 26:Jun 26'!I28)</f>
        <v>0</v>
      </c>
      <c r="H26" s="618">
        <f>SUM('Apr 26:Jun 26'!J28)</f>
        <v>0</v>
      </c>
      <c r="I26" s="618">
        <f>SUM('Apr 26:Jun 26'!M28)</f>
        <v>0</v>
      </c>
      <c r="J26" s="618"/>
      <c r="K26" s="618"/>
      <c r="L26" s="618">
        <f>SUM('Apr 26:Jun 26'!O28)</f>
        <v>0</v>
      </c>
      <c r="M26" s="618">
        <f>SUM('Apr 26:Jun 26'!P28)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SUM('Apr 26:Jun 26'!G29)</f>
        <v>0</v>
      </c>
      <c r="G27" s="618">
        <f>SUM('Apr 26:Jun 26'!I29)</f>
        <v>0</v>
      </c>
      <c r="H27" s="618">
        <f>SUM('Apr 26:Jun 26'!J29)</f>
        <v>0</v>
      </c>
      <c r="I27" s="618">
        <f>SUM('Apr 26:Jun 26'!M29)</f>
        <v>0</v>
      </c>
      <c r="J27" s="618"/>
      <c r="K27" s="618"/>
      <c r="L27" s="618">
        <f>SUM('Apr 26:Jun 26'!O29)</f>
        <v>0</v>
      </c>
      <c r="M27" s="618">
        <f>SUM('Apr 26:Jun 26'!P29)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SUM('Apr 26:Jun 26'!G30)</f>
        <v>0</v>
      </c>
      <c r="G28" s="618">
        <f>SUM('Apr 26:Jun 26'!I30)</f>
        <v>0</v>
      </c>
      <c r="H28" s="618">
        <f>SUM('Apr 26:Jun 26'!J30)</f>
        <v>0</v>
      </c>
      <c r="I28" s="618">
        <f>SUM('Apr 26:Jun 26'!M30)</f>
        <v>0</v>
      </c>
      <c r="J28" s="618"/>
      <c r="K28" s="618"/>
      <c r="L28" s="618">
        <f>SUM('Apr 26:Jun 26'!O30)</f>
        <v>0</v>
      </c>
      <c r="M28" s="618">
        <f>SUM('Apr 26:Jun 26'!P30)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SUM('Apr 26:Jun 26'!G31)</f>
        <v>0</v>
      </c>
      <c r="G29" s="618">
        <f>SUM('Apr 26:Jun 26'!I31)</f>
        <v>0</v>
      </c>
      <c r="H29" s="618">
        <f>SUM('Apr 26:Jun 26'!J31)</f>
        <v>0</v>
      </c>
      <c r="I29" s="618">
        <f>SUM('Apr 26:Jun 26'!M31)</f>
        <v>0</v>
      </c>
      <c r="J29" s="618"/>
      <c r="K29" s="618"/>
      <c r="L29" s="618">
        <f>SUM('Apr 26:Jun 26'!O31)</f>
        <v>0</v>
      </c>
      <c r="M29" s="618">
        <f>SUM('Apr 26:Jun 26'!P31)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SUM('Apr 26:Jun 26'!G32)</f>
        <v>0</v>
      </c>
      <c r="G30" s="618">
        <f>SUM('Apr 26:Jun 26'!I32)</f>
        <v>0</v>
      </c>
      <c r="H30" s="618">
        <f>SUM('Apr 26:Jun 26'!J32)</f>
        <v>0</v>
      </c>
      <c r="I30" s="618">
        <f>SUM('Apr 26:Jun 26'!M32)</f>
        <v>0</v>
      </c>
      <c r="J30" s="618"/>
      <c r="K30" s="618"/>
      <c r="L30" s="618">
        <f>SUM('Apr 26:Jun 26'!O32)</f>
        <v>0</v>
      </c>
      <c r="M30" s="618">
        <f>SUM('Apr 26:Jun 26'!P32)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SUM('Apr 26:Jun 26'!G33)</f>
        <v>0</v>
      </c>
      <c r="G31" s="618">
        <f>SUM('Apr 26:Jun 26'!I33)</f>
        <v>0</v>
      </c>
      <c r="H31" s="618">
        <f>SUM('Apr 26:Jun 26'!J33)</f>
        <v>0</v>
      </c>
      <c r="I31" s="618">
        <f>SUM('Apr 26:Jun 26'!M33)</f>
        <v>0</v>
      </c>
      <c r="J31" s="618"/>
      <c r="K31" s="618"/>
      <c r="L31" s="618">
        <f>SUM('Apr 26:Jun 26'!O33)</f>
        <v>0</v>
      </c>
      <c r="M31" s="618">
        <f>SUM('Apr 26:Jun 26'!P33)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SUM('Apr 26:Jun 26'!G34)</f>
        <v>0</v>
      </c>
      <c r="G32" s="618">
        <f>SUM('Apr 26:Jun 26'!I34)</f>
        <v>0</v>
      </c>
      <c r="H32" s="618">
        <f>SUM('Apr 26:Jun 26'!J34)</f>
        <v>0</v>
      </c>
      <c r="I32" s="618">
        <f>SUM('Apr 26:Jun 26'!M34)</f>
        <v>0</v>
      </c>
      <c r="J32" s="618"/>
      <c r="K32" s="618"/>
      <c r="L32" s="618">
        <f>SUM('Apr 26:Jun 26'!O34)</f>
        <v>0</v>
      </c>
      <c r="M32" s="618">
        <f>SUM('Apr 26:Jun 26'!P34)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SUM('Apr 26:Jun 26'!G35)</f>
        <v>0</v>
      </c>
      <c r="G33" s="618">
        <f>SUM('Apr 26:Jun 26'!I35)</f>
        <v>0</v>
      </c>
      <c r="H33" s="618">
        <f>SUM('Apr 26:Jun 26'!J35)</f>
        <v>0</v>
      </c>
      <c r="I33" s="618">
        <f>SUM('Apr 26:Jun 26'!M35)</f>
        <v>0</v>
      </c>
      <c r="J33" s="618"/>
      <c r="K33" s="618"/>
      <c r="L33" s="618">
        <f>SUM('Apr 26:Jun 26'!O35)</f>
        <v>0</v>
      </c>
      <c r="M33" s="618">
        <f>SUM('Apr 26:Jun 26'!P35)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EmQaOS9pcb2C2wj6QBhByOdnh31BFONeHTwDJhAXo5tHWUWoci61frduoOl+Ua76VZSToxgVh1YJVZjq7vpoHg==" saltValue="XUCTs7bphD1GSfcokmU8nQ==" spinCount="100000" sheet="1" objects="1" scenarios="1"/>
  <mergeCells count="24">
    <mergeCell ref="A1:M1"/>
    <mergeCell ref="A2:B2"/>
    <mergeCell ref="C2:I2"/>
    <mergeCell ref="J2:M2"/>
    <mergeCell ref="A3:B3"/>
    <mergeCell ref="C3:G3"/>
    <mergeCell ref="H3:I3"/>
    <mergeCell ref="J3:M3"/>
    <mergeCell ref="A4:B4"/>
    <mergeCell ref="C4:G4"/>
    <mergeCell ref="H4:I4"/>
    <mergeCell ref="J4:M4"/>
    <mergeCell ref="A5:B5"/>
    <mergeCell ref="C5:G5"/>
    <mergeCell ref="H5:I5"/>
    <mergeCell ref="J5:M5"/>
    <mergeCell ref="E39:H40"/>
    <mergeCell ref="I39:I40"/>
    <mergeCell ref="A7:A8"/>
    <mergeCell ref="B7:B8"/>
    <mergeCell ref="C7:C8"/>
    <mergeCell ref="D7:D8"/>
    <mergeCell ref="E7:E8"/>
    <mergeCell ref="F7:M7"/>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D8492-1AE1-4E39-A7AA-FB88ACF0C460}">
  <sheetPr codeName="Sheet14">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730</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735</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SUM('Jul 26:Sept 26'!G11)</f>
        <v>0</v>
      </c>
      <c r="G9" s="614">
        <f>SUM('Jul 26:Sept 26'!I11)</f>
        <v>0</v>
      </c>
      <c r="H9" s="614">
        <f>SUM('Jul 26:Sept 26'!J11)</f>
        <v>0</v>
      </c>
      <c r="I9" s="614">
        <f>SUM('Jul 26:Sept 26'!M11)</f>
        <v>0</v>
      </c>
      <c r="J9" s="614"/>
      <c r="K9" s="614"/>
      <c r="L9" s="614">
        <f>SUM('Jul 26:Sept 26'!O11)</f>
        <v>0</v>
      </c>
      <c r="M9" s="614">
        <f>SUM('Jul 26:Sept 26'!P11)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SUM('Jul 26:Sept 26'!G12)</f>
        <v>0</v>
      </c>
      <c r="G10" s="618">
        <f>SUM('Jul 26:Sept 26'!I12)</f>
        <v>0</v>
      </c>
      <c r="H10" s="618">
        <f>SUM('Jul 26:Sept 26'!J12)</f>
        <v>0</v>
      </c>
      <c r="I10" s="618">
        <f>SUM('Jul 26:Sept 26'!M12)</f>
        <v>0</v>
      </c>
      <c r="J10" s="618"/>
      <c r="K10" s="618"/>
      <c r="L10" s="618">
        <f>SUM('Jul 26:Sept 26'!O12)</f>
        <v>0</v>
      </c>
      <c r="M10" s="618">
        <f>SUM('Jul 26:Sept 26'!P12)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SUM('Jul 26:Sept 26'!G13)</f>
        <v>0</v>
      </c>
      <c r="G11" s="618">
        <f>SUM('Jul 26:Sept 26'!I13)</f>
        <v>0</v>
      </c>
      <c r="H11" s="618">
        <f>SUM('Jul 26:Sept 26'!J13)</f>
        <v>0</v>
      </c>
      <c r="I11" s="618">
        <f>SUM('Jul 26:Sept 26'!M13)</f>
        <v>0</v>
      </c>
      <c r="J11" s="618"/>
      <c r="K11" s="618"/>
      <c r="L11" s="618">
        <f>SUM('Jul 26:Sept 26'!O13)</f>
        <v>0</v>
      </c>
      <c r="M11" s="618">
        <f>SUM('Jul 26:Sept 26'!P13)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SUM('Jul 26:Sept 26'!G14)</f>
        <v>0</v>
      </c>
      <c r="G12" s="618">
        <f>SUM('Jul 26:Sept 26'!I14)</f>
        <v>0</v>
      </c>
      <c r="H12" s="618">
        <f>SUM('Jul 26:Sept 26'!J14)</f>
        <v>0</v>
      </c>
      <c r="I12" s="618">
        <f>SUM('Jul 26:Sept 26'!M14)</f>
        <v>0</v>
      </c>
      <c r="J12" s="618"/>
      <c r="K12" s="618"/>
      <c r="L12" s="618">
        <f>SUM('Jul 26:Sept 26'!O14)</f>
        <v>0</v>
      </c>
      <c r="M12" s="618">
        <f>SUM('Jul 26:Sept 26'!P14)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SUM('Jul 26:Sept 26'!G15)</f>
        <v>0</v>
      </c>
      <c r="G13" s="618">
        <f>SUM('Jul 26:Sept 26'!I15)</f>
        <v>0</v>
      </c>
      <c r="H13" s="618">
        <f>SUM('Jul 26:Sept 26'!J15)</f>
        <v>0</v>
      </c>
      <c r="I13" s="618">
        <f>SUM('Jul 26:Sept 26'!M15)</f>
        <v>0</v>
      </c>
      <c r="J13" s="618"/>
      <c r="K13" s="618"/>
      <c r="L13" s="618">
        <f>SUM('Jul 26:Sept 26'!O15)</f>
        <v>0</v>
      </c>
      <c r="M13" s="618">
        <f>SUM('Jul 26:Sept 26'!P15)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SUM('Jul 26:Sept 26'!G16)</f>
        <v>0</v>
      </c>
      <c r="G14" s="618">
        <f>SUM('Jul 26:Sept 26'!I16)</f>
        <v>0</v>
      </c>
      <c r="H14" s="618">
        <f>SUM('Jul 26:Sept 26'!J16)</f>
        <v>0</v>
      </c>
      <c r="I14" s="618">
        <f>SUM('Jul 26:Sept 26'!M16)</f>
        <v>0</v>
      </c>
      <c r="J14" s="618"/>
      <c r="K14" s="618"/>
      <c r="L14" s="618">
        <f>SUM('Jul 26:Sept 26'!O16)</f>
        <v>0</v>
      </c>
      <c r="M14" s="618">
        <f>SUM('Jul 26:Sept 26'!P16)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SUM('Jul 26:Sept 26'!G17)</f>
        <v>0</v>
      </c>
      <c r="G15" s="618">
        <f>SUM('Jul 26:Sept 26'!I17)</f>
        <v>0</v>
      </c>
      <c r="H15" s="618">
        <f>SUM('Jul 26:Sept 26'!J17)</f>
        <v>0</v>
      </c>
      <c r="I15" s="618">
        <f>SUM('Jul 26:Sept 26'!M17)</f>
        <v>0</v>
      </c>
      <c r="J15" s="618"/>
      <c r="K15" s="618"/>
      <c r="L15" s="618">
        <f>SUM('Jul 26:Sept 26'!O17)</f>
        <v>0</v>
      </c>
      <c r="M15" s="618">
        <f>SUM('Jul 26:Sept 26'!P17)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SUM('Jul 26:Sept 26'!G18)</f>
        <v>0</v>
      </c>
      <c r="G16" s="618">
        <f>SUM('Jul 26:Sept 26'!I18)</f>
        <v>0</v>
      </c>
      <c r="H16" s="618">
        <f>SUM('Jul 26:Sept 26'!J18)</f>
        <v>0</v>
      </c>
      <c r="I16" s="618">
        <f>SUM('Jul 26:Sept 26'!M18)</f>
        <v>0</v>
      </c>
      <c r="J16" s="618"/>
      <c r="K16" s="618"/>
      <c r="L16" s="618">
        <f>SUM('Jul 26:Sept 26'!O18)</f>
        <v>0</v>
      </c>
      <c r="M16" s="618">
        <f>SUM('Jul 26:Sept 26'!P18)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SUM('Jul 26:Sept 26'!G19)</f>
        <v>0</v>
      </c>
      <c r="G17" s="618">
        <f>SUM('Jul 26:Sept 26'!I19)</f>
        <v>0</v>
      </c>
      <c r="H17" s="618">
        <f>SUM('Jul 26:Sept 26'!J19)</f>
        <v>0</v>
      </c>
      <c r="I17" s="618">
        <f>SUM('Jul 26:Sept 26'!M19)</f>
        <v>0</v>
      </c>
      <c r="J17" s="618"/>
      <c r="K17" s="618"/>
      <c r="L17" s="618">
        <f>SUM('Jul 26:Sept 26'!O19)</f>
        <v>0</v>
      </c>
      <c r="M17" s="618">
        <f>SUM('Jul 26:Sept 26'!P19)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SUM('Jul 26:Sept 26'!G20)</f>
        <v>0</v>
      </c>
      <c r="G18" s="618">
        <f>SUM('Jul 26:Sept 26'!I20)</f>
        <v>0</v>
      </c>
      <c r="H18" s="618">
        <f>SUM('Jul 26:Sept 26'!J20)</f>
        <v>0</v>
      </c>
      <c r="I18" s="618">
        <f>SUM('Jul 26:Sept 26'!M20)</f>
        <v>0</v>
      </c>
      <c r="J18" s="618"/>
      <c r="K18" s="618"/>
      <c r="L18" s="618">
        <f>SUM('Jul 26:Sept 26'!O20)</f>
        <v>0</v>
      </c>
      <c r="M18" s="618">
        <f>SUM('Jul 26:Sept 26'!P20)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SUM('Jul 26:Sept 26'!G21)</f>
        <v>0</v>
      </c>
      <c r="G19" s="618">
        <f>SUM('Jul 26:Sept 26'!I21)</f>
        <v>0</v>
      </c>
      <c r="H19" s="618">
        <f>SUM('Jul 26:Sept 26'!J21)</f>
        <v>0</v>
      </c>
      <c r="I19" s="618">
        <f>SUM('Jul 26:Sept 26'!M21)</f>
        <v>0</v>
      </c>
      <c r="J19" s="618"/>
      <c r="K19" s="618"/>
      <c r="L19" s="618">
        <f>SUM('Jul 26:Sept 26'!O21)</f>
        <v>0</v>
      </c>
      <c r="M19" s="618">
        <f>SUM('Jul 26:Sept 26'!P21)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SUM('Jul 26:Sept 26'!G22)</f>
        <v>0</v>
      </c>
      <c r="G20" s="618">
        <f>SUM('Jul 26:Sept 26'!I22)</f>
        <v>0</v>
      </c>
      <c r="H20" s="618">
        <f>SUM('Jul 26:Sept 26'!J22)</f>
        <v>0</v>
      </c>
      <c r="I20" s="618">
        <f>SUM('Jul 26:Sept 26'!M22)</f>
        <v>0</v>
      </c>
      <c r="J20" s="618"/>
      <c r="K20" s="618"/>
      <c r="L20" s="618">
        <f>SUM('Jul 26:Sept 26'!O22)</f>
        <v>0</v>
      </c>
      <c r="M20" s="618">
        <f>SUM('Jul 26:Sept 26'!P22)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SUM('Jul 26:Sept 26'!G23)</f>
        <v>0</v>
      </c>
      <c r="G21" s="618">
        <f>SUM('Jul 26:Sept 26'!I23)</f>
        <v>0</v>
      </c>
      <c r="H21" s="618">
        <f>SUM('Jul 26:Sept 26'!J23)</f>
        <v>0</v>
      </c>
      <c r="I21" s="618">
        <f>SUM('Jul 26:Sept 26'!M23)</f>
        <v>0</v>
      </c>
      <c r="J21" s="618"/>
      <c r="K21" s="618"/>
      <c r="L21" s="618">
        <f>SUM('Jul 26:Sept 26'!O23)</f>
        <v>0</v>
      </c>
      <c r="M21" s="618">
        <f>SUM('Jul 26:Sept 26'!P23)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SUM('Jul 26:Sept 26'!G24)</f>
        <v>0</v>
      </c>
      <c r="G22" s="618">
        <f>SUM('Jul 26:Sept 26'!I24)</f>
        <v>0</v>
      </c>
      <c r="H22" s="618">
        <f>SUM('Jul 26:Sept 26'!J24)</f>
        <v>0</v>
      </c>
      <c r="I22" s="618">
        <f>SUM('Jul 26:Sept 26'!M24)</f>
        <v>0</v>
      </c>
      <c r="J22" s="618"/>
      <c r="K22" s="618"/>
      <c r="L22" s="618">
        <f>SUM('Jul 26:Sept 26'!O24)</f>
        <v>0</v>
      </c>
      <c r="M22" s="618">
        <f>SUM('Jul 26:Sept 26'!P24)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SUM('Jul 26:Sept 26'!G25)</f>
        <v>0</v>
      </c>
      <c r="G23" s="618">
        <f>SUM('Jul 26:Sept 26'!I25)</f>
        <v>0</v>
      </c>
      <c r="H23" s="618">
        <f>SUM('Jul 26:Sept 26'!J25)</f>
        <v>0</v>
      </c>
      <c r="I23" s="618">
        <f>SUM('Jul 26:Sept 26'!M25)</f>
        <v>0</v>
      </c>
      <c r="J23" s="618"/>
      <c r="K23" s="618"/>
      <c r="L23" s="618">
        <f>SUM('Jul 26:Sept 26'!O25)</f>
        <v>0</v>
      </c>
      <c r="M23" s="618">
        <f>SUM('Jul 26:Sept 26'!P25)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SUM('Jul 26:Sept 26'!G26)</f>
        <v>0</v>
      </c>
      <c r="G24" s="618">
        <f>SUM('Jul 26:Sept 26'!I26)</f>
        <v>0</v>
      </c>
      <c r="H24" s="618">
        <f>SUM('Jul 26:Sept 26'!J26)</f>
        <v>0</v>
      </c>
      <c r="I24" s="618">
        <f>SUM('Jul 26:Sept 26'!M26)</f>
        <v>0</v>
      </c>
      <c r="J24" s="618"/>
      <c r="K24" s="618"/>
      <c r="L24" s="618">
        <f>SUM('Jul 26:Sept 26'!O26)</f>
        <v>0</v>
      </c>
      <c r="M24" s="618">
        <f>SUM('Jul 26:Sept 26'!P26)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SUM('Jul 26:Sept 26'!G27)</f>
        <v>0</v>
      </c>
      <c r="G25" s="618">
        <f>SUM('Jul 26:Sept 26'!I27)</f>
        <v>0</v>
      </c>
      <c r="H25" s="618">
        <f>SUM('Jul 26:Sept 26'!J27)</f>
        <v>0</v>
      </c>
      <c r="I25" s="618">
        <f>SUM('Jul 26:Sept 26'!M27)</f>
        <v>0</v>
      </c>
      <c r="J25" s="618"/>
      <c r="K25" s="618"/>
      <c r="L25" s="618">
        <f>SUM('Jul 26:Sept 26'!O27)</f>
        <v>0</v>
      </c>
      <c r="M25" s="618">
        <f>SUM('Jul 26:Sept 26'!P27)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SUM('Jul 26:Sept 26'!G28)</f>
        <v>0</v>
      </c>
      <c r="G26" s="618">
        <f>SUM('Jul 26:Sept 26'!I28)</f>
        <v>0</v>
      </c>
      <c r="H26" s="618">
        <f>SUM('Jul 26:Sept 26'!J28)</f>
        <v>0</v>
      </c>
      <c r="I26" s="618">
        <f>SUM('Jul 26:Sept 26'!M28)</f>
        <v>0</v>
      </c>
      <c r="J26" s="618"/>
      <c r="K26" s="618"/>
      <c r="L26" s="618">
        <f>SUM('Jul 26:Sept 26'!O28)</f>
        <v>0</v>
      </c>
      <c r="M26" s="618">
        <f>SUM('Jul 26:Sept 26'!P28)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SUM('Jul 26:Sept 26'!G29)</f>
        <v>0</v>
      </c>
      <c r="G27" s="618">
        <f>SUM('Jul 26:Sept 26'!I29)</f>
        <v>0</v>
      </c>
      <c r="H27" s="618">
        <f>SUM('Jul 26:Sept 26'!J29)</f>
        <v>0</v>
      </c>
      <c r="I27" s="618">
        <f>SUM('Jul 26:Sept 26'!M29)</f>
        <v>0</v>
      </c>
      <c r="J27" s="618"/>
      <c r="K27" s="618"/>
      <c r="L27" s="618">
        <f>SUM('Jul 26:Sept 26'!O29)</f>
        <v>0</v>
      </c>
      <c r="M27" s="618">
        <f>SUM('Jul 26:Sept 26'!P29)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SUM('Jul 26:Sept 26'!G30)</f>
        <v>0</v>
      </c>
      <c r="G28" s="618">
        <f>SUM('Jul 26:Sept 26'!I30)</f>
        <v>0</v>
      </c>
      <c r="H28" s="618">
        <f>SUM('Jul 26:Sept 26'!J30)</f>
        <v>0</v>
      </c>
      <c r="I28" s="618">
        <f>SUM('Jul 26:Sept 26'!M30)</f>
        <v>0</v>
      </c>
      <c r="J28" s="618"/>
      <c r="K28" s="618"/>
      <c r="L28" s="618">
        <f>SUM('Jul 26:Sept 26'!O30)</f>
        <v>0</v>
      </c>
      <c r="M28" s="618">
        <f>SUM('Jul 26:Sept 26'!P30)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SUM('Jul 26:Sept 26'!G31)</f>
        <v>0</v>
      </c>
      <c r="G29" s="618">
        <f>SUM('Jul 26:Sept 26'!I31)</f>
        <v>0</v>
      </c>
      <c r="H29" s="618">
        <f>SUM('Jul 26:Sept 26'!J31)</f>
        <v>0</v>
      </c>
      <c r="I29" s="618">
        <f>SUM('Jul 26:Sept 26'!M31)</f>
        <v>0</v>
      </c>
      <c r="J29" s="618"/>
      <c r="K29" s="618"/>
      <c r="L29" s="618">
        <f>SUM('Jul 26:Sept 26'!O31)</f>
        <v>0</v>
      </c>
      <c r="M29" s="618">
        <f>SUM('Jul 26:Sept 26'!P31)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SUM('Jul 26:Sept 26'!G32)</f>
        <v>0</v>
      </c>
      <c r="G30" s="618">
        <f>SUM('Jul 26:Sept 26'!I32)</f>
        <v>0</v>
      </c>
      <c r="H30" s="618">
        <f>SUM('Jul 26:Sept 26'!J32)</f>
        <v>0</v>
      </c>
      <c r="I30" s="618">
        <f>SUM('Jul 26:Sept 26'!M32)</f>
        <v>0</v>
      </c>
      <c r="J30" s="618"/>
      <c r="K30" s="618"/>
      <c r="L30" s="618">
        <f>SUM('Jul 26:Sept 26'!O32)</f>
        <v>0</v>
      </c>
      <c r="M30" s="618">
        <f>SUM('Jul 26:Sept 26'!P32)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SUM('Jul 26:Sept 26'!G33)</f>
        <v>0</v>
      </c>
      <c r="G31" s="618">
        <f>SUM('Jul 26:Sept 26'!I33)</f>
        <v>0</v>
      </c>
      <c r="H31" s="618">
        <f>SUM('Jul 26:Sept 26'!J33)</f>
        <v>0</v>
      </c>
      <c r="I31" s="618">
        <f>SUM('Jul 26:Sept 26'!M33)</f>
        <v>0</v>
      </c>
      <c r="J31" s="618"/>
      <c r="K31" s="618"/>
      <c r="L31" s="618">
        <f>SUM('Jul 26:Sept 26'!O33)</f>
        <v>0</v>
      </c>
      <c r="M31" s="618">
        <f>SUM('Jul 26:Sept 26'!P33)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SUM('Jul 26:Sept 26'!G34)</f>
        <v>0</v>
      </c>
      <c r="G32" s="618">
        <f>SUM('Jul 26:Sept 26'!I34)</f>
        <v>0</v>
      </c>
      <c r="H32" s="618">
        <f>SUM('Jul 26:Sept 26'!J34)</f>
        <v>0</v>
      </c>
      <c r="I32" s="618">
        <f>SUM('Jul 26:Sept 26'!M34)</f>
        <v>0</v>
      </c>
      <c r="J32" s="618"/>
      <c r="K32" s="618"/>
      <c r="L32" s="618">
        <f>SUM('Jul 26:Sept 26'!O34)</f>
        <v>0</v>
      </c>
      <c r="M32" s="618">
        <f>SUM('Jul 26:Sept 26'!P34)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SUM('Jul 26:Sept 26'!G35)</f>
        <v>0</v>
      </c>
      <c r="G33" s="618">
        <f>SUM('Jul 26:Sept 26'!I35)</f>
        <v>0</v>
      </c>
      <c r="H33" s="618">
        <f>SUM('Jul 26:Sept 26'!J35)</f>
        <v>0</v>
      </c>
      <c r="I33" s="618">
        <f>SUM('Jul 26:Sept 26'!M35)</f>
        <v>0</v>
      </c>
      <c r="J33" s="618"/>
      <c r="K33" s="618"/>
      <c r="L33" s="618">
        <f>SUM('Jul 26:Sept 26'!O35)</f>
        <v>0</v>
      </c>
      <c r="M33" s="618">
        <f>SUM('Jul 26:Sept 26'!P35)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6u2cmdxAdp6ibNLwxAZ5nPe1sXUZjrb4SVQ+XpS1IjwcDwPDO4c12Nf5+3vI9RdOwAHHzwBFx2U/VdbBo9dyVg==" saltValue="oXFLh7sbTab5xBj6170UxA==" spinCount="100000" sheet="1" objects="1" scenarios="1"/>
  <mergeCells count="24">
    <mergeCell ref="A1:M1"/>
    <mergeCell ref="A2:B2"/>
    <mergeCell ref="C2:I2"/>
    <mergeCell ref="J2:M2"/>
    <mergeCell ref="A3:B3"/>
    <mergeCell ref="C3:G3"/>
    <mergeCell ref="H3:I3"/>
    <mergeCell ref="J3:M3"/>
    <mergeCell ref="A4:B4"/>
    <mergeCell ref="C4:G4"/>
    <mergeCell ref="H4:I4"/>
    <mergeCell ref="J4:M4"/>
    <mergeCell ref="A5:B5"/>
    <mergeCell ref="C5:G5"/>
    <mergeCell ref="H5:I5"/>
    <mergeCell ref="J5:M5"/>
    <mergeCell ref="E39:H40"/>
    <mergeCell ref="I39:I40"/>
    <mergeCell ref="A7:A8"/>
    <mergeCell ref="B7:B8"/>
    <mergeCell ref="C7:C8"/>
    <mergeCell ref="D7:D8"/>
    <mergeCell ref="E7:E8"/>
    <mergeCell ref="F7:M7"/>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C663-E26B-4310-B3B7-6BABFB34F428}">
  <sheetPr codeName="Sheet15">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737</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SUM('Oct 26:Dec 26'!G11)</f>
        <v>0</v>
      </c>
      <c r="G9" s="614">
        <f>SUM('Oct 26:Dec 26'!I11)</f>
        <v>0</v>
      </c>
      <c r="H9" s="614">
        <f>SUM('Oct 26:Dec 26'!J11)</f>
        <v>0</v>
      </c>
      <c r="I9" s="614">
        <f>SUM('Oct 26:Dec 26'!M11)</f>
        <v>0</v>
      </c>
      <c r="J9" s="614"/>
      <c r="K9" s="614"/>
      <c r="L9" s="614">
        <f>SUM('Oct 26:Dec 26'!O11)</f>
        <v>0</v>
      </c>
      <c r="M9" s="614">
        <f>SUM('Oct 26:Dec 26'!P11)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SUM('Oct 26:Dec 26'!G12)</f>
        <v>0</v>
      </c>
      <c r="G10" s="618">
        <f>SUM('Oct 26:Dec 26'!I12)</f>
        <v>0</v>
      </c>
      <c r="H10" s="618">
        <f>SUM('Oct 26:Dec 26'!J12)</f>
        <v>0</v>
      </c>
      <c r="I10" s="618">
        <f>SUM('Oct 26:Dec 26'!M12)</f>
        <v>0</v>
      </c>
      <c r="J10" s="618"/>
      <c r="K10" s="618"/>
      <c r="L10" s="618">
        <f>SUM('Oct 26:Dec 26'!O12)</f>
        <v>0</v>
      </c>
      <c r="M10" s="618">
        <f>SUM('Oct 26:Dec 26'!P12)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SUM('Oct 26:Dec 26'!G13)</f>
        <v>0</v>
      </c>
      <c r="G11" s="618">
        <f>SUM('Oct 26:Dec 26'!I13)</f>
        <v>0</v>
      </c>
      <c r="H11" s="618">
        <f>SUM('Oct 26:Dec 26'!J13)</f>
        <v>0</v>
      </c>
      <c r="I11" s="618">
        <f>SUM('Oct 26:Dec 26'!M13)</f>
        <v>0</v>
      </c>
      <c r="J11" s="618"/>
      <c r="K11" s="618"/>
      <c r="L11" s="618">
        <f>SUM('Oct 26:Dec 26'!O13)</f>
        <v>0</v>
      </c>
      <c r="M11" s="618">
        <f>SUM('Oct 26:Dec 26'!P13)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SUM('Oct 26:Dec 26'!G14)</f>
        <v>0</v>
      </c>
      <c r="G12" s="618">
        <f>SUM('Oct 26:Dec 26'!I14)</f>
        <v>0</v>
      </c>
      <c r="H12" s="618">
        <f>SUM('Oct 26:Dec 26'!J14)</f>
        <v>0</v>
      </c>
      <c r="I12" s="618">
        <f>SUM('Oct 26:Dec 26'!M14)</f>
        <v>0</v>
      </c>
      <c r="J12" s="618"/>
      <c r="K12" s="618"/>
      <c r="L12" s="618">
        <f>SUM('Oct 26:Dec 26'!O14)</f>
        <v>0</v>
      </c>
      <c r="M12" s="618">
        <f>SUM('Oct 26:Dec 26'!P14)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SUM('Oct 26:Dec 26'!G15)</f>
        <v>0</v>
      </c>
      <c r="G13" s="618">
        <f>SUM('Oct 26:Dec 26'!I15)</f>
        <v>0</v>
      </c>
      <c r="H13" s="618">
        <f>SUM('Oct 26:Dec 26'!J15)</f>
        <v>0</v>
      </c>
      <c r="I13" s="618">
        <f>SUM('Oct 26:Dec 26'!M15)</f>
        <v>0</v>
      </c>
      <c r="J13" s="618"/>
      <c r="K13" s="618"/>
      <c r="L13" s="618">
        <f>SUM('Oct 26:Dec 26'!O15)</f>
        <v>0</v>
      </c>
      <c r="M13" s="618">
        <f>SUM('Oct 26:Dec 26'!P15)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SUM('Oct 26:Dec 26'!G16)</f>
        <v>0</v>
      </c>
      <c r="G14" s="618">
        <f>SUM('Oct 26:Dec 26'!I16)</f>
        <v>0</v>
      </c>
      <c r="H14" s="618">
        <f>SUM('Oct 26:Dec 26'!J16)</f>
        <v>0</v>
      </c>
      <c r="I14" s="618">
        <f>SUM('Oct 26:Dec 26'!M16)</f>
        <v>0</v>
      </c>
      <c r="J14" s="618"/>
      <c r="K14" s="618"/>
      <c r="L14" s="618">
        <f>SUM('Oct 26:Dec 26'!O16)</f>
        <v>0</v>
      </c>
      <c r="M14" s="618">
        <f>SUM('Oct 26:Dec 26'!P16)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SUM('Oct 26:Dec 26'!G17)</f>
        <v>0</v>
      </c>
      <c r="G15" s="618">
        <f>SUM('Oct 26:Dec 26'!I17)</f>
        <v>0</v>
      </c>
      <c r="H15" s="618">
        <f>SUM('Oct 26:Dec 26'!J17)</f>
        <v>0</v>
      </c>
      <c r="I15" s="618">
        <f>SUM('Oct 26:Dec 26'!M17)</f>
        <v>0</v>
      </c>
      <c r="J15" s="618"/>
      <c r="K15" s="618"/>
      <c r="L15" s="618">
        <f>SUM('Oct 26:Dec 26'!O17)</f>
        <v>0</v>
      </c>
      <c r="M15" s="618">
        <f>SUM('Oct 26:Dec 26'!P17)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SUM('Oct 26:Dec 26'!G18)</f>
        <v>0</v>
      </c>
      <c r="G16" s="618">
        <f>SUM('Oct 26:Dec 26'!I18)</f>
        <v>0</v>
      </c>
      <c r="H16" s="618">
        <f>SUM('Oct 26:Dec 26'!J18)</f>
        <v>0</v>
      </c>
      <c r="I16" s="618">
        <f>SUM('Oct 26:Dec 26'!M18)</f>
        <v>0</v>
      </c>
      <c r="J16" s="618"/>
      <c r="K16" s="618"/>
      <c r="L16" s="618">
        <f>SUM('Oct 26:Dec 26'!O18)</f>
        <v>0</v>
      </c>
      <c r="M16" s="618">
        <f>SUM('Oct 26:Dec 26'!P18)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SUM('Oct 26:Dec 26'!G19)</f>
        <v>0</v>
      </c>
      <c r="G17" s="618">
        <f>SUM('Oct 26:Dec 26'!I19)</f>
        <v>0</v>
      </c>
      <c r="H17" s="618">
        <f>SUM('Oct 26:Dec 26'!J19)</f>
        <v>0</v>
      </c>
      <c r="I17" s="618">
        <f>SUM('Oct 26:Dec 26'!M19)</f>
        <v>0</v>
      </c>
      <c r="J17" s="618"/>
      <c r="K17" s="618"/>
      <c r="L17" s="618">
        <f>SUM('Oct 26:Dec 26'!O19)</f>
        <v>0</v>
      </c>
      <c r="M17" s="618">
        <f>SUM('Oct 26:Dec 26'!P19)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SUM('Oct 26:Dec 26'!G20)</f>
        <v>0</v>
      </c>
      <c r="G18" s="618">
        <f>SUM('Oct 26:Dec 26'!I20)</f>
        <v>0</v>
      </c>
      <c r="H18" s="618">
        <f>SUM('Oct 26:Dec 26'!J20)</f>
        <v>0</v>
      </c>
      <c r="I18" s="618">
        <f>SUM('Oct 26:Dec 26'!M20)</f>
        <v>0</v>
      </c>
      <c r="J18" s="618"/>
      <c r="K18" s="618"/>
      <c r="L18" s="618">
        <f>SUM('Oct 26:Dec 26'!O20)</f>
        <v>0</v>
      </c>
      <c r="M18" s="618">
        <f>SUM('Oct 26:Dec 26'!P20)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SUM('Oct 26:Dec 26'!G21)</f>
        <v>0</v>
      </c>
      <c r="G19" s="618">
        <f>SUM('Oct 26:Dec 26'!I21)</f>
        <v>0</v>
      </c>
      <c r="H19" s="618">
        <f>SUM('Oct 26:Dec 26'!J21)</f>
        <v>0</v>
      </c>
      <c r="I19" s="618">
        <f>SUM('Oct 26:Dec 26'!M21)</f>
        <v>0</v>
      </c>
      <c r="J19" s="618"/>
      <c r="K19" s="618"/>
      <c r="L19" s="618">
        <f>SUM('Oct 26:Dec 26'!O21)</f>
        <v>0</v>
      </c>
      <c r="M19" s="618">
        <f>SUM('Oct 26:Dec 26'!P21)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SUM('Oct 26:Dec 26'!G22)</f>
        <v>0</v>
      </c>
      <c r="G20" s="618">
        <f>SUM('Oct 26:Dec 26'!I22)</f>
        <v>0</v>
      </c>
      <c r="H20" s="618">
        <f>SUM('Oct 26:Dec 26'!J22)</f>
        <v>0</v>
      </c>
      <c r="I20" s="618">
        <f>SUM('Oct 26:Dec 26'!M22)</f>
        <v>0</v>
      </c>
      <c r="J20" s="618"/>
      <c r="K20" s="618"/>
      <c r="L20" s="618">
        <f>SUM('Oct 26:Dec 26'!O22)</f>
        <v>0</v>
      </c>
      <c r="M20" s="618">
        <f>SUM('Oct 26:Dec 26'!P22)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SUM('Oct 26:Dec 26'!G23)</f>
        <v>0</v>
      </c>
      <c r="G21" s="618">
        <f>SUM('Oct 26:Dec 26'!I23)</f>
        <v>0</v>
      </c>
      <c r="H21" s="618">
        <f>SUM('Oct 26:Dec 26'!J23)</f>
        <v>0</v>
      </c>
      <c r="I21" s="618">
        <f>SUM('Oct 26:Dec 26'!M23)</f>
        <v>0</v>
      </c>
      <c r="J21" s="618"/>
      <c r="K21" s="618"/>
      <c r="L21" s="618">
        <f>SUM('Oct 26:Dec 26'!O23)</f>
        <v>0</v>
      </c>
      <c r="M21" s="618">
        <f>SUM('Oct 26:Dec 26'!P23)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SUM('Oct 26:Dec 26'!G24)</f>
        <v>0</v>
      </c>
      <c r="G22" s="618">
        <f>SUM('Oct 26:Dec 26'!I24)</f>
        <v>0</v>
      </c>
      <c r="H22" s="618">
        <f>SUM('Oct 26:Dec 26'!J24)</f>
        <v>0</v>
      </c>
      <c r="I22" s="618">
        <f>SUM('Oct 26:Dec 26'!M24)</f>
        <v>0</v>
      </c>
      <c r="J22" s="618"/>
      <c r="K22" s="618"/>
      <c r="L22" s="618">
        <f>SUM('Oct 26:Dec 26'!O24)</f>
        <v>0</v>
      </c>
      <c r="M22" s="618">
        <f>SUM('Oct 26:Dec 26'!P24)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SUM('Oct 26:Dec 26'!G25)</f>
        <v>0</v>
      </c>
      <c r="G23" s="618">
        <f>SUM('Oct 26:Dec 26'!I25)</f>
        <v>0</v>
      </c>
      <c r="H23" s="618">
        <f>SUM('Oct 26:Dec 26'!J25)</f>
        <v>0</v>
      </c>
      <c r="I23" s="618">
        <f>SUM('Oct 26:Dec 26'!M25)</f>
        <v>0</v>
      </c>
      <c r="J23" s="618"/>
      <c r="K23" s="618"/>
      <c r="L23" s="618">
        <f>SUM('Oct 26:Dec 26'!O25)</f>
        <v>0</v>
      </c>
      <c r="M23" s="618">
        <f>SUM('Oct 26:Dec 26'!P25)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SUM('Oct 26:Dec 26'!G26)</f>
        <v>0</v>
      </c>
      <c r="G24" s="618">
        <f>SUM('Oct 26:Dec 26'!I26)</f>
        <v>0</v>
      </c>
      <c r="H24" s="618">
        <f>SUM('Oct 26:Dec 26'!J26)</f>
        <v>0</v>
      </c>
      <c r="I24" s="618">
        <f>SUM('Oct 26:Dec 26'!M26)</f>
        <v>0</v>
      </c>
      <c r="J24" s="618"/>
      <c r="K24" s="618"/>
      <c r="L24" s="618">
        <f>SUM('Oct 26:Dec 26'!O26)</f>
        <v>0</v>
      </c>
      <c r="M24" s="618">
        <f>SUM('Oct 26:Dec 26'!P26)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SUM('Oct 26:Dec 26'!G27)</f>
        <v>0</v>
      </c>
      <c r="G25" s="618">
        <f>SUM('Oct 26:Dec 26'!I27)</f>
        <v>0</v>
      </c>
      <c r="H25" s="618">
        <f>SUM('Oct 26:Dec 26'!J27)</f>
        <v>0</v>
      </c>
      <c r="I25" s="618">
        <f>SUM('Oct 26:Dec 26'!M27)</f>
        <v>0</v>
      </c>
      <c r="J25" s="618"/>
      <c r="K25" s="618"/>
      <c r="L25" s="618">
        <f>SUM('Oct 26:Dec 26'!O27)</f>
        <v>0</v>
      </c>
      <c r="M25" s="618">
        <f>SUM('Oct 26:Dec 26'!P27)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SUM('Oct 26:Dec 26'!G28)</f>
        <v>0</v>
      </c>
      <c r="G26" s="618">
        <f>SUM('Oct 26:Dec 26'!I28)</f>
        <v>0</v>
      </c>
      <c r="H26" s="618">
        <f>SUM('Oct 26:Dec 26'!J28)</f>
        <v>0</v>
      </c>
      <c r="I26" s="618">
        <f>SUM('Oct 26:Dec 26'!M28)</f>
        <v>0</v>
      </c>
      <c r="J26" s="618"/>
      <c r="K26" s="618"/>
      <c r="L26" s="618">
        <f>SUM('Oct 26:Dec 26'!O28)</f>
        <v>0</v>
      </c>
      <c r="M26" s="618">
        <f>SUM('Oct 26:Dec 26'!P28)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SUM('Oct 26:Dec 26'!G29)</f>
        <v>0</v>
      </c>
      <c r="G27" s="618">
        <f>SUM('Oct 26:Dec 26'!I29)</f>
        <v>0</v>
      </c>
      <c r="H27" s="618">
        <f>SUM('Oct 26:Dec 26'!J29)</f>
        <v>0</v>
      </c>
      <c r="I27" s="618">
        <f>SUM('Oct 26:Dec 26'!M29)</f>
        <v>0</v>
      </c>
      <c r="J27" s="618"/>
      <c r="K27" s="618"/>
      <c r="L27" s="618">
        <f>SUM('Oct 26:Dec 26'!O29)</f>
        <v>0</v>
      </c>
      <c r="M27" s="618">
        <f>SUM('Oct 26:Dec 26'!P29)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SUM('Oct 26:Dec 26'!G30)</f>
        <v>0</v>
      </c>
      <c r="G28" s="618">
        <f>SUM('Oct 26:Dec 26'!I30)</f>
        <v>0</v>
      </c>
      <c r="H28" s="618">
        <f>SUM('Oct 26:Dec 26'!J30)</f>
        <v>0</v>
      </c>
      <c r="I28" s="618">
        <f>SUM('Oct 26:Dec 26'!M30)</f>
        <v>0</v>
      </c>
      <c r="J28" s="618"/>
      <c r="K28" s="618"/>
      <c r="L28" s="618">
        <f>SUM('Oct 26:Dec 26'!O30)</f>
        <v>0</v>
      </c>
      <c r="M28" s="618">
        <f>SUM('Oct 26:Dec 26'!P30)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SUM('Oct 26:Dec 26'!G31)</f>
        <v>0</v>
      </c>
      <c r="G29" s="618">
        <f>SUM('Oct 26:Dec 26'!I31)</f>
        <v>0</v>
      </c>
      <c r="H29" s="618">
        <f>SUM('Oct 26:Dec 26'!J31)</f>
        <v>0</v>
      </c>
      <c r="I29" s="618">
        <f>SUM('Oct 26:Dec 26'!M31)</f>
        <v>0</v>
      </c>
      <c r="J29" s="618"/>
      <c r="K29" s="618"/>
      <c r="L29" s="618">
        <f>SUM('Oct 26:Dec 26'!O31)</f>
        <v>0</v>
      </c>
      <c r="M29" s="618">
        <f>SUM('Oct 26:Dec 26'!P31)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SUM('Oct 26:Dec 26'!G32)</f>
        <v>0</v>
      </c>
      <c r="G30" s="618">
        <f>SUM('Oct 26:Dec 26'!I32)</f>
        <v>0</v>
      </c>
      <c r="H30" s="618">
        <f>SUM('Oct 26:Dec 26'!J32)</f>
        <v>0</v>
      </c>
      <c r="I30" s="618">
        <f>SUM('Oct 26:Dec 26'!M32)</f>
        <v>0</v>
      </c>
      <c r="J30" s="618"/>
      <c r="K30" s="618"/>
      <c r="L30" s="618">
        <f>SUM('Oct 26:Dec 26'!O32)</f>
        <v>0</v>
      </c>
      <c r="M30" s="618">
        <f>SUM('Oct 26:Dec 26'!P32)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SUM('Oct 26:Dec 26'!G33)</f>
        <v>0</v>
      </c>
      <c r="G31" s="618">
        <f>SUM('Oct 26:Dec 26'!I33)</f>
        <v>0</v>
      </c>
      <c r="H31" s="618">
        <f>SUM('Oct 26:Dec 26'!J33)</f>
        <v>0</v>
      </c>
      <c r="I31" s="618">
        <f>SUM('Oct 26:Dec 26'!M33)</f>
        <v>0</v>
      </c>
      <c r="J31" s="618"/>
      <c r="K31" s="618"/>
      <c r="L31" s="618">
        <f>SUM('Oct 26:Dec 26'!O33)</f>
        <v>0</v>
      </c>
      <c r="M31" s="618">
        <f>SUM('Oct 26:Dec 26'!P33)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SUM('Oct 26:Dec 26'!G34)</f>
        <v>0</v>
      </c>
      <c r="G32" s="618">
        <f>SUM('Oct 26:Dec 26'!I34)</f>
        <v>0</v>
      </c>
      <c r="H32" s="618">
        <f>SUM('Oct 26:Dec 26'!J34)</f>
        <v>0</v>
      </c>
      <c r="I32" s="618">
        <f>SUM('Oct 26:Dec 26'!M34)</f>
        <v>0</v>
      </c>
      <c r="J32" s="618"/>
      <c r="K32" s="618"/>
      <c r="L32" s="618">
        <f>SUM('Oct 26:Dec 26'!O34)</f>
        <v>0</v>
      </c>
      <c r="M32" s="618">
        <f>SUM('Oct 26:Dec 26'!P34)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SUM('Oct 26:Dec 26'!G35)</f>
        <v>0</v>
      </c>
      <c r="G33" s="618">
        <f>SUM('Oct 26:Dec 26'!I35)</f>
        <v>0</v>
      </c>
      <c r="H33" s="618">
        <f>SUM('Oct 26:Dec 26'!J35)</f>
        <v>0</v>
      </c>
      <c r="I33" s="618">
        <f>SUM('Oct 26:Dec 26'!M35)</f>
        <v>0</v>
      </c>
      <c r="J33" s="618"/>
      <c r="K33" s="618"/>
      <c r="L33" s="618">
        <f>SUM('Oct 26:Dec 26'!O35)</f>
        <v>0</v>
      </c>
      <c r="M33" s="618">
        <f>SUM('Oct 26:Dec 26'!P35)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rxwyRZ83l1F+NAV0K++zj96ROzE+0VhRzW6ktHP1WVPLNJvkQ91QOhfbghJDv4pyImPpchM6QFkezveVs/apCw==" saltValue="0FCLLO/hcYisxZD/XT/VwA==" spinCount="100000" sheet="1" objects="1" scenarios="1"/>
  <mergeCells count="24">
    <mergeCell ref="A1:M1"/>
    <mergeCell ref="A2:B2"/>
    <mergeCell ref="C2:I2"/>
    <mergeCell ref="J2:M2"/>
    <mergeCell ref="A3:B3"/>
    <mergeCell ref="C3:G3"/>
    <mergeCell ref="H3:I3"/>
    <mergeCell ref="J3:M3"/>
    <mergeCell ref="A4:B4"/>
    <mergeCell ref="C4:G4"/>
    <mergeCell ref="H4:I4"/>
    <mergeCell ref="J4:M4"/>
    <mergeCell ref="A5:B5"/>
    <mergeCell ref="C5:G5"/>
    <mergeCell ref="H5:I5"/>
    <mergeCell ref="J5:M5"/>
    <mergeCell ref="E39:H40"/>
    <mergeCell ref="I39:I40"/>
    <mergeCell ref="A7:A8"/>
    <mergeCell ref="B7:B8"/>
    <mergeCell ref="C7:C8"/>
    <mergeCell ref="D7:D8"/>
    <mergeCell ref="E7:E8"/>
    <mergeCell ref="F7:M7"/>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2421-D98D-42F6-8C77-806269B6918F}">
  <sheetPr codeName="Sheet18">
    <tabColor indexed="47"/>
  </sheetPr>
  <dimension ref="A1:T49"/>
  <sheetViews>
    <sheetView showGridLines="0" showZeros="0" zoomScale="66" zoomScaleNormal="66" workbookViewId="0">
      <selection activeCell="G18" sqref="G18"/>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739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PyNxOxWDXuwwje4iVq4UXBRcojjozw21mDqZlUuGHLHpfvclLk6ibTXrMSrMlqHml0Ctd4ULTk5R9Pp5LBgPxA==" saltValue="OxtFcCLnLCQiasjM0xpiR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1139-5940-46B3-9817-0659A2B4BDAF}">
  <sheetPr codeName="Sheet1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755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HP24VgH6pnC+SOIAOnthTuEEHg5woPWapwei09MkYw0OZkTzSmlhvEiWo0bFICKWdumpZwsTiSjMHKJT1cApdw==" saltValue="pj9onIYEyDFB0uZxCMf5/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E823-709C-416C-8C49-078BF2903245}">
  <sheetPr codeName="Sheet1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756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OV4iSisVLdeCasrjvIN2XwWdZOGl+phfr6pe/6xKGPxyAMT9V7JQa4g1OCEig9VQjcqydlpSC+LwJKsEGflv1g==" saltValue="pmIckJEJBKRQJv/L1eM+Qw=="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03510-ED3B-4742-8A1C-B49EE479E313}">
  <sheetPr codeName="Sheet2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757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bVf2iC+y/7P4xtMw5dSr35y7au4SjHqkJ1YAoxvLqVmfBAaC4ZtcNllAmWZZrxGtBKT4f9zAQ8HZJGcZ4NZbnw==" saltValue="HeK1BluqkL7C9hDHM5YvTQ=="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21002-4808-40CF-A014-D67078857035}">
  <sheetPr codeName="Sheet21">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758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WhMpBn/Xp+dEAQhjAPoz0wNu5n1P6JZOciUkSFo9a24nAmEfASyr0F1/1oqWvHXB4e4r+wT5LgmLjaE2gp+yAw==" saltValue="8CTPP8PMlqs2HXR4ZJ29Wg=="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91AA-26C7-47C6-A139-5279D69E7D47}">
  <sheetPr codeName="Sheet22">
    <tabColor indexed="47"/>
  </sheetPr>
  <dimension ref="A1:T49"/>
  <sheetViews>
    <sheetView showGridLines="0" showZeros="0" zoomScale="66" zoomScaleNormal="66" workbookViewId="0">
      <selection activeCell="AF31" sqref="AF31"/>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759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VbnVd+Ocvzrdvrcv/4LlxgsSgyV9Jh8cdIc1GU9w0J8hWqjcwkRAzi3q8Sx5hcglL85me1Sa2RIXazpbHHNs8g==" saltValue="lS3esV29tg4uRBBnLnep6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DECF-CE0F-45A5-833A-A25042087C21}">
  <sheetPr codeName="Sheet23">
    <tabColor indexed="47"/>
  </sheetPr>
  <dimension ref="A1:T49"/>
  <sheetViews>
    <sheetView showGridLines="0" showZeros="0" zoomScale="66" zoomScaleNormal="66" workbookViewId="0">
      <selection activeCell="V12" sqref="V12"/>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wJgJ53OH7+MFPxihweL4b0wcaJsmK34D6KfZEDShq4t6qLCUlIp6Bshoy1WvplSz8ZHVv1Jeewk7UrjEnHNOA==" saltValue="R7Tw2FzRhoxXjKJp4OUrHQ=="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EA3D1-F604-4986-939E-8C159130E6E1}">
  <sheetPr codeName="Sheet2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LJjfFwXEKavgo2S3Gnjo76X8V0DszlJHp4QBMFF8Qr46E3onwxDbzsA4YskvfpgnOiJRsAmPyNpoBRcgxKcvAQ==" saltValue="nD9WP79+OFYYh1jzawe7f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FDD69-3496-476C-BBD3-F7032FB3933A}">
  <sheetPr codeName="Sheet25">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3DuEqPotRQfY2kJtfpjP1Gb+1B5EiV8nlLh//uGZrBhIXE4ZNhhj747x0gyzDK1JBFzGBnP1GHwzi8s6K5Am+w==" saltValue="yT8b2c40lREdvuftDJUYS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F5DA-F848-4E54-A8CF-BB9C03B3068F}">
  <sheetPr codeName="Sheet2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cn4mHZqyRxC0fPCFZqvjCIACd84U8PJuyeAJt0y1e1g70tcWK97jx+HfmBCtJseaKODqf+Su67eGABpvFbGrQ==" saltValue="l+WG2R4zhc2/XSc3WQ6Ra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C2B5A-E872-4A87-9537-30D02D31137E}">
  <sheetPr codeName="Sheet2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764</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6+Ug6EZvRAXAfm1mCOy+I3y6fpd0sTyC0JulpifOR4qKy8PtGQ6oijgZtWoSY7ORJVYCLyejKq/MrEQKw7pN3g==" saltValue="p+qNs1WNb2Q1/z2myozea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7C56C-65E5-48AE-9379-6CBAB1A654CF}">
  <sheetPr codeName="Sheet28">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1">
        <f>'Project Details'!D13</f>
        <v>15000000</v>
      </c>
      <c r="L3" s="1232"/>
      <c r="M3" s="1232"/>
      <c r="N3" s="1232"/>
      <c r="O3" s="1232"/>
      <c r="P3" s="1233"/>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765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GZhwpiCpb1c4YV9/b22zrKQzmd6xXsO+H1ZMF49IaC4cW+NAjVJiyhO1Mtwqv0DgEqrxt5ieh1k0MOZwZnit1w==" saltValue="yKg9PLTAVcNCWXkg74P7tA==" spinCount="100000" sheet="1" objects="1" scenarios="1"/>
  <mergeCells count="33">
    <mergeCell ref="A1:P1"/>
    <mergeCell ref="A2:B2"/>
    <mergeCell ref="C2:J2"/>
    <mergeCell ref="K2:P2"/>
    <mergeCell ref="A3:B3"/>
    <mergeCell ref="C3:H3"/>
    <mergeCell ref="I3:J3"/>
    <mergeCell ref="K3:P3"/>
    <mergeCell ref="A4:B4"/>
    <mergeCell ref="C4:H4"/>
    <mergeCell ref="I4:J4"/>
    <mergeCell ref="K4:P4"/>
    <mergeCell ref="A5:B5"/>
    <mergeCell ref="C5:H5"/>
    <mergeCell ref="I5:J5"/>
    <mergeCell ref="K5:P5"/>
    <mergeCell ref="H9:I9"/>
    <mergeCell ref="K9:N9"/>
    <mergeCell ref="A6:H6"/>
    <mergeCell ref="A7:A10"/>
    <mergeCell ref="B7:B10"/>
    <mergeCell ref="C7:C10"/>
    <mergeCell ref="D7:D10"/>
    <mergeCell ref="E7:E10"/>
    <mergeCell ref="F7:F10"/>
    <mergeCell ref="G7:P7"/>
    <mergeCell ref="G8:G10"/>
    <mergeCell ref="H8:I8"/>
    <mergeCell ref="R10:S10"/>
    <mergeCell ref="J8:J10"/>
    <mergeCell ref="K8:N8"/>
    <mergeCell ref="O8:O10"/>
    <mergeCell ref="P8:P10"/>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B5D0-10DC-49D8-8D7F-4214520CE554}">
  <sheetPr codeName="Sheet29">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766</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SUM('Jan 27:Mar 27'!G11)</f>
        <v>0</v>
      </c>
      <c r="G9" s="614">
        <f>SUM('Jan 27:Mar 27'!I11)</f>
        <v>0</v>
      </c>
      <c r="H9" s="614">
        <f>SUM('Jan 27:Mar 27'!J11)</f>
        <v>0</v>
      </c>
      <c r="I9" s="614">
        <f>SUM('Jan 27:Mar 27'!M11)</f>
        <v>0</v>
      </c>
      <c r="J9" s="614"/>
      <c r="K9" s="614"/>
      <c r="L9" s="614">
        <f>SUM('Jan 27:Mar 27'!O11)</f>
        <v>0</v>
      </c>
      <c r="M9" s="614">
        <f>SUM('Jan 27:Mar 27'!P11)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SUM('Jan 27:Mar 27'!G12)</f>
        <v>0</v>
      </c>
      <c r="G10" s="618">
        <f>SUM('Jan 27:Mar 27'!I12)</f>
        <v>0</v>
      </c>
      <c r="H10" s="618">
        <f>SUM('Jan 27:Mar 27'!J12)</f>
        <v>0</v>
      </c>
      <c r="I10" s="618">
        <f>SUM('Jan 27:Mar 27'!M12)</f>
        <v>0</v>
      </c>
      <c r="J10" s="618"/>
      <c r="K10" s="618"/>
      <c r="L10" s="618">
        <f>SUM('Jan 27:Mar 27'!O12)</f>
        <v>0</v>
      </c>
      <c r="M10" s="618">
        <f>SUM('Jan 27:Mar 27'!P12)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SUM('Jan 27:Mar 27'!G13)</f>
        <v>0</v>
      </c>
      <c r="G11" s="618">
        <f>SUM('Jan 27:Mar 27'!I13)</f>
        <v>0</v>
      </c>
      <c r="H11" s="618">
        <f>SUM('Jan 27:Mar 27'!J13)</f>
        <v>0</v>
      </c>
      <c r="I11" s="618">
        <f>SUM('Jan 27:Mar 27'!M13)</f>
        <v>0</v>
      </c>
      <c r="J11" s="618"/>
      <c r="K11" s="618"/>
      <c r="L11" s="618">
        <f>SUM('Jan 27:Mar 27'!O13)</f>
        <v>0</v>
      </c>
      <c r="M11" s="618">
        <f>SUM('Jan 27:Mar 27'!P13)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SUM('Jan 27:Mar 27'!G14)</f>
        <v>0</v>
      </c>
      <c r="G12" s="618">
        <f>SUM('Jan 27:Mar 27'!I14)</f>
        <v>0</v>
      </c>
      <c r="H12" s="618">
        <f>SUM('Jan 27:Mar 27'!J14)</f>
        <v>0</v>
      </c>
      <c r="I12" s="618">
        <f>SUM('Jan 27:Mar 27'!M14)</f>
        <v>0</v>
      </c>
      <c r="J12" s="618"/>
      <c r="K12" s="618"/>
      <c r="L12" s="618">
        <f>SUM('Jan 27:Mar 27'!O14)</f>
        <v>0</v>
      </c>
      <c r="M12" s="618">
        <f>SUM('Jan 27:Mar 27'!P14)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SUM('Jan 27:Mar 27'!G15)</f>
        <v>0</v>
      </c>
      <c r="G13" s="618">
        <f>SUM('Jan 27:Mar 27'!I15)</f>
        <v>0</v>
      </c>
      <c r="H13" s="618">
        <f>SUM('Jan 27:Mar 27'!J15)</f>
        <v>0</v>
      </c>
      <c r="I13" s="618">
        <f>SUM('Jan 27:Mar 27'!M15)</f>
        <v>0</v>
      </c>
      <c r="J13" s="618"/>
      <c r="K13" s="618"/>
      <c r="L13" s="618">
        <f>SUM('Jan 27:Mar 27'!O15)</f>
        <v>0</v>
      </c>
      <c r="M13" s="618">
        <f>SUM('Jan 27:Mar 27'!P15)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SUM('Jan 27:Mar 27'!G16)</f>
        <v>0</v>
      </c>
      <c r="G14" s="618">
        <f>SUM('Jan 27:Mar 27'!I16)</f>
        <v>0</v>
      </c>
      <c r="H14" s="618">
        <f>SUM('Jan 27:Mar 27'!J16)</f>
        <v>0</v>
      </c>
      <c r="I14" s="618">
        <f>SUM('Jan 27:Mar 27'!M16)</f>
        <v>0</v>
      </c>
      <c r="J14" s="618"/>
      <c r="K14" s="618"/>
      <c r="L14" s="618">
        <f>SUM('Jan 27:Mar 27'!O16)</f>
        <v>0</v>
      </c>
      <c r="M14" s="618">
        <f>SUM('Jan 27:Mar 27'!P16)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SUM('Jan 27:Mar 27'!G17)</f>
        <v>0</v>
      </c>
      <c r="G15" s="618">
        <f>SUM('Jan 27:Mar 27'!I17)</f>
        <v>0</v>
      </c>
      <c r="H15" s="618">
        <f>SUM('Jan 27:Mar 27'!J17)</f>
        <v>0</v>
      </c>
      <c r="I15" s="618">
        <f>SUM('Jan 27:Mar 27'!M17)</f>
        <v>0</v>
      </c>
      <c r="J15" s="618"/>
      <c r="K15" s="618"/>
      <c r="L15" s="618">
        <f>SUM('Jan 27:Mar 27'!O17)</f>
        <v>0</v>
      </c>
      <c r="M15" s="618">
        <f>SUM('Jan 27:Mar 27'!P17)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SUM('Jan 27:Mar 27'!G18)</f>
        <v>0</v>
      </c>
      <c r="G16" s="618">
        <f>SUM('Jan 27:Mar 27'!I18)</f>
        <v>0</v>
      </c>
      <c r="H16" s="618">
        <f>SUM('Jan 27:Mar 27'!J18)</f>
        <v>0</v>
      </c>
      <c r="I16" s="618">
        <f>SUM('Jan 27:Mar 27'!M18)</f>
        <v>0</v>
      </c>
      <c r="J16" s="618"/>
      <c r="K16" s="618"/>
      <c r="L16" s="618">
        <f>SUM('Jan 27:Mar 27'!O18)</f>
        <v>0</v>
      </c>
      <c r="M16" s="618">
        <f>SUM('Jan 27:Mar 27'!P18)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SUM('Jan 27:Mar 27'!G19)</f>
        <v>0</v>
      </c>
      <c r="G17" s="618">
        <f>SUM('Jan 27:Mar 27'!I19)</f>
        <v>0</v>
      </c>
      <c r="H17" s="618">
        <f>SUM('Jan 27:Mar 27'!J19)</f>
        <v>0</v>
      </c>
      <c r="I17" s="618">
        <f>SUM('Jan 27:Mar 27'!M19)</f>
        <v>0</v>
      </c>
      <c r="J17" s="618"/>
      <c r="K17" s="618"/>
      <c r="L17" s="618">
        <f>SUM('Jan 27:Mar 27'!O19)</f>
        <v>0</v>
      </c>
      <c r="M17" s="618">
        <f>SUM('Jan 27:Mar 27'!P19)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SUM('Jan 27:Mar 27'!G20)</f>
        <v>0</v>
      </c>
      <c r="G18" s="618">
        <f>SUM('Jan 27:Mar 27'!I20)</f>
        <v>0</v>
      </c>
      <c r="H18" s="618">
        <f>SUM('Jan 27:Mar 27'!J20)</f>
        <v>0</v>
      </c>
      <c r="I18" s="618">
        <f>SUM('Jan 27:Mar 27'!M20)</f>
        <v>0</v>
      </c>
      <c r="J18" s="618"/>
      <c r="K18" s="618"/>
      <c r="L18" s="618">
        <f>SUM('Jan 27:Mar 27'!O20)</f>
        <v>0</v>
      </c>
      <c r="M18" s="618">
        <f>SUM('Jan 27:Mar 27'!P20)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SUM('Jan 27:Mar 27'!G21)</f>
        <v>0</v>
      </c>
      <c r="G19" s="618">
        <f>SUM('Jan 27:Mar 27'!I21)</f>
        <v>0</v>
      </c>
      <c r="H19" s="618">
        <f>SUM('Jan 27:Mar 27'!J21)</f>
        <v>0</v>
      </c>
      <c r="I19" s="618">
        <f>SUM('Jan 27:Mar 27'!M21)</f>
        <v>0</v>
      </c>
      <c r="J19" s="618"/>
      <c r="K19" s="618"/>
      <c r="L19" s="618">
        <f>SUM('Jan 27:Mar 27'!O21)</f>
        <v>0</v>
      </c>
      <c r="M19" s="618">
        <f>SUM('Jan 27:Mar 27'!P21)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SUM('Jan 27:Mar 27'!G22)</f>
        <v>0</v>
      </c>
      <c r="G20" s="618">
        <f>SUM('Jan 27:Mar 27'!I22)</f>
        <v>0</v>
      </c>
      <c r="H20" s="618">
        <f>SUM('Jan 27:Mar 27'!J22)</f>
        <v>0</v>
      </c>
      <c r="I20" s="618">
        <f>SUM('Jan 27:Mar 27'!M22)</f>
        <v>0</v>
      </c>
      <c r="J20" s="618"/>
      <c r="K20" s="618"/>
      <c r="L20" s="618">
        <f>SUM('Jan 27:Mar 27'!O22)</f>
        <v>0</v>
      </c>
      <c r="M20" s="618">
        <f>SUM('Jan 27:Mar 27'!P22)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SUM('Jan 27:Mar 27'!G23)</f>
        <v>0</v>
      </c>
      <c r="G21" s="618">
        <f>SUM('Jan 27:Mar 27'!I23)</f>
        <v>0</v>
      </c>
      <c r="H21" s="618">
        <f>SUM('Jan 27:Mar 27'!J23)</f>
        <v>0</v>
      </c>
      <c r="I21" s="618">
        <f>SUM('Jan 27:Mar 27'!M23)</f>
        <v>0</v>
      </c>
      <c r="J21" s="618"/>
      <c r="K21" s="618"/>
      <c r="L21" s="618">
        <f>SUM('Jan 27:Mar 27'!O23)</f>
        <v>0</v>
      </c>
      <c r="M21" s="618">
        <f>SUM('Jan 27:Mar 27'!P23)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SUM('Jan 27:Mar 27'!G24)</f>
        <v>0</v>
      </c>
      <c r="G22" s="618">
        <f>SUM('Jan 27:Mar 27'!I24)</f>
        <v>0</v>
      </c>
      <c r="H22" s="618">
        <f>SUM('Jan 27:Mar 27'!J24)</f>
        <v>0</v>
      </c>
      <c r="I22" s="618">
        <f>SUM('Jan 27:Mar 27'!M24)</f>
        <v>0</v>
      </c>
      <c r="J22" s="618"/>
      <c r="K22" s="618"/>
      <c r="L22" s="618">
        <f>SUM('Jan 27:Mar 27'!O24)</f>
        <v>0</v>
      </c>
      <c r="M22" s="618">
        <f>SUM('Jan 27:Mar 27'!P24)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SUM('Jan 27:Mar 27'!G25)</f>
        <v>0</v>
      </c>
      <c r="G23" s="618">
        <f>SUM('Jan 27:Mar 27'!I25)</f>
        <v>0</v>
      </c>
      <c r="H23" s="618">
        <f>SUM('Jan 27:Mar 27'!J25)</f>
        <v>0</v>
      </c>
      <c r="I23" s="618">
        <f>SUM('Jan 27:Mar 27'!M25)</f>
        <v>0</v>
      </c>
      <c r="J23" s="618"/>
      <c r="K23" s="618"/>
      <c r="L23" s="618">
        <f>SUM('Jan 27:Mar 27'!O25)</f>
        <v>0</v>
      </c>
      <c r="M23" s="618">
        <f>SUM('Jan 27:Mar 27'!P25)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SUM('Jan 27:Mar 27'!G26)</f>
        <v>0</v>
      </c>
      <c r="G24" s="618">
        <f>SUM('Jan 27:Mar 27'!I26)</f>
        <v>0</v>
      </c>
      <c r="H24" s="618">
        <f>SUM('Jan 27:Mar 27'!J26)</f>
        <v>0</v>
      </c>
      <c r="I24" s="618">
        <f>SUM('Jan 27:Mar 27'!M26)</f>
        <v>0</v>
      </c>
      <c r="J24" s="618"/>
      <c r="K24" s="618"/>
      <c r="L24" s="618">
        <f>SUM('Jan 27:Mar 27'!O26)</f>
        <v>0</v>
      </c>
      <c r="M24" s="618">
        <f>SUM('Jan 27:Mar 27'!P26)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SUM('Jan 27:Mar 27'!G27)</f>
        <v>0</v>
      </c>
      <c r="G25" s="618">
        <f>SUM('Jan 27:Mar 27'!I27)</f>
        <v>0</v>
      </c>
      <c r="H25" s="618">
        <f>SUM('Jan 27:Mar 27'!J27)</f>
        <v>0</v>
      </c>
      <c r="I25" s="618">
        <f>SUM('Jan 27:Mar 27'!M27)</f>
        <v>0</v>
      </c>
      <c r="J25" s="618"/>
      <c r="K25" s="618"/>
      <c r="L25" s="618">
        <f>SUM('Jan 27:Mar 27'!O27)</f>
        <v>0</v>
      </c>
      <c r="M25" s="618">
        <f>SUM('Jan 27:Mar 27'!P27)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SUM('Jan 27:Mar 27'!G28)</f>
        <v>0</v>
      </c>
      <c r="G26" s="618">
        <f>SUM('Jan 27:Mar 27'!I28)</f>
        <v>0</v>
      </c>
      <c r="H26" s="618">
        <f>SUM('Jan 27:Mar 27'!J28)</f>
        <v>0</v>
      </c>
      <c r="I26" s="618">
        <f>SUM('Jan 27:Mar 27'!M28)</f>
        <v>0</v>
      </c>
      <c r="J26" s="618"/>
      <c r="K26" s="618"/>
      <c r="L26" s="618">
        <f>SUM('Jan 27:Mar 27'!O28)</f>
        <v>0</v>
      </c>
      <c r="M26" s="618">
        <f>SUM('Jan 27:Mar 27'!P28)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SUM('Jan 27:Mar 27'!G29)</f>
        <v>0</v>
      </c>
      <c r="G27" s="618">
        <f>SUM('Jan 27:Mar 27'!I29)</f>
        <v>0</v>
      </c>
      <c r="H27" s="618">
        <f>SUM('Jan 27:Mar 27'!J29)</f>
        <v>0</v>
      </c>
      <c r="I27" s="618">
        <f>SUM('Jan 27:Mar 27'!M29)</f>
        <v>0</v>
      </c>
      <c r="J27" s="618"/>
      <c r="K27" s="618"/>
      <c r="L27" s="618">
        <f>SUM('Jan 27:Mar 27'!O29)</f>
        <v>0</v>
      </c>
      <c r="M27" s="618">
        <f>SUM('Jan 27:Mar 27'!P29)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SUM('Jan 27:Mar 27'!G30)</f>
        <v>0</v>
      </c>
      <c r="G28" s="618">
        <f>SUM('Jan 27:Mar 27'!I30)</f>
        <v>0</v>
      </c>
      <c r="H28" s="618">
        <f>SUM('Jan 27:Mar 27'!J30)</f>
        <v>0</v>
      </c>
      <c r="I28" s="618">
        <f>SUM('Jan 27:Mar 27'!M30)</f>
        <v>0</v>
      </c>
      <c r="J28" s="618"/>
      <c r="K28" s="618"/>
      <c r="L28" s="618">
        <f>SUM('Jan 27:Mar 27'!O30)</f>
        <v>0</v>
      </c>
      <c r="M28" s="618">
        <f>SUM('Jan 27:Mar 27'!P30)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SUM('Jan 27:Mar 27'!G31)</f>
        <v>0</v>
      </c>
      <c r="G29" s="618">
        <f>SUM('Jan 27:Mar 27'!I31)</f>
        <v>0</v>
      </c>
      <c r="H29" s="618">
        <f>SUM('Jan 27:Mar 27'!J31)</f>
        <v>0</v>
      </c>
      <c r="I29" s="618">
        <f>SUM('Jan 27:Mar 27'!M31)</f>
        <v>0</v>
      </c>
      <c r="J29" s="618"/>
      <c r="K29" s="618"/>
      <c r="L29" s="618">
        <f>SUM('Jan 27:Mar 27'!O31)</f>
        <v>0</v>
      </c>
      <c r="M29" s="618">
        <f>SUM('Jan 27:Mar 27'!P31)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SUM('Jan 27:Mar 27'!G32)</f>
        <v>0</v>
      </c>
      <c r="G30" s="618">
        <f>SUM('Jan 27:Mar 27'!I32)</f>
        <v>0</v>
      </c>
      <c r="H30" s="618">
        <f>SUM('Jan 27:Mar 27'!J32)</f>
        <v>0</v>
      </c>
      <c r="I30" s="618">
        <f>SUM('Jan 27:Mar 27'!M32)</f>
        <v>0</v>
      </c>
      <c r="J30" s="618"/>
      <c r="K30" s="618"/>
      <c r="L30" s="618">
        <f>SUM('Jan 27:Mar 27'!O32)</f>
        <v>0</v>
      </c>
      <c r="M30" s="618">
        <f>SUM('Jan 27:Mar 27'!P32)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SUM('Jan 27:Mar 27'!G33)</f>
        <v>0</v>
      </c>
      <c r="G31" s="618">
        <f>SUM('Jan 27:Mar 27'!I33)</f>
        <v>0</v>
      </c>
      <c r="H31" s="618">
        <f>SUM('Jan 27:Mar 27'!J33)</f>
        <v>0</v>
      </c>
      <c r="I31" s="618">
        <f>SUM('Jan 27:Mar 27'!M33)</f>
        <v>0</v>
      </c>
      <c r="J31" s="618"/>
      <c r="K31" s="618"/>
      <c r="L31" s="618">
        <f>SUM('Jan 27:Mar 27'!O33)</f>
        <v>0</v>
      </c>
      <c r="M31" s="618">
        <f>SUM('Jan 27:Mar 27'!P33)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SUM('Jan 27:Mar 27'!G34)</f>
        <v>0</v>
      </c>
      <c r="G32" s="618">
        <f>SUM('Jan 27:Mar 27'!I34)</f>
        <v>0</v>
      </c>
      <c r="H32" s="618">
        <f>SUM('Jan 27:Mar 27'!J34)</f>
        <v>0</v>
      </c>
      <c r="I32" s="618">
        <f>SUM('Jan 27:Mar 27'!M34)</f>
        <v>0</v>
      </c>
      <c r="J32" s="618"/>
      <c r="K32" s="618"/>
      <c r="L32" s="618">
        <f>SUM('Jan 27:Mar 27'!O34)</f>
        <v>0</v>
      </c>
      <c r="M32" s="618">
        <f>SUM('Jan 27:Mar 27'!P34)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SUM('Jan 27:Mar 27'!G35)</f>
        <v>0</v>
      </c>
      <c r="G33" s="618">
        <f>SUM('Jan 27:Mar 27'!I35)</f>
        <v>0</v>
      </c>
      <c r="H33" s="618">
        <f>SUM('Jan 27:Mar 27'!J35)</f>
        <v>0</v>
      </c>
      <c r="I33" s="618">
        <f>SUM('Jan 27:Mar 27'!M35)</f>
        <v>0</v>
      </c>
      <c r="J33" s="618"/>
      <c r="K33" s="618"/>
      <c r="L33" s="618">
        <f>SUM('Jan 27:Mar 27'!O35)</f>
        <v>0</v>
      </c>
      <c r="M33" s="618">
        <f>SUM('Jan 27:Mar 27'!P35)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j0Z5/biRrBuoRbRb2n+PTAfva+MNAJW0Ey51myqKpvzw1enhjjFESm0l3fkkqhGMMH5TzVR06sT8zntQmBtL3A==" saltValue="0IrQ+3REkl1plypfPnUb3Q=="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5" orientation="landscape" r:id="rId1"/>
  <headerFooter alignWithMargins="0">
    <oddFooter>&amp;LFM-HSS-W01-01&amp;CJanuary 2020&amp;RRev 17.0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A336-8FC4-4832-8457-6F25234BE95D}">
  <sheetPr codeName="Sheet30">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767</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SUM('Apr 27:Jun 27'!G11)</f>
        <v>0</v>
      </c>
      <c r="G9" s="614">
        <f>SUM('Apr 27:Jun 27'!I11)</f>
        <v>0</v>
      </c>
      <c r="H9" s="614">
        <f>SUM('Apr 27:Jun 27'!J11)</f>
        <v>0</v>
      </c>
      <c r="I9" s="614">
        <f>SUM('Apr 27:Jun 27'!M11)</f>
        <v>0</v>
      </c>
      <c r="J9" s="614"/>
      <c r="K9" s="614"/>
      <c r="L9" s="614">
        <f>SUM('Apr 27:Jun 27'!O11)</f>
        <v>0</v>
      </c>
      <c r="M9" s="614">
        <f>SUM('Apr 27:Jun 27'!P11)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SUM('Apr 27:Jun 27'!G12)</f>
        <v>0</v>
      </c>
      <c r="G10" s="618">
        <f>SUM('Apr 27:Jun 27'!I12)</f>
        <v>0</v>
      </c>
      <c r="H10" s="618">
        <f>SUM('Apr 27:Jun 27'!J12)</f>
        <v>0</v>
      </c>
      <c r="I10" s="618">
        <f>SUM('Apr 27:Jun 27'!M12)</f>
        <v>0</v>
      </c>
      <c r="J10" s="618"/>
      <c r="K10" s="618"/>
      <c r="L10" s="618">
        <f>SUM('Apr 27:Jun 27'!O12)</f>
        <v>0</v>
      </c>
      <c r="M10" s="618">
        <f>SUM('Apr 27:Jun 27'!P12)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SUM('Apr 27:Jun 27'!G13)</f>
        <v>0</v>
      </c>
      <c r="G11" s="618">
        <f>SUM('Apr 27:Jun 27'!I13)</f>
        <v>0</v>
      </c>
      <c r="H11" s="618">
        <f>SUM('Apr 27:Jun 27'!J13)</f>
        <v>0</v>
      </c>
      <c r="I11" s="618">
        <f>SUM('Apr 27:Jun 27'!M13)</f>
        <v>0</v>
      </c>
      <c r="J11" s="618"/>
      <c r="K11" s="618"/>
      <c r="L11" s="618">
        <f>SUM('Apr 27:Jun 27'!O13)</f>
        <v>0</v>
      </c>
      <c r="M11" s="618">
        <f>SUM('Apr 27:Jun 27'!P13)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SUM('Apr 27:Jun 27'!G14)</f>
        <v>0</v>
      </c>
      <c r="G12" s="618">
        <f>SUM('Apr 27:Jun 27'!I14)</f>
        <v>0</v>
      </c>
      <c r="H12" s="618">
        <f>SUM('Apr 27:Jun 27'!J14)</f>
        <v>0</v>
      </c>
      <c r="I12" s="618">
        <f>SUM('Apr 27:Jun 27'!M14)</f>
        <v>0</v>
      </c>
      <c r="J12" s="618"/>
      <c r="K12" s="618"/>
      <c r="L12" s="618">
        <f>SUM('Apr 27:Jun 27'!O14)</f>
        <v>0</v>
      </c>
      <c r="M12" s="618">
        <f>SUM('Apr 27:Jun 27'!P14)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SUM('Apr 27:Jun 27'!G15)</f>
        <v>0</v>
      </c>
      <c r="G13" s="618">
        <f>SUM('Apr 27:Jun 27'!I15)</f>
        <v>0</v>
      </c>
      <c r="H13" s="618">
        <f>SUM('Apr 27:Jun 27'!J15)</f>
        <v>0</v>
      </c>
      <c r="I13" s="618">
        <f>SUM('Apr 27:Jun 27'!M15)</f>
        <v>0</v>
      </c>
      <c r="J13" s="618"/>
      <c r="K13" s="618"/>
      <c r="L13" s="618">
        <f>SUM('Apr 27:Jun 27'!O15)</f>
        <v>0</v>
      </c>
      <c r="M13" s="618">
        <f>SUM('Apr 27:Jun 27'!P15)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SUM('Apr 27:Jun 27'!G16)</f>
        <v>0</v>
      </c>
      <c r="G14" s="618">
        <f>SUM('Apr 27:Jun 27'!I16)</f>
        <v>0</v>
      </c>
      <c r="H14" s="618">
        <f>SUM('Apr 27:Jun 27'!J16)</f>
        <v>0</v>
      </c>
      <c r="I14" s="618">
        <f>SUM('Apr 27:Jun 27'!M16)</f>
        <v>0</v>
      </c>
      <c r="J14" s="618"/>
      <c r="K14" s="618"/>
      <c r="L14" s="618">
        <f>SUM('Apr 27:Jun 27'!O16)</f>
        <v>0</v>
      </c>
      <c r="M14" s="618">
        <f>SUM('Apr 27:Jun 27'!P16)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SUM('Apr 27:Jun 27'!G17)</f>
        <v>0</v>
      </c>
      <c r="G15" s="618">
        <f>SUM('Apr 27:Jun 27'!I17)</f>
        <v>0</v>
      </c>
      <c r="H15" s="618">
        <f>SUM('Apr 27:Jun 27'!J17)</f>
        <v>0</v>
      </c>
      <c r="I15" s="618">
        <f>SUM('Apr 27:Jun 27'!M17)</f>
        <v>0</v>
      </c>
      <c r="J15" s="618"/>
      <c r="K15" s="618"/>
      <c r="L15" s="618">
        <f>SUM('Apr 27:Jun 27'!O17)</f>
        <v>0</v>
      </c>
      <c r="M15" s="618">
        <f>SUM('Apr 27:Jun 27'!P17)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SUM('Apr 27:Jun 27'!G18)</f>
        <v>0</v>
      </c>
      <c r="G16" s="618">
        <f>SUM('Apr 27:Jun 27'!I18)</f>
        <v>0</v>
      </c>
      <c r="H16" s="618">
        <f>SUM('Apr 27:Jun 27'!J18)</f>
        <v>0</v>
      </c>
      <c r="I16" s="618">
        <f>SUM('Apr 27:Jun 27'!M18)</f>
        <v>0</v>
      </c>
      <c r="J16" s="618"/>
      <c r="K16" s="618"/>
      <c r="L16" s="618">
        <f>SUM('Apr 27:Jun 27'!O18)</f>
        <v>0</v>
      </c>
      <c r="M16" s="618">
        <f>SUM('Apr 27:Jun 27'!P18)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SUM('Apr 27:Jun 27'!G19)</f>
        <v>0</v>
      </c>
      <c r="G17" s="618">
        <f>SUM('Apr 27:Jun 27'!I19)</f>
        <v>0</v>
      </c>
      <c r="H17" s="618">
        <f>SUM('Apr 27:Jun 27'!J19)</f>
        <v>0</v>
      </c>
      <c r="I17" s="618">
        <f>SUM('Apr 27:Jun 27'!M19)</f>
        <v>0</v>
      </c>
      <c r="J17" s="618"/>
      <c r="K17" s="618"/>
      <c r="L17" s="618">
        <f>SUM('Apr 27:Jun 27'!O19)</f>
        <v>0</v>
      </c>
      <c r="M17" s="618">
        <f>SUM('Apr 27:Jun 27'!P19)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SUM('Apr 27:Jun 27'!G20)</f>
        <v>0</v>
      </c>
      <c r="G18" s="618">
        <f>SUM('Apr 27:Jun 27'!I20)</f>
        <v>0</v>
      </c>
      <c r="H18" s="618">
        <f>SUM('Apr 27:Jun 27'!J20)</f>
        <v>0</v>
      </c>
      <c r="I18" s="618">
        <f>SUM('Apr 27:Jun 27'!M20)</f>
        <v>0</v>
      </c>
      <c r="J18" s="618"/>
      <c r="K18" s="618"/>
      <c r="L18" s="618">
        <f>SUM('Apr 27:Jun 27'!O20)</f>
        <v>0</v>
      </c>
      <c r="M18" s="618">
        <f>SUM('Apr 27:Jun 27'!P20)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SUM('Apr 27:Jun 27'!G21)</f>
        <v>0</v>
      </c>
      <c r="G19" s="618">
        <f>SUM('Apr 27:Jun 27'!I21)</f>
        <v>0</v>
      </c>
      <c r="H19" s="618">
        <f>SUM('Apr 27:Jun 27'!J21)</f>
        <v>0</v>
      </c>
      <c r="I19" s="618">
        <f>SUM('Apr 27:Jun 27'!M21)</f>
        <v>0</v>
      </c>
      <c r="J19" s="618"/>
      <c r="K19" s="618"/>
      <c r="L19" s="618">
        <f>SUM('Apr 27:Jun 27'!O21)</f>
        <v>0</v>
      </c>
      <c r="M19" s="618">
        <f>SUM('Apr 27:Jun 27'!P21)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SUM('Apr 27:Jun 27'!G22)</f>
        <v>0</v>
      </c>
      <c r="G20" s="618">
        <f>SUM('Apr 27:Jun 27'!I22)</f>
        <v>0</v>
      </c>
      <c r="H20" s="618">
        <f>SUM('Apr 27:Jun 27'!J22)</f>
        <v>0</v>
      </c>
      <c r="I20" s="618">
        <f>SUM('Apr 27:Jun 27'!M22)</f>
        <v>0</v>
      </c>
      <c r="J20" s="618"/>
      <c r="K20" s="618"/>
      <c r="L20" s="618">
        <f>SUM('Apr 27:Jun 27'!O22)</f>
        <v>0</v>
      </c>
      <c r="M20" s="618">
        <f>SUM('Apr 27:Jun 27'!P22)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SUM('Apr 27:Jun 27'!G23)</f>
        <v>0</v>
      </c>
      <c r="G21" s="618">
        <f>SUM('Apr 27:Jun 27'!I23)</f>
        <v>0</v>
      </c>
      <c r="H21" s="618">
        <f>SUM('Apr 27:Jun 27'!J23)</f>
        <v>0</v>
      </c>
      <c r="I21" s="618">
        <f>SUM('Apr 27:Jun 27'!M23)</f>
        <v>0</v>
      </c>
      <c r="J21" s="618"/>
      <c r="K21" s="618"/>
      <c r="L21" s="618">
        <f>SUM('Apr 27:Jun 27'!O23)</f>
        <v>0</v>
      </c>
      <c r="M21" s="618">
        <f>SUM('Apr 27:Jun 27'!P23)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SUM('Apr 27:Jun 27'!G24)</f>
        <v>0</v>
      </c>
      <c r="G22" s="618">
        <f>SUM('Apr 27:Jun 27'!I24)</f>
        <v>0</v>
      </c>
      <c r="H22" s="618">
        <f>SUM('Apr 27:Jun 27'!J24)</f>
        <v>0</v>
      </c>
      <c r="I22" s="618">
        <f>SUM('Apr 27:Jun 27'!M24)</f>
        <v>0</v>
      </c>
      <c r="J22" s="618"/>
      <c r="K22" s="618"/>
      <c r="L22" s="618">
        <f>SUM('Apr 27:Jun 27'!O24)</f>
        <v>0</v>
      </c>
      <c r="M22" s="618">
        <f>SUM('Apr 27:Jun 27'!P24)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SUM('Apr 27:Jun 27'!G25)</f>
        <v>0</v>
      </c>
      <c r="G23" s="618">
        <f>SUM('Apr 27:Jun 27'!I25)</f>
        <v>0</v>
      </c>
      <c r="H23" s="618">
        <f>SUM('Apr 27:Jun 27'!J25)</f>
        <v>0</v>
      </c>
      <c r="I23" s="618">
        <f>SUM('Apr 27:Jun 27'!M25)</f>
        <v>0</v>
      </c>
      <c r="J23" s="618"/>
      <c r="K23" s="618"/>
      <c r="L23" s="618">
        <f>SUM('Apr 27:Jun 27'!O25)</f>
        <v>0</v>
      </c>
      <c r="M23" s="618">
        <f>SUM('Apr 27:Jun 27'!P25)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SUM('Apr 27:Jun 27'!G26)</f>
        <v>0</v>
      </c>
      <c r="G24" s="618">
        <f>SUM('Apr 27:Jun 27'!I26)</f>
        <v>0</v>
      </c>
      <c r="H24" s="618">
        <f>SUM('Apr 27:Jun 27'!J26)</f>
        <v>0</v>
      </c>
      <c r="I24" s="618">
        <f>SUM('Apr 27:Jun 27'!M26)</f>
        <v>0</v>
      </c>
      <c r="J24" s="618"/>
      <c r="K24" s="618"/>
      <c r="L24" s="618">
        <f>SUM('Apr 27:Jun 27'!O26)</f>
        <v>0</v>
      </c>
      <c r="M24" s="618">
        <f>SUM('Apr 27:Jun 27'!P26)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SUM('Apr 27:Jun 27'!G27)</f>
        <v>0</v>
      </c>
      <c r="G25" s="618">
        <f>SUM('Apr 27:Jun 27'!I27)</f>
        <v>0</v>
      </c>
      <c r="H25" s="618">
        <f>SUM('Apr 27:Jun 27'!J27)</f>
        <v>0</v>
      </c>
      <c r="I25" s="618">
        <f>SUM('Apr 27:Jun 27'!M27)</f>
        <v>0</v>
      </c>
      <c r="J25" s="618"/>
      <c r="K25" s="618"/>
      <c r="L25" s="618">
        <f>SUM('Apr 27:Jun 27'!O27)</f>
        <v>0</v>
      </c>
      <c r="M25" s="618">
        <f>SUM('Apr 27:Jun 27'!P27)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SUM('Apr 27:Jun 27'!G28)</f>
        <v>0</v>
      </c>
      <c r="G26" s="618">
        <f>SUM('Apr 27:Jun 27'!I28)</f>
        <v>0</v>
      </c>
      <c r="H26" s="618">
        <f>SUM('Apr 27:Jun 27'!J28)</f>
        <v>0</v>
      </c>
      <c r="I26" s="618">
        <f>SUM('Apr 27:Jun 27'!M28)</f>
        <v>0</v>
      </c>
      <c r="J26" s="618"/>
      <c r="K26" s="618"/>
      <c r="L26" s="618">
        <f>SUM('Apr 27:Jun 27'!O28)</f>
        <v>0</v>
      </c>
      <c r="M26" s="618">
        <f>SUM('Apr 27:Jun 27'!P28)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SUM('Apr 27:Jun 27'!G29)</f>
        <v>0</v>
      </c>
      <c r="G27" s="618">
        <f>SUM('Apr 27:Jun 27'!I29)</f>
        <v>0</v>
      </c>
      <c r="H27" s="618">
        <f>SUM('Apr 27:Jun 27'!J29)</f>
        <v>0</v>
      </c>
      <c r="I27" s="618">
        <f>SUM('Apr 27:Jun 27'!M29)</f>
        <v>0</v>
      </c>
      <c r="J27" s="618"/>
      <c r="K27" s="618"/>
      <c r="L27" s="618">
        <f>SUM('Apr 27:Jun 27'!O29)</f>
        <v>0</v>
      </c>
      <c r="M27" s="618">
        <f>SUM('Apr 27:Jun 27'!P29)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SUM('Apr 27:Jun 27'!G30)</f>
        <v>0</v>
      </c>
      <c r="G28" s="618">
        <f>SUM('Apr 27:Jun 27'!I30)</f>
        <v>0</v>
      </c>
      <c r="H28" s="618">
        <f>SUM('Apr 27:Jun 27'!J30)</f>
        <v>0</v>
      </c>
      <c r="I28" s="618">
        <f>SUM('Apr 27:Jun 27'!M30)</f>
        <v>0</v>
      </c>
      <c r="J28" s="618"/>
      <c r="K28" s="618"/>
      <c r="L28" s="618">
        <f>SUM('Apr 27:Jun 27'!O30)</f>
        <v>0</v>
      </c>
      <c r="M28" s="618">
        <f>SUM('Apr 27:Jun 27'!P30)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SUM('Apr 27:Jun 27'!G31)</f>
        <v>0</v>
      </c>
      <c r="G29" s="618">
        <f>SUM('Apr 27:Jun 27'!I31)</f>
        <v>0</v>
      </c>
      <c r="H29" s="618">
        <f>SUM('Apr 27:Jun 27'!J31)</f>
        <v>0</v>
      </c>
      <c r="I29" s="618">
        <f>SUM('Apr 27:Jun 27'!M31)</f>
        <v>0</v>
      </c>
      <c r="J29" s="618"/>
      <c r="K29" s="618"/>
      <c r="L29" s="618">
        <f>SUM('Apr 27:Jun 27'!O31)</f>
        <v>0</v>
      </c>
      <c r="M29" s="618">
        <f>SUM('Apr 27:Jun 27'!P31)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SUM('Apr 27:Jun 27'!G32)</f>
        <v>0</v>
      </c>
      <c r="G30" s="618">
        <f>SUM('Apr 27:Jun 27'!I32)</f>
        <v>0</v>
      </c>
      <c r="H30" s="618">
        <f>SUM('Apr 27:Jun 27'!J32)</f>
        <v>0</v>
      </c>
      <c r="I30" s="618">
        <f>SUM('Apr 27:Jun 27'!M32)</f>
        <v>0</v>
      </c>
      <c r="J30" s="618"/>
      <c r="K30" s="618"/>
      <c r="L30" s="618">
        <f>SUM('Apr 27:Jun 27'!O32)</f>
        <v>0</v>
      </c>
      <c r="M30" s="618">
        <f>SUM('Apr 27:Jun 27'!P32)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SUM('Apr 27:Jun 27'!G33)</f>
        <v>0</v>
      </c>
      <c r="G31" s="618">
        <f>SUM('Apr 27:Jun 27'!I33)</f>
        <v>0</v>
      </c>
      <c r="H31" s="618">
        <f>SUM('Apr 27:Jun 27'!J33)</f>
        <v>0</v>
      </c>
      <c r="I31" s="618">
        <f>SUM('Apr 27:Jun 27'!M33)</f>
        <v>0</v>
      </c>
      <c r="J31" s="618"/>
      <c r="K31" s="618"/>
      <c r="L31" s="618">
        <f>SUM('Apr 27:Jun 27'!O33)</f>
        <v>0</v>
      </c>
      <c r="M31" s="618">
        <f>SUM('Apr 27:Jun 27'!P33)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SUM('Apr 27:Jun 27'!G34)</f>
        <v>0</v>
      </c>
      <c r="G32" s="618">
        <f>SUM('Apr 27:Jun 27'!I34)</f>
        <v>0</v>
      </c>
      <c r="H32" s="618">
        <f>SUM('Apr 27:Jun 27'!J34)</f>
        <v>0</v>
      </c>
      <c r="I32" s="618">
        <f>SUM('Apr 27:Jun 27'!M34)</f>
        <v>0</v>
      </c>
      <c r="J32" s="618"/>
      <c r="K32" s="618"/>
      <c r="L32" s="618">
        <f>SUM('Apr 27:Jun 27'!O34)</f>
        <v>0</v>
      </c>
      <c r="M32" s="618">
        <f>SUM('Apr 27:Jun 27'!P34)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SUM('Apr 27:Jun 27'!G35)</f>
        <v>0</v>
      </c>
      <c r="G33" s="618">
        <f>SUM('Apr 27:Jun 27'!I35)</f>
        <v>0</v>
      </c>
      <c r="H33" s="618">
        <f>SUM('Apr 27:Jun 27'!J35)</f>
        <v>0</v>
      </c>
      <c r="I33" s="618">
        <f>SUM('Apr 27:Jun 27'!M35)</f>
        <v>0</v>
      </c>
      <c r="J33" s="618"/>
      <c r="K33" s="618"/>
      <c r="L33" s="618">
        <f>SUM('Apr 27:Jun 27'!O35)</f>
        <v>0</v>
      </c>
      <c r="M33" s="618">
        <f>SUM('Apr 27:Jun 27'!P35)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JqT0s4k0bbD/O3N87Yd8Jc7/bkSQTWQuD96YyEWh2K8T7BJjFuT/ZfmM45AS1lcCk4iPtNTcYcljz7eoPdaVHQ==" saltValue="hzP5SLy9/9D8Eq89rsY6GA=="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D4747-55CE-4F9C-8A5B-E701243A761F}">
  <sheetPr codeName="Sheet31">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768</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SUM('Jul 27:Sept 27'!G11)</f>
        <v>0</v>
      </c>
      <c r="G9" s="614">
        <f>SUM('Jul 27:Sept 27'!I11)</f>
        <v>0</v>
      </c>
      <c r="H9" s="614">
        <f>SUM('Jul 27:Sept 27'!J11)</f>
        <v>0</v>
      </c>
      <c r="I9" s="614">
        <f>SUM('Jul 27:Sept 27'!M11)</f>
        <v>0</v>
      </c>
      <c r="J9" s="614"/>
      <c r="K9" s="614"/>
      <c r="L9" s="614">
        <f>SUM('Jul 27:Sept 27'!O11)</f>
        <v>0</v>
      </c>
      <c r="M9" s="614">
        <f>SUM('Jul 27:Sept 27'!P11)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SUM('Jul 27:Sept 27'!G12)</f>
        <v>0</v>
      </c>
      <c r="G10" s="618">
        <f>SUM('Jul 27:Sept 27'!I12)</f>
        <v>0</v>
      </c>
      <c r="H10" s="618">
        <f>SUM('Jul 27:Sept 27'!J12)</f>
        <v>0</v>
      </c>
      <c r="I10" s="618">
        <f>SUM('Jul 27:Sept 27'!M12)</f>
        <v>0</v>
      </c>
      <c r="J10" s="618"/>
      <c r="K10" s="618"/>
      <c r="L10" s="618">
        <f>SUM('Jul 27:Sept 27'!O12)</f>
        <v>0</v>
      </c>
      <c r="M10" s="618">
        <f>SUM('Jul 27:Sept 27'!P12)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SUM('Jul 27:Sept 27'!G13)</f>
        <v>0</v>
      </c>
      <c r="G11" s="618">
        <f>SUM('Jul 27:Sept 27'!I13)</f>
        <v>0</v>
      </c>
      <c r="H11" s="618">
        <f>SUM('Jul 27:Sept 27'!J13)</f>
        <v>0</v>
      </c>
      <c r="I11" s="618">
        <f>SUM('Jul 27:Sept 27'!M13)</f>
        <v>0</v>
      </c>
      <c r="J11" s="618"/>
      <c r="K11" s="618"/>
      <c r="L11" s="618">
        <f>SUM('Jul 27:Sept 27'!O13)</f>
        <v>0</v>
      </c>
      <c r="M11" s="618">
        <f>SUM('Jul 27:Sept 27'!P13)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SUM('Jul 27:Sept 27'!G14)</f>
        <v>0</v>
      </c>
      <c r="G12" s="618">
        <f>SUM('Jul 27:Sept 27'!I14)</f>
        <v>0</v>
      </c>
      <c r="H12" s="618">
        <f>SUM('Jul 27:Sept 27'!J14)</f>
        <v>0</v>
      </c>
      <c r="I12" s="618">
        <f>SUM('Jul 27:Sept 27'!M14)</f>
        <v>0</v>
      </c>
      <c r="J12" s="618"/>
      <c r="K12" s="618"/>
      <c r="L12" s="618">
        <f>SUM('Jul 27:Sept 27'!O14)</f>
        <v>0</v>
      </c>
      <c r="M12" s="618">
        <f>SUM('Jul 27:Sept 27'!P14)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SUM('Jul 27:Sept 27'!G15)</f>
        <v>0</v>
      </c>
      <c r="G13" s="618">
        <f>SUM('Jul 27:Sept 27'!I15)</f>
        <v>0</v>
      </c>
      <c r="H13" s="618">
        <f>SUM('Jul 27:Sept 27'!J15)</f>
        <v>0</v>
      </c>
      <c r="I13" s="618">
        <f>SUM('Jul 27:Sept 27'!M15)</f>
        <v>0</v>
      </c>
      <c r="J13" s="618"/>
      <c r="K13" s="618"/>
      <c r="L13" s="618">
        <f>SUM('Jul 27:Sept 27'!O15)</f>
        <v>0</v>
      </c>
      <c r="M13" s="618">
        <f>SUM('Jul 27:Sept 27'!P15)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SUM('Jul 27:Sept 27'!G16)</f>
        <v>0</v>
      </c>
      <c r="G14" s="618">
        <f>SUM('Jul 27:Sept 27'!I16)</f>
        <v>0</v>
      </c>
      <c r="H14" s="618">
        <f>SUM('Jul 27:Sept 27'!J16)</f>
        <v>0</v>
      </c>
      <c r="I14" s="618">
        <f>SUM('Jul 27:Sept 27'!M16)</f>
        <v>0</v>
      </c>
      <c r="J14" s="618"/>
      <c r="K14" s="618"/>
      <c r="L14" s="618">
        <f>SUM('Jul 27:Sept 27'!O16)</f>
        <v>0</v>
      </c>
      <c r="M14" s="618">
        <f>SUM('Jul 27:Sept 27'!P16)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SUM('Jul 27:Sept 27'!G17)</f>
        <v>0</v>
      </c>
      <c r="G15" s="618">
        <f>SUM('Jul 27:Sept 27'!I17)</f>
        <v>0</v>
      </c>
      <c r="H15" s="618">
        <f>SUM('Jul 27:Sept 27'!J17)</f>
        <v>0</v>
      </c>
      <c r="I15" s="618">
        <f>SUM('Jul 27:Sept 27'!M17)</f>
        <v>0</v>
      </c>
      <c r="J15" s="618"/>
      <c r="K15" s="618"/>
      <c r="L15" s="618">
        <f>SUM('Jul 27:Sept 27'!O17)</f>
        <v>0</v>
      </c>
      <c r="M15" s="618">
        <f>SUM('Jul 27:Sept 27'!P17)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SUM('Jul 27:Sept 27'!G18)</f>
        <v>0</v>
      </c>
      <c r="G16" s="618">
        <f>SUM('Jul 27:Sept 27'!I18)</f>
        <v>0</v>
      </c>
      <c r="H16" s="618">
        <f>SUM('Jul 27:Sept 27'!J18)</f>
        <v>0</v>
      </c>
      <c r="I16" s="618">
        <f>SUM('Jul 27:Sept 27'!M18)</f>
        <v>0</v>
      </c>
      <c r="J16" s="618"/>
      <c r="K16" s="618"/>
      <c r="L16" s="618">
        <f>SUM('Jul 27:Sept 27'!O18)</f>
        <v>0</v>
      </c>
      <c r="M16" s="618">
        <f>SUM('Jul 27:Sept 27'!P18)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SUM('Jul 27:Sept 27'!G19)</f>
        <v>0</v>
      </c>
      <c r="G17" s="618">
        <f>SUM('Jul 27:Sept 27'!I19)</f>
        <v>0</v>
      </c>
      <c r="H17" s="618">
        <f>SUM('Jul 27:Sept 27'!J19)</f>
        <v>0</v>
      </c>
      <c r="I17" s="618">
        <f>SUM('Jul 27:Sept 27'!M19)</f>
        <v>0</v>
      </c>
      <c r="J17" s="618"/>
      <c r="K17" s="618"/>
      <c r="L17" s="618">
        <f>SUM('Jul 27:Sept 27'!O19)</f>
        <v>0</v>
      </c>
      <c r="M17" s="618">
        <f>SUM('Jul 27:Sept 27'!P19)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SUM('Jul 27:Sept 27'!G20)</f>
        <v>0</v>
      </c>
      <c r="G18" s="618">
        <f>SUM('Jul 27:Sept 27'!I20)</f>
        <v>0</v>
      </c>
      <c r="H18" s="618">
        <f>SUM('Jul 27:Sept 27'!J20)</f>
        <v>0</v>
      </c>
      <c r="I18" s="618">
        <f>SUM('Jul 27:Sept 27'!M20)</f>
        <v>0</v>
      </c>
      <c r="J18" s="618"/>
      <c r="K18" s="618"/>
      <c r="L18" s="618">
        <f>SUM('Jul 27:Sept 27'!O20)</f>
        <v>0</v>
      </c>
      <c r="M18" s="618">
        <f>SUM('Jul 27:Sept 27'!P20)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SUM('Jul 27:Sept 27'!G21)</f>
        <v>0</v>
      </c>
      <c r="G19" s="618">
        <f>SUM('Jul 27:Sept 27'!I21)</f>
        <v>0</v>
      </c>
      <c r="H19" s="618">
        <f>SUM('Jul 27:Sept 27'!J21)</f>
        <v>0</v>
      </c>
      <c r="I19" s="618">
        <f>SUM('Jul 27:Sept 27'!M21)</f>
        <v>0</v>
      </c>
      <c r="J19" s="618"/>
      <c r="K19" s="618"/>
      <c r="L19" s="618">
        <f>SUM('Jul 27:Sept 27'!O21)</f>
        <v>0</v>
      </c>
      <c r="M19" s="618">
        <f>SUM('Jul 27:Sept 27'!P21)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SUM('Jul 27:Sept 27'!G22)</f>
        <v>0</v>
      </c>
      <c r="G20" s="618">
        <f>SUM('Jul 27:Sept 27'!I22)</f>
        <v>0</v>
      </c>
      <c r="H20" s="618">
        <f>SUM('Jul 27:Sept 27'!J22)</f>
        <v>0</v>
      </c>
      <c r="I20" s="618">
        <f>SUM('Jul 27:Sept 27'!M22)</f>
        <v>0</v>
      </c>
      <c r="J20" s="618"/>
      <c r="K20" s="618"/>
      <c r="L20" s="618">
        <f>SUM('Jul 27:Sept 27'!O22)</f>
        <v>0</v>
      </c>
      <c r="M20" s="618">
        <f>SUM('Jul 27:Sept 27'!P22)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SUM('Jul 27:Sept 27'!G23)</f>
        <v>0</v>
      </c>
      <c r="G21" s="618">
        <f>SUM('Jul 27:Sept 27'!I23)</f>
        <v>0</v>
      </c>
      <c r="H21" s="618">
        <f>SUM('Jul 27:Sept 27'!J23)</f>
        <v>0</v>
      </c>
      <c r="I21" s="618">
        <f>SUM('Jul 27:Sept 27'!M23)</f>
        <v>0</v>
      </c>
      <c r="J21" s="618"/>
      <c r="K21" s="618"/>
      <c r="L21" s="618">
        <f>SUM('Jul 27:Sept 27'!O23)</f>
        <v>0</v>
      </c>
      <c r="M21" s="618">
        <f>SUM('Jul 27:Sept 27'!P23)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SUM('Jul 27:Sept 27'!G24)</f>
        <v>0</v>
      </c>
      <c r="G22" s="618">
        <f>SUM('Jul 27:Sept 27'!I24)</f>
        <v>0</v>
      </c>
      <c r="H22" s="618">
        <f>SUM('Jul 27:Sept 27'!J24)</f>
        <v>0</v>
      </c>
      <c r="I22" s="618">
        <f>SUM('Jul 27:Sept 27'!M24)</f>
        <v>0</v>
      </c>
      <c r="J22" s="618"/>
      <c r="K22" s="618"/>
      <c r="L22" s="618">
        <f>SUM('Jul 27:Sept 27'!O24)</f>
        <v>0</v>
      </c>
      <c r="M22" s="618">
        <f>SUM('Jul 27:Sept 27'!P24)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SUM('Jul 27:Sept 27'!G25)</f>
        <v>0</v>
      </c>
      <c r="G23" s="618">
        <f>SUM('Jul 27:Sept 27'!I25)</f>
        <v>0</v>
      </c>
      <c r="H23" s="618">
        <f>SUM('Jul 27:Sept 27'!J25)</f>
        <v>0</v>
      </c>
      <c r="I23" s="618">
        <f>SUM('Jul 27:Sept 27'!M25)</f>
        <v>0</v>
      </c>
      <c r="J23" s="618"/>
      <c r="K23" s="618"/>
      <c r="L23" s="618">
        <f>SUM('Jul 27:Sept 27'!O25)</f>
        <v>0</v>
      </c>
      <c r="M23" s="618">
        <f>SUM('Jul 27:Sept 27'!P25)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SUM('Jul 27:Sept 27'!G26)</f>
        <v>0</v>
      </c>
      <c r="G24" s="618">
        <f>SUM('Jul 27:Sept 27'!I26)</f>
        <v>0</v>
      </c>
      <c r="H24" s="618">
        <f>SUM('Jul 27:Sept 27'!J26)</f>
        <v>0</v>
      </c>
      <c r="I24" s="618">
        <f>SUM('Jul 27:Sept 27'!M26)</f>
        <v>0</v>
      </c>
      <c r="J24" s="618"/>
      <c r="K24" s="618"/>
      <c r="L24" s="618">
        <f>SUM('Jul 27:Sept 27'!O26)</f>
        <v>0</v>
      </c>
      <c r="M24" s="618">
        <f>SUM('Jul 27:Sept 27'!P26)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SUM('Jul 27:Sept 27'!G27)</f>
        <v>0</v>
      </c>
      <c r="G25" s="618">
        <f>SUM('Jul 27:Sept 27'!I27)</f>
        <v>0</v>
      </c>
      <c r="H25" s="618">
        <f>SUM('Jul 27:Sept 27'!J27)</f>
        <v>0</v>
      </c>
      <c r="I25" s="618">
        <f>SUM('Jul 27:Sept 27'!M27)</f>
        <v>0</v>
      </c>
      <c r="J25" s="618"/>
      <c r="K25" s="618"/>
      <c r="L25" s="618">
        <f>SUM('Jul 27:Sept 27'!O27)</f>
        <v>0</v>
      </c>
      <c r="M25" s="618">
        <f>SUM('Jul 27:Sept 27'!P27)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SUM('Jul 27:Sept 27'!G28)</f>
        <v>0</v>
      </c>
      <c r="G26" s="618">
        <f>SUM('Jul 27:Sept 27'!I28)</f>
        <v>0</v>
      </c>
      <c r="H26" s="618">
        <f>SUM('Jul 27:Sept 27'!J28)</f>
        <v>0</v>
      </c>
      <c r="I26" s="618">
        <f>SUM('Jul 27:Sept 27'!M28)</f>
        <v>0</v>
      </c>
      <c r="J26" s="618"/>
      <c r="K26" s="618"/>
      <c r="L26" s="618">
        <f>SUM('Jul 27:Sept 27'!O28)</f>
        <v>0</v>
      </c>
      <c r="M26" s="618">
        <f>SUM('Jul 27:Sept 27'!P28)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SUM('Jul 27:Sept 27'!G29)</f>
        <v>0</v>
      </c>
      <c r="G27" s="618">
        <f>SUM('Jul 27:Sept 27'!I29)</f>
        <v>0</v>
      </c>
      <c r="H27" s="618">
        <f>SUM('Jul 27:Sept 27'!J29)</f>
        <v>0</v>
      </c>
      <c r="I27" s="618">
        <f>SUM('Jul 27:Sept 27'!M29)</f>
        <v>0</v>
      </c>
      <c r="J27" s="618"/>
      <c r="K27" s="618"/>
      <c r="L27" s="618">
        <f>SUM('Jul 27:Sept 27'!O29)</f>
        <v>0</v>
      </c>
      <c r="M27" s="618">
        <f>SUM('Jul 27:Sept 27'!P29)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SUM('Jul 27:Sept 27'!G30)</f>
        <v>0</v>
      </c>
      <c r="G28" s="618">
        <f>SUM('Jul 27:Sept 27'!I30)</f>
        <v>0</v>
      </c>
      <c r="H28" s="618">
        <f>SUM('Jul 27:Sept 27'!J30)</f>
        <v>0</v>
      </c>
      <c r="I28" s="618">
        <f>SUM('Jul 27:Sept 27'!M30)</f>
        <v>0</v>
      </c>
      <c r="J28" s="618"/>
      <c r="K28" s="618"/>
      <c r="L28" s="618">
        <f>SUM('Jul 27:Sept 27'!O30)</f>
        <v>0</v>
      </c>
      <c r="M28" s="618">
        <f>SUM('Jul 27:Sept 27'!P30)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SUM('Jul 27:Sept 27'!G31)</f>
        <v>0</v>
      </c>
      <c r="G29" s="618">
        <f>SUM('Jul 27:Sept 27'!I31)</f>
        <v>0</v>
      </c>
      <c r="H29" s="618">
        <f>SUM('Jul 27:Sept 27'!J31)</f>
        <v>0</v>
      </c>
      <c r="I29" s="618">
        <f>SUM('Jul 27:Sept 27'!M31)</f>
        <v>0</v>
      </c>
      <c r="J29" s="618"/>
      <c r="K29" s="618"/>
      <c r="L29" s="618">
        <f>SUM('Jul 27:Sept 27'!O31)</f>
        <v>0</v>
      </c>
      <c r="M29" s="618">
        <f>SUM('Jul 27:Sept 27'!P31)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SUM('Jul 27:Sept 27'!G32)</f>
        <v>0</v>
      </c>
      <c r="G30" s="618">
        <f>SUM('Jul 27:Sept 27'!I32)</f>
        <v>0</v>
      </c>
      <c r="H30" s="618">
        <f>SUM('Jul 27:Sept 27'!J32)</f>
        <v>0</v>
      </c>
      <c r="I30" s="618">
        <f>SUM('Jul 27:Sept 27'!M32)</f>
        <v>0</v>
      </c>
      <c r="J30" s="618"/>
      <c r="K30" s="618"/>
      <c r="L30" s="618">
        <f>SUM('Jul 27:Sept 27'!O32)</f>
        <v>0</v>
      </c>
      <c r="M30" s="618">
        <f>SUM('Jul 27:Sept 27'!P32)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SUM('Jul 27:Sept 27'!G33)</f>
        <v>0</v>
      </c>
      <c r="G31" s="618">
        <f>SUM('Jul 27:Sept 27'!I33)</f>
        <v>0</v>
      </c>
      <c r="H31" s="618">
        <f>SUM('Jul 27:Sept 27'!J33)</f>
        <v>0</v>
      </c>
      <c r="I31" s="618">
        <f>SUM('Jul 27:Sept 27'!M33)</f>
        <v>0</v>
      </c>
      <c r="J31" s="618"/>
      <c r="K31" s="618"/>
      <c r="L31" s="618">
        <f>SUM('Jul 27:Sept 27'!O33)</f>
        <v>0</v>
      </c>
      <c r="M31" s="618">
        <f>SUM('Jul 27:Sept 27'!P33)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SUM('Jul 27:Sept 27'!G34)</f>
        <v>0</v>
      </c>
      <c r="G32" s="618">
        <f>SUM('Jul 27:Sept 27'!I34)</f>
        <v>0</v>
      </c>
      <c r="H32" s="618">
        <f>SUM('Jul 27:Sept 27'!J34)</f>
        <v>0</v>
      </c>
      <c r="I32" s="618">
        <f>SUM('Jul 27:Sept 27'!M34)</f>
        <v>0</v>
      </c>
      <c r="J32" s="618"/>
      <c r="K32" s="618"/>
      <c r="L32" s="618">
        <f>SUM('Jul 27:Sept 27'!O34)</f>
        <v>0</v>
      </c>
      <c r="M32" s="618">
        <f>SUM('Jul 27:Sept 27'!P34)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SUM('Jul 27:Sept 27'!G35)</f>
        <v>0</v>
      </c>
      <c r="G33" s="618">
        <f>SUM('Jul 27:Sept 27'!I35)</f>
        <v>0</v>
      </c>
      <c r="H33" s="618">
        <f>SUM('Jul 27:Sept 27'!J35)</f>
        <v>0</v>
      </c>
      <c r="I33" s="618">
        <f>SUM('Jul 27:Sept 27'!M35)</f>
        <v>0</v>
      </c>
      <c r="J33" s="618"/>
      <c r="K33" s="618"/>
      <c r="L33" s="618">
        <f>SUM('Jul 27:Sept 27'!O35)</f>
        <v>0</v>
      </c>
      <c r="M33" s="618">
        <f>SUM('Jul 27:Sept 27'!P35)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u4Yqo4U+7uKk3zzgMpgICsEuA51hb/TX7Wi8ZE0bdzFOqXBd3BDARhzqagYoff9TU3Y7ysSrYXwl/bAiBzcjdw==" saltValue="+ivFnNeydjVrlMgJtqip5Q=="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5B91E-4136-438A-AD63-CC70BB0F711C}">
  <sheetPr codeName="Sheet32">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769</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SUM('Oct 27:Dec 27'!G11)</f>
        <v>0</v>
      </c>
      <c r="G9" s="614">
        <f>SUM('Oct 27:Dec 27'!I11)</f>
        <v>0</v>
      </c>
      <c r="H9" s="614">
        <f>SUM('Oct 27:Dec 27'!J11)</f>
        <v>0</v>
      </c>
      <c r="I9" s="614">
        <f>SUM('Oct 27:Dec 27'!M11)</f>
        <v>0</v>
      </c>
      <c r="J9" s="614"/>
      <c r="K9" s="614"/>
      <c r="L9" s="614">
        <f>SUM('Oct 27:Dec 27'!O11)</f>
        <v>0</v>
      </c>
      <c r="M9" s="614">
        <f>SUM('Oct 27:Dec 27'!P11)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SUM('Oct 27:Dec 27'!G12)</f>
        <v>0</v>
      </c>
      <c r="G10" s="618">
        <f>SUM('Oct 27:Dec 27'!I12)</f>
        <v>0</v>
      </c>
      <c r="H10" s="618">
        <f>SUM('Oct 27:Dec 27'!J12)</f>
        <v>0</v>
      </c>
      <c r="I10" s="618">
        <f>SUM('Oct 27:Dec 27'!M12)</f>
        <v>0</v>
      </c>
      <c r="J10" s="618"/>
      <c r="K10" s="618"/>
      <c r="L10" s="618">
        <f>SUM('Oct 27:Dec 27'!O12)</f>
        <v>0</v>
      </c>
      <c r="M10" s="618">
        <f>SUM('Oct 27:Dec 27'!P12)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SUM('Oct 27:Dec 27'!G13)</f>
        <v>0</v>
      </c>
      <c r="G11" s="618">
        <f>SUM('Oct 27:Dec 27'!I13)</f>
        <v>0</v>
      </c>
      <c r="H11" s="618">
        <f>SUM('Oct 27:Dec 27'!J13)</f>
        <v>0</v>
      </c>
      <c r="I11" s="618">
        <f>SUM('Oct 27:Dec 27'!M13)</f>
        <v>0</v>
      </c>
      <c r="J11" s="618"/>
      <c r="K11" s="618"/>
      <c r="L11" s="618">
        <f>SUM('Oct 27:Dec 27'!O13)</f>
        <v>0</v>
      </c>
      <c r="M11" s="618">
        <f>SUM('Oct 27:Dec 27'!P13)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SUM('Oct 27:Dec 27'!G14)</f>
        <v>0</v>
      </c>
      <c r="G12" s="618">
        <f>SUM('Oct 27:Dec 27'!I14)</f>
        <v>0</v>
      </c>
      <c r="H12" s="618">
        <f>SUM('Oct 27:Dec 27'!J14)</f>
        <v>0</v>
      </c>
      <c r="I12" s="618">
        <f>SUM('Oct 27:Dec 27'!M14)</f>
        <v>0</v>
      </c>
      <c r="J12" s="618"/>
      <c r="K12" s="618"/>
      <c r="L12" s="618">
        <f>SUM('Oct 27:Dec 27'!O14)</f>
        <v>0</v>
      </c>
      <c r="M12" s="618">
        <f>SUM('Oct 27:Dec 27'!P14)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SUM('Oct 27:Dec 27'!G15)</f>
        <v>0</v>
      </c>
      <c r="G13" s="618">
        <f>SUM('Oct 27:Dec 27'!I15)</f>
        <v>0</v>
      </c>
      <c r="H13" s="618">
        <f>SUM('Oct 27:Dec 27'!J15)</f>
        <v>0</v>
      </c>
      <c r="I13" s="618">
        <f>SUM('Oct 27:Dec 27'!M15)</f>
        <v>0</v>
      </c>
      <c r="J13" s="618"/>
      <c r="K13" s="618"/>
      <c r="L13" s="618">
        <f>SUM('Oct 27:Dec 27'!O15)</f>
        <v>0</v>
      </c>
      <c r="M13" s="618">
        <f>SUM('Oct 27:Dec 27'!P15)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SUM('Oct 27:Dec 27'!G16)</f>
        <v>0</v>
      </c>
      <c r="G14" s="618">
        <f>SUM('Oct 27:Dec 27'!I16)</f>
        <v>0</v>
      </c>
      <c r="H14" s="618">
        <f>SUM('Oct 27:Dec 27'!J16)</f>
        <v>0</v>
      </c>
      <c r="I14" s="618">
        <f>SUM('Oct 27:Dec 27'!M16)</f>
        <v>0</v>
      </c>
      <c r="J14" s="618"/>
      <c r="K14" s="618"/>
      <c r="L14" s="618">
        <f>SUM('Oct 27:Dec 27'!O16)</f>
        <v>0</v>
      </c>
      <c r="M14" s="618">
        <f>SUM('Oct 27:Dec 27'!P16)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SUM('Oct 27:Dec 27'!G17)</f>
        <v>0</v>
      </c>
      <c r="G15" s="618">
        <f>SUM('Oct 27:Dec 27'!I17)</f>
        <v>0</v>
      </c>
      <c r="H15" s="618">
        <f>SUM('Oct 27:Dec 27'!J17)</f>
        <v>0</v>
      </c>
      <c r="I15" s="618">
        <f>SUM('Oct 27:Dec 27'!M17)</f>
        <v>0</v>
      </c>
      <c r="J15" s="618"/>
      <c r="K15" s="618"/>
      <c r="L15" s="618">
        <f>SUM('Oct 27:Dec 27'!O17)</f>
        <v>0</v>
      </c>
      <c r="M15" s="618">
        <f>SUM('Oct 27:Dec 27'!P17)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SUM('Oct 27:Dec 27'!G18)</f>
        <v>0</v>
      </c>
      <c r="G16" s="618">
        <f>SUM('Oct 27:Dec 27'!I18)</f>
        <v>0</v>
      </c>
      <c r="H16" s="618">
        <f>SUM('Oct 27:Dec 27'!J18)</f>
        <v>0</v>
      </c>
      <c r="I16" s="618">
        <f>SUM('Oct 27:Dec 27'!M18)</f>
        <v>0</v>
      </c>
      <c r="J16" s="618"/>
      <c r="K16" s="618"/>
      <c r="L16" s="618">
        <f>SUM('Oct 27:Dec 27'!O18)</f>
        <v>0</v>
      </c>
      <c r="M16" s="618">
        <f>SUM('Oct 27:Dec 27'!P18)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SUM('Oct 27:Dec 27'!G19)</f>
        <v>0</v>
      </c>
      <c r="G17" s="618">
        <f>SUM('Oct 27:Dec 27'!I19)</f>
        <v>0</v>
      </c>
      <c r="H17" s="618">
        <f>SUM('Oct 27:Dec 27'!J19)</f>
        <v>0</v>
      </c>
      <c r="I17" s="618">
        <f>SUM('Oct 27:Dec 27'!M19)</f>
        <v>0</v>
      </c>
      <c r="J17" s="618"/>
      <c r="K17" s="618"/>
      <c r="L17" s="618">
        <f>SUM('Oct 27:Dec 27'!O19)</f>
        <v>0</v>
      </c>
      <c r="M17" s="618">
        <f>SUM('Oct 27:Dec 27'!P19)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SUM('Oct 27:Dec 27'!G20)</f>
        <v>0</v>
      </c>
      <c r="G18" s="618">
        <f>SUM('Oct 27:Dec 27'!I20)</f>
        <v>0</v>
      </c>
      <c r="H18" s="618">
        <f>SUM('Oct 27:Dec 27'!J20)</f>
        <v>0</v>
      </c>
      <c r="I18" s="618">
        <f>SUM('Oct 27:Dec 27'!M20)</f>
        <v>0</v>
      </c>
      <c r="J18" s="618"/>
      <c r="K18" s="618"/>
      <c r="L18" s="618">
        <f>SUM('Oct 27:Dec 27'!O20)</f>
        <v>0</v>
      </c>
      <c r="M18" s="618">
        <f>SUM('Oct 27:Dec 27'!P20)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SUM('Oct 27:Dec 27'!G21)</f>
        <v>0</v>
      </c>
      <c r="G19" s="618">
        <f>SUM('Oct 27:Dec 27'!I21)</f>
        <v>0</v>
      </c>
      <c r="H19" s="618">
        <f>SUM('Oct 27:Dec 27'!J21)</f>
        <v>0</v>
      </c>
      <c r="I19" s="618">
        <f>SUM('Oct 27:Dec 27'!M21)</f>
        <v>0</v>
      </c>
      <c r="J19" s="618"/>
      <c r="K19" s="618"/>
      <c r="L19" s="618">
        <f>SUM('Oct 27:Dec 27'!O21)</f>
        <v>0</v>
      </c>
      <c r="M19" s="618">
        <f>SUM('Oct 27:Dec 27'!P21)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SUM('Oct 27:Dec 27'!G22)</f>
        <v>0</v>
      </c>
      <c r="G20" s="618">
        <f>SUM('Oct 27:Dec 27'!I22)</f>
        <v>0</v>
      </c>
      <c r="H20" s="618">
        <f>SUM('Oct 27:Dec 27'!J22)</f>
        <v>0</v>
      </c>
      <c r="I20" s="618">
        <f>SUM('Oct 27:Dec 27'!M22)</f>
        <v>0</v>
      </c>
      <c r="J20" s="618"/>
      <c r="K20" s="618"/>
      <c r="L20" s="618">
        <f>SUM('Oct 27:Dec 27'!O22)</f>
        <v>0</v>
      </c>
      <c r="M20" s="618">
        <f>SUM('Oct 27:Dec 27'!P22)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SUM('Oct 27:Dec 27'!G23)</f>
        <v>0</v>
      </c>
      <c r="G21" s="618">
        <f>SUM('Oct 27:Dec 27'!I23)</f>
        <v>0</v>
      </c>
      <c r="H21" s="618">
        <f>SUM('Oct 27:Dec 27'!J23)</f>
        <v>0</v>
      </c>
      <c r="I21" s="618">
        <f>SUM('Oct 27:Dec 27'!M23)</f>
        <v>0</v>
      </c>
      <c r="J21" s="618"/>
      <c r="K21" s="618"/>
      <c r="L21" s="618">
        <f>SUM('Oct 27:Dec 27'!O23)</f>
        <v>0</v>
      </c>
      <c r="M21" s="618">
        <f>SUM('Oct 27:Dec 27'!P23)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SUM('Oct 27:Dec 27'!G24)</f>
        <v>0</v>
      </c>
      <c r="G22" s="618">
        <f>SUM('Oct 27:Dec 27'!I24)</f>
        <v>0</v>
      </c>
      <c r="H22" s="618">
        <f>SUM('Oct 27:Dec 27'!J24)</f>
        <v>0</v>
      </c>
      <c r="I22" s="618">
        <f>SUM('Oct 27:Dec 27'!M24)</f>
        <v>0</v>
      </c>
      <c r="J22" s="618"/>
      <c r="K22" s="618"/>
      <c r="L22" s="618">
        <f>SUM('Oct 27:Dec 27'!O24)</f>
        <v>0</v>
      </c>
      <c r="M22" s="618">
        <f>SUM('Oct 27:Dec 27'!P24)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SUM('Oct 27:Dec 27'!G25)</f>
        <v>0</v>
      </c>
      <c r="G23" s="618">
        <f>SUM('Oct 27:Dec 27'!I25)</f>
        <v>0</v>
      </c>
      <c r="H23" s="618">
        <f>SUM('Oct 27:Dec 27'!J25)</f>
        <v>0</v>
      </c>
      <c r="I23" s="618">
        <f>SUM('Oct 27:Dec 27'!M25)</f>
        <v>0</v>
      </c>
      <c r="J23" s="618"/>
      <c r="K23" s="618"/>
      <c r="L23" s="618">
        <f>SUM('Oct 27:Dec 27'!O25)</f>
        <v>0</v>
      </c>
      <c r="M23" s="618">
        <f>SUM('Oct 27:Dec 27'!P25)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SUM('Oct 27:Dec 27'!G26)</f>
        <v>0</v>
      </c>
      <c r="G24" s="618">
        <f>SUM('Oct 27:Dec 27'!I26)</f>
        <v>0</v>
      </c>
      <c r="H24" s="618">
        <f>SUM('Oct 27:Dec 27'!J26)</f>
        <v>0</v>
      </c>
      <c r="I24" s="618">
        <f>SUM('Oct 27:Dec 27'!M26)</f>
        <v>0</v>
      </c>
      <c r="J24" s="618"/>
      <c r="K24" s="618"/>
      <c r="L24" s="618">
        <f>SUM('Oct 27:Dec 27'!O26)</f>
        <v>0</v>
      </c>
      <c r="M24" s="618">
        <f>SUM('Oct 27:Dec 27'!P26)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SUM('Oct 27:Dec 27'!G27)</f>
        <v>0</v>
      </c>
      <c r="G25" s="618">
        <f>SUM('Oct 27:Dec 27'!I27)</f>
        <v>0</v>
      </c>
      <c r="H25" s="618">
        <f>SUM('Oct 27:Dec 27'!J27)</f>
        <v>0</v>
      </c>
      <c r="I25" s="618">
        <f>SUM('Oct 27:Dec 27'!M27)</f>
        <v>0</v>
      </c>
      <c r="J25" s="618"/>
      <c r="K25" s="618"/>
      <c r="L25" s="618">
        <f>SUM('Oct 27:Dec 27'!O27)</f>
        <v>0</v>
      </c>
      <c r="M25" s="618">
        <f>SUM('Oct 27:Dec 27'!P27)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SUM('Oct 27:Dec 27'!G28)</f>
        <v>0</v>
      </c>
      <c r="G26" s="618">
        <f>SUM('Oct 27:Dec 27'!I28)</f>
        <v>0</v>
      </c>
      <c r="H26" s="618">
        <f>SUM('Oct 27:Dec 27'!J28)</f>
        <v>0</v>
      </c>
      <c r="I26" s="618">
        <f>SUM('Oct 27:Dec 27'!M28)</f>
        <v>0</v>
      </c>
      <c r="J26" s="618"/>
      <c r="K26" s="618"/>
      <c r="L26" s="618">
        <f>SUM('Oct 27:Dec 27'!O28)</f>
        <v>0</v>
      </c>
      <c r="M26" s="618">
        <f>SUM('Oct 27:Dec 27'!P28)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SUM('Oct 27:Dec 27'!G29)</f>
        <v>0</v>
      </c>
      <c r="G27" s="618">
        <f>SUM('Oct 27:Dec 27'!I29)</f>
        <v>0</v>
      </c>
      <c r="H27" s="618">
        <f>SUM('Oct 27:Dec 27'!J29)</f>
        <v>0</v>
      </c>
      <c r="I27" s="618">
        <f>SUM('Oct 27:Dec 27'!M29)</f>
        <v>0</v>
      </c>
      <c r="J27" s="618"/>
      <c r="K27" s="618"/>
      <c r="L27" s="618">
        <f>SUM('Oct 27:Dec 27'!O29)</f>
        <v>0</v>
      </c>
      <c r="M27" s="618">
        <f>SUM('Oct 27:Dec 27'!P29)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SUM('Oct 27:Dec 27'!G30)</f>
        <v>0</v>
      </c>
      <c r="G28" s="618">
        <f>SUM('Oct 27:Dec 27'!I30)</f>
        <v>0</v>
      </c>
      <c r="H28" s="618">
        <f>SUM('Oct 27:Dec 27'!J30)</f>
        <v>0</v>
      </c>
      <c r="I28" s="618">
        <f>SUM('Oct 27:Dec 27'!M30)</f>
        <v>0</v>
      </c>
      <c r="J28" s="618"/>
      <c r="K28" s="618"/>
      <c r="L28" s="618">
        <f>SUM('Oct 27:Dec 27'!O30)</f>
        <v>0</v>
      </c>
      <c r="M28" s="618">
        <f>SUM('Oct 27:Dec 27'!P30)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SUM('Oct 27:Dec 27'!G31)</f>
        <v>0</v>
      </c>
      <c r="G29" s="618">
        <f>SUM('Oct 27:Dec 27'!I31)</f>
        <v>0</v>
      </c>
      <c r="H29" s="618">
        <f>SUM('Oct 27:Dec 27'!J31)</f>
        <v>0</v>
      </c>
      <c r="I29" s="618">
        <f>SUM('Oct 27:Dec 27'!M31)</f>
        <v>0</v>
      </c>
      <c r="J29" s="618"/>
      <c r="K29" s="618"/>
      <c r="L29" s="618">
        <f>SUM('Oct 27:Dec 27'!O31)</f>
        <v>0</v>
      </c>
      <c r="M29" s="618">
        <f>SUM('Oct 27:Dec 27'!P31)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SUM('Oct 27:Dec 27'!G32)</f>
        <v>0</v>
      </c>
      <c r="G30" s="618">
        <f>SUM('Oct 27:Dec 27'!I32)</f>
        <v>0</v>
      </c>
      <c r="H30" s="618">
        <f>SUM('Oct 27:Dec 27'!J32)</f>
        <v>0</v>
      </c>
      <c r="I30" s="618">
        <f>SUM('Oct 27:Dec 27'!M32)</f>
        <v>0</v>
      </c>
      <c r="J30" s="618"/>
      <c r="K30" s="618"/>
      <c r="L30" s="618">
        <f>SUM('Oct 27:Dec 27'!O32)</f>
        <v>0</v>
      </c>
      <c r="M30" s="618">
        <f>SUM('Oct 27:Dec 27'!P32)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SUM('Oct 27:Dec 27'!G33)</f>
        <v>0</v>
      </c>
      <c r="G31" s="618">
        <f>SUM('Oct 27:Dec 27'!I33)</f>
        <v>0</v>
      </c>
      <c r="H31" s="618">
        <f>SUM('Oct 27:Dec 27'!J33)</f>
        <v>0</v>
      </c>
      <c r="I31" s="618">
        <f>SUM('Oct 27:Dec 27'!M33)</f>
        <v>0</v>
      </c>
      <c r="J31" s="618"/>
      <c r="K31" s="618"/>
      <c r="L31" s="618">
        <f>SUM('Oct 27:Dec 27'!O33)</f>
        <v>0</v>
      </c>
      <c r="M31" s="618">
        <f>SUM('Oct 27:Dec 27'!P33)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SUM('Oct 27:Dec 27'!G34)</f>
        <v>0</v>
      </c>
      <c r="G32" s="618">
        <f>SUM('Oct 27:Dec 27'!I34)</f>
        <v>0</v>
      </c>
      <c r="H32" s="618">
        <f>SUM('Oct 27:Dec 27'!J34)</f>
        <v>0</v>
      </c>
      <c r="I32" s="618">
        <f>SUM('Oct 27:Dec 27'!M34)</f>
        <v>0</v>
      </c>
      <c r="J32" s="618"/>
      <c r="K32" s="618"/>
      <c r="L32" s="618">
        <f>SUM('Oct 27:Dec 27'!O34)</f>
        <v>0</v>
      </c>
      <c r="M32" s="618">
        <f>SUM('Oct 27:Dec 27'!P34)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SUM('Oct 27:Dec 27'!G35)</f>
        <v>0</v>
      </c>
      <c r="G33" s="618">
        <f>SUM('Oct 27:Dec 27'!I35)</f>
        <v>0</v>
      </c>
      <c r="H33" s="618">
        <f>SUM('Oct 27:Dec 27'!J35)</f>
        <v>0</v>
      </c>
      <c r="I33" s="618">
        <f>SUM('Oct 27:Dec 27'!M35)</f>
        <v>0</v>
      </c>
      <c r="J33" s="618"/>
      <c r="K33" s="618"/>
      <c r="L33" s="618">
        <f>SUM('Oct 27:Dec 27'!O35)</f>
        <v>0</v>
      </c>
      <c r="M33" s="618">
        <f>SUM('Oct 27:Dec 27'!P35)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yRQIG7y4W5XVmz+uOAAZkemJ/mEb1BsjPNTq0nXyEMQvxaZ0KWAoUYhAZS3IJVhRPmVOMz4gSAwYVTSAaEL7xw==" saltValue="aO3ebsRUaEY8YZRHHHyn1A=="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05B3-15E1-4014-ADEC-880A20FA1961}">
  <sheetPr codeName="Sheet3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Lzgp/Z4UrktS9Agj/d1HpEkf5jewIIXiRjVXBevGMGLyjfF8L79tQQP6pYk30+mAKocfI5mL31zH3XIN1MiV7w==" saltValue="4VbribWdCYoDE1QdKmngT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7034-2AAE-4BE8-BBCB-BCAFBA6B7387}">
  <sheetPr codeName="Sheet3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1QQcK9ciyPtsWkHgVdTdoe47mXZCkvo+b58vPrToUb0DNP1+b4VYq9L6Pmk6CdgxtxMpOCacV2MU7wHL4bX2PA==" saltValue="z6KE54izMr7d/MvvF1yW6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8134-B04B-4268-AAA9-77023401DB3B}">
  <sheetPr codeName="Sheet35">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wVCRoP+Vl3dLyv3lBExT/8/r4kOSM2QKBAOGtbUq1nSZuWN0fYJMRAlk6HRy7KiMoR07sIuu9xQs/MIF9+ppwQ==" saltValue="kAu7RRNY7DeAFAtW1J8SK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287A-B8F7-4E92-A26D-4617D93FA222}">
  <sheetPr codeName="Sheet3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gUv10LM2A5v9MfG/8+whlcEmcCJYmYuj9UgjkJ4Y5DxYoz0C1jvjrMJuk9ZML25YX/IhdpfeJIBWuTknWJ657A==" saltValue="WGWKYnqgAyIwy+zcvl5HQ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65823-271C-41DE-81E3-150BC9CA7353}">
  <sheetPr codeName="Sheet3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774</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JGb26UAa6Tdf11+qIszCwPa9vfOJ++FZ69rTOV10HoYULbr/+uO5AGLJ5BaTrJpxhXK7B/Y0q5Bk53kdGQGUBg==" saltValue="IPhmOwjH+mczt6yOOHqtL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2701E-23FB-462B-99E6-8AC3E37F846D}">
  <sheetPr codeName="Sheet38">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ZzKxkzLDok11R5v1xtkmUHZYI+SaQtQTLy10LVt9ixNruf77tMVb9wbwVeLN3NtratNYFLcr27j3jLpdR+yKqw==" saltValue="IK+1/fva4sQFeGD5O4IN5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E846-C33F-44C4-A58D-A605A0A198C9}">
  <sheetPr codeName="Sheet3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D7i5EaXBh7jeMrRxtcSaV3eEtHBFklDPwg1hF3Bwao74jc6QWRqLdV2d+y/WfQ6tGl042AFYX1swIwWhw0OH4Q==" saltValue="uKcpG3WVykGVLlR65+Ex0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7DE6-C467-4AD0-8FEB-D15D326C9658}">
  <sheetPr codeName="Sheet4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L88BkxGK1+Jgy/ZmjZAJi6dp67vnju0Jb0aKMV5+f2chc0IusIsCQLE1OzzfietI42yIfmj/PbD+c7qpzzB6hQ==" saltValue="5xIA7SYbRGM6gXokdNMlm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F3BD4-6086-4530-ABB6-0078FEBC1356}">
  <sheetPr codeName="Sheet41">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Sud8avzTpX8gsGjj94YSlbQEW/im4qdOwm3XKVdfnten2boYnrGJQw839J3/FH/PV1CXn29gWAxtSRv5YBGwxA==" saltValue="E7hPxfd1HQtkrnJc2ZJQG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7EA2-CD78-4C5C-AA53-6EA8A3D6A4CC}">
  <sheetPr codeName="Sheet42">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779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v66dIXbhCe/ln9u/4Eu4ix3Swgm3pGJqXVdMhUBtbL6cIpYQ2n3PZJj6CUwN8iBsLJv3fo9uKTEEA7EU/EvcWw==" saltValue="nIIGP1ASciGcabisnE96X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38921-7653-47FA-8A9B-AC2BCD456F24}">
  <sheetPr codeName="Sheet4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HGWwSVV41a+xlrwPPG+VdejlB8f1CyTrwof4mSNsAQNBz9lLWEtmoGVwxQ4lFiXNLuawCMRGp9t7526fahX0Dw==" saltValue="n4gVcH7RQkRbYE+bpiOzs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190D-1C05-4312-B8C8-BA727616E19C}">
  <sheetPr codeName="Sheet4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zW1Fd/3M5LeF0awWgrcHM5eOmmeoiW9NMUhZgrRGnhlFBMIcWftU7MG4hK8JXeuSEXqwKQnXIKxYv9REAn2Ctg==" saltValue="v5N2lVh8mkCvIrVQVwhjH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1775-CF0C-4EBB-B29D-9EF5C5FEAA3E}">
  <sheetPr codeName="Sheet45">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782</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SUM('Jan 28:Mar 28'!G11)</f>
        <v>0</v>
      </c>
      <c r="G9" s="614">
        <f>SUM('Jan 28:Mar 28'!I11)</f>
        <v>0</v>
      </c>
      <c r="H9" s="614">
        <f>SUM('Jan 28:Mar 28'!J11)</f>
        <v>0</v>
      </c>
      <c r="I9" s="614">
        <f>SUM('Jan 28:Mar 28'!M11)</f>
        <v>0</v>
      </c>
      <c r="J9" s="614"/>
      <c r="K9" s="614"/>
      <c r="L9" s="614">
        <f>SUM('Jan 28:Mar 28'!O11)</f>
        <v>0</v>
      </c>
      <c r="M9" s="614">
        <f>SUM('Jan 28:Mar 28'!P11)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SUM('Jan 28:Mar 28'!G12)</f>
        <v>0</v>
      </c>
      <c r="G10" s="618">
        <f>SUM('Jan 28:Mar 28'!I12)</f>
        <v>0</v>
      </c>
      <c r="H10" s="618">
        <f>SUM('Jan 28:Mar 28'!J12)</f>
        <v>0</v>
      </c>
      <c r="I10" s="618">
        <f>SUM('Jan 28:Mar 28'!M12)</f>
        <v>0</v>
      </c>
      <c r="J10" s="618"/>
      <c r="K10" s="618"/>
      <c r="L10" s="618">
        <f>SUM('Jan 28:Mar 28'!O12)</f>
        <v>0</v>
      </c>
      <c r="M10" s="618">
        <f>SUM('Jan 28:Mar 28'!P12)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SUM('Jan 28:Mar 28'!G13)</f>
        <v>0</v>
      </c>
      <c r="G11" s="618">
        <f>SUM('Jan 28:Mar 28'!I13)</f>
        <v>0</v>
      </c>
      <c r="H11" s="618">
        <f>SUM('Jan 28:Mar 28'!J13)</f>
        <v>0</v>
      </c>
      <c r="I11" s="618">
        <f>SUM('Jan 28:Mar 28'!M13)</f>
        <v>0</v>
      </c>
      <c r="J11" s="618"/>
      <c r="K11" s="618"/>
      <c r="L11" s="618">
        <f>SUM('Jan 28:Mar 28'!O13)</f>
        <v>0</v>
      </c>
      <c r="M11" s="618">
        <f>SUM('Jan 28:Mar 28'!P13)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SUM('Jan 28:Mar 28'!G14)</f>
        <v>0</v>
      </c>
      <c r="G12" s="618">
        <f>SUM('Jan 28:Mar 28'!I14)</f>
        <v>0</v>
      </c>
      <c r="H12" s="618">
        <f>SUM('Jan 28:Mar 28'!J14)</f>
        <v>0</v>
      </c>
      <c r="I12" s="618">
        <f>SUM('Jan 28:Mar 28'!M14)</f>
        <v>0</v>
      </c>
      <c r="J12" s="618"/>
      <c r="K12" s="618"/>
      <c r="L12" s="618">
        <f>SUM('Jan 28:Mar 28'!O14)</f>
        <v>0</v>
      </c>
      <c r="M12" s="618">
        <f>SUM('Jan 28:Mar 28'!P14)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SUM('Jan 28:Mar 28'!G15)</f>
        <v>0</v>
      </c>
      <c r="G13" s="618">
        <f>SUM('Jan 28:Mar 28'!I15)</f>
        <v>0</v>
      </c>
      <c r="H13" s="618">
        <f>SUM('Jan 28:Mar 28'!J15)</f>
        <v>0</v>
      </c>
      <c r="I13" s="618">
        <f>SUM('Jan 28:Mar 28'!M15)</f>
        <v>0</v>
      </c>
      <c r="J13" s="618"/>
      <c r="K13" s="618"/>
      <c r="L13" s="618">
        <f>SUM('Jan 28:Mar 28'!O15)</f>
        <v>0</v>
      </c>
      <c r="M13" s="618">
        <f>SUM('Jan 28:Mar 28'!P15)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SUM('Jan 28:Mar 28'!G16)</f>
        <v>0</v>
      </c>
      <c r="G14" s="618">
        <f>SUM('Jan 28:Mar 28'!I16)</f>
        <v>0</v>
      </c>
      <c r="H14" s="618">
        <f>SUM('Jan 28:Mar 28'!J16)</f>
        <v>0</v>
      </c>
      <c r="I14" s="618">
        <f>SUM('Jan 28:Mar 28'!M16)</f>
        <v>0</v>
      </c>
      <c r="J14" s="618"/>
      <c r="K14" s="618"/>
      <c r="L14" s="618">
        <f>SUM('Jan 28:Mar 28'!O16)</f>
        <v>0</v>
      </c>
      <c r="M14" s="618">
        <f>SUM('Jan 28:Mar 28'!P16)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SUM('Jan 28:Mar 28'!G17)</f>
        <v>0</v>
      </c>
      <c r="G15" s="618">
        <f>SUM('Jan 28:Mar 28'!I17)</f>
        <v>0</v>
      </c>
      <c r="H15" s="618">
        <f>SUM('Jan 28:Mar 28'!J17)</f>
        <v>0</v>
      </c>
      <c r="I15" s="618">
        <f>SUM('Jan 28:Mar 28'!M17)</f>
        <v>0</v>
      </c>
      <c r="J15" s="618"/>
      <c r="K15" s="618"/>
      <c r="L15" s="618">
        <f>SUM('Jan 28:Mar 28'!O17)</f>
        <v>0</v>
      </c>
      <c r="M15" s="618">
        <f>SUM('Jan 28:Mar 28'!P17)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SUM('Jan 28:Mar 28'!G18)</f>
        <v>0</v>
      </c>
      <c r="G16" s="618">
        <f>SUM('Jan 28:Mar 28'!I18)</f>
        <v>0</v>
      </c>
      <c r="H16" s="618">
        <f>SUM('Jan 28:Mar 28'!J18)</f>
        <v>0</v>
      </c>
      <c r="I16" s="618">
        <f>SUM('Jan 28:Mar 28'!M18)</f>
        <v>0</v>
      </c>
      <c r="J16" s="618"/>
      <c r="K16" s="618"/>
      <c r="L16" s="618">
        <f>SUM('Jan 28:Mar 28'!O18)</f>
        <v>0</v>
      </c>
      <c r="M16" s="618">
        <f>SUM('Jan 28:Mar 28'!P18)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SUM('Jan 28:Mar 28'!G19)</f>
        <v>0</v>
      </c>
      <c r="G17" s="618">
        <f>SUM('Jan 28:Mar 28'!I19)</f>
        <v>0</v>
      </c>
      <c r="H17" s="618">
        <f>SUM('Jan 28:Mar 28'!J19)</f>
        <v>0</v>
      </c>
      <c r="I17" s="618">
        <f>SUM('Jan 28:Mar 28'!M19)</f>
        <v>0</v>
      </c>
      <c r="J17" s="618"/>
      <c r="K17" s="618"/>
      <c r="L17" s="618">
        <f>SUM('Jan 28:Mar 28'!O19)</f>
        <v>0</v>
      </c>
      <c r="M17" s="618">
        <f>SUM('Jan 28:Mar 28'!P19)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SUM('Jan 28:Mar 28'!G20)</f>
        <v>0</v>
      </c>
      <c r="G18" s="618">
        <f>SUM('Jan 28:Mar 28'!I20)</f>
        <v>0</v>
      </c>
      <c r="H18" s="618">
        <f>SUM('Jan 28:Mar 28'!J20)</f>
        <v>0</v>
      </c>
      <c r="I18" s="618">
        <f>SUM('Jan 28:Mar 28'!M20)</f>
        <v>0</v>
      </c>
      <c r="J18" s="618"/>
      <c r="K18" s="618"/>
      <c r="L18" s="618">
        <f>SUM('Jan 28:Mar 28'!O20)</f>
        <v>0</v>
      </c>
      <c r="M18" s="618">
        <f>SUM('Jan 28:Mar 28'!P20)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SUM('Jan 28:Mar 28'!G21)</f>
        <v>0</v>
      </c>
      <c r="G19" s="618">
        <f>SUM('Jan 28:Mar 28'!I21)</f>
        <v>0</v>
      </c>
      <c r="H19" s="618">
        <f>SUM('Jan 28:Mar 28'!J21)</f>
        <v>0</v>
      </c>
      <c r="I19" s="618">
        <f>SUM('Jan 28:Mar 28'!M21)</f>
        <v>0</v>
      </c>
      <c r="J19" s="618"/>
      <c r="K19" s="618"/>
      <c r="L19" s="618">
        <f>SUM('Jan 28:Mar 28'!O21)</f>
        <v>0</v>
      </c>
      <c r="M19" s="618">
        <f>SUM('Jan 28:Mar 28'!P21)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SUM('Jan 28:Mar 28'!G22)</f>
        <v>0</v>
      </c>
      <c r="G20" s="618">
        <f>SUM('Jan 28:Mar 28'!I22)</f>
        <v>0</v>
      </c>
      <c r="H20" s="618">
        <f>SUM('Jan 28:Mar 28'!J22)</f>
        <v>0</v>
      </c>
      <c r="I20" s="618">
        <f>SUM('Jan 28:Mar 28'!M22)</f>
        <v>0</v>
      </c>
      <c r="J20" s="618"/>
      <c r="K20" s="618"/>
      <c r="L20" s="618">
        <f>SUM('Jan 28:Mar 28'!O22)</f>
        <v>0</v>
      </c>
      <c r="M20" s="618">
        <f>SUM('Jan 28:Mar 28'!P22)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SUM('Jan 28:Mar 28'!G23)</f>
        <v>0</v>
      </c>
      <c r="G21" s="618">
        <f>SUM('Jan 28:Mar 28'!I23)</f>
        <v>0</v>
      </c>
      <c r="H21" s="618">
        <f>SUM('Jan 28:Mar 28'!J23)</f>
        <v>0</v>
      </c>
      <c r="I21" s="618">
        <f>SUM('Jan 28:Mar 28'!M23)</f>
        <v>0</v>
      </c>
      <c r="J21" s="618"/>
      <c r="K21" s="618"/>
      <c r="L21" s="618">
        <f>SUM('Jan 28:Mar 28'!O23)</f>
        <v>0</v>
      </c>
      <c r="M21" s="618">
        <f>SUM('Jan 28:Mar 28'!P23)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SUM('Jan 28:Mar 28'!G24)</f>
        <v>0</v>
      </c>
      <c r="G22" s="618">
        <f>SUM('Jan 28:Mar 28'!I24)</f>
        <v>0</v>
      </c>
      <c r="H22" s="618">
        <f>SUM('Jan 28:Mar 28'!J24)</f>
        <v>0</v>
      </c>
      <c r="I22" s="618">
        <f>SUM('Jan 28:Mar 28'!M24)</f>
        <v>0</v>
      </c>
      <c r="J22" s="618"/>
      <c r="K22" s="618"/>
      <c r="L22" s="618">
        <f>SUM('Jan 28:Mar 28'!O24)</f>
        <v>0</v>
      </c>
      <c r="M22" s="618">
        <f>SUM('Jan 28:Mar 28'!P24)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SUM('Jan 28:Mar 28'!G25)</f>
        <v>0</v>
      </c>
      <c r="G23" s="618">
        <f>SUM('Jan 28:Mar 28'!I25)</f>
        <v>0</v>
      </c>
      <c r="H23" s="618">
        <f>SUM('Jan 28:Mar 28'!J25)</f>
        <v>0</v>
      </c>
      <c r="I23" s="618">
        <f>SUM('Jan 28:Mar 28'!M25)</f>
        <v>0</v>
      </c>
      <c r="J23" s="618"/>
      <c r="K23" s="618"/>
      <c r="L23" s="618">
        <f>SUM('Jan 28:Mar 28'!O25)</f>
        <v>0</v>
      </c>
      <c r="M23" s="618">
        <f>SUM('Jan 28:Mar 28'!P25)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SUM('Jan 28:Mar 28'!G26)</f>
        <v>0</v>
      </c>
      <c r="G24" s="618">
        <f>SUM('Jan 28:Mar 28'!I26)</f>
        <v>0</v>
      </c>
      <c r="H24" s="618">
        <f>SUM('Jan 28:Mar 28'!J26)</f>
        <v>0</v>
      </c>
      <c r="I24" s="618">
        <f>SUM('Jan 28:Mar 28'!M26)</f>
        <v>0</v>
      </c>
      <c r="J24" s="618"/>
      <c r="K24" s="618"/>
      <c r="L24" s="618">
        <f>SUM('Jan 28:Mar 28'!O26)</f>
        <v>0</v>
      </c>
      <c r="M24" s="618">
        <f>SUM('Jan 28:Mar 28'!P26)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SUM('Jan 28:Mar 28'!G27)</f>
        <v>0</v>
      </c>
      <c r="G25" s="618">
        <f>SUM('Jan 28:Mar 28'!I27)</f>
        <v>0</v>
      </c>
      <c r="H25" s="618">
        <f>SUM('Jan 28:Mar 28'!J27)</f>
        <v>0</v>
      </c>
      <c r="I25" s="618">
        <f>SUM('Jan 28:Mar 28'!M27)</f>
        <v>0</v>
      </c>
      <c r="J25" s="618"/>
      <c r="K25" s="618"/>
      <c r="L25" s="618">
        <f>SUM('Jan 28:Mar 28'!O27)</f>
        <v>0</v>
      </c>
      <c r="M25" s="618">
        <f>SUM('Jan 28:Mar 28'!P27)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SUM('Jan 28:Mar 28'!G28)</f>
        <v>0</v>
      </c>
      <c r="G26" s="618">
        <f>SUM('Jan 28:Mar 28'!I28)</f>
        <v>0</v>
      </c>
      <c r="H26" s="618">
        <f>SUM('Jan 28:Mar 28'!J28)</f>
        <v>0</v>
      </c>
      <c r="I26" s="618">
        <f>SUM('Jan 28:Mar 28'!M28)</f>
        <v>0</v>
      </c>
      <c r="J26" s="618"/>
      <c r="K26" s="618"/>
      <c r="L26" s="618">
        <f>SUM('Jan 28:Mar 28'!O28)</f>
        <v>0</v>
      </c>
      <c r="M26" s="618">
        <f>SUM('Jan 28:Mar 28'!P28)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SUM('Jan 28:Mar 28'!G29)</f>
        <v>0</v>
      </c>
      <c r="G27" s="618">
        <f>SUM('Jan 28:Mar 28'!I29)</f>
        <v>0</v>
      </c>
      <c r="H27" s="618">
        <f>SUM('Jan 28:Mar 28'!J29)</f>
        <v>0</v>
      </c>
      <c r="I27" s="618">
        <f>SUM('Jan 28:Mar 28'!M29)</f>
        <v>0</v>
      </c>
      <c r="J27" s="618"/>
      <c r="K27" s="618"/>
      <c r="L27" s="618">
        <f>SUM('Jan 28:Mar 28'!O29)</f>
        <v>0</v>
      </c>
      <c r="M27" s="618">
        <f>SUM('Jan 28:Mar 28'!P29)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SUM('Jan 28:Mar 28'!G30)</f>
        <v>0</v>
      </c>
      <c r="G28" s="618">
        <f>SUM('Jan 28:Mar 28'!I30)</f>
        <v>0</v>
      </c>
      <c r="H28" s="618">
        <f>SUM('Jan 28:Mar 28'!J30)</f>
        <v>0</v>
      </c>
      <c r="I28" s="618">
        <f>SUM('Jan 28:Mar 28'!M30)</f>
        <v>0</v>
      </c>
      <c r="J28" s="618"/>
      <c r="K28" s="618"/>
      <c r="L28" s="618">
        <f>SUM('Jan 28:Mar 28'!O30)</f>
        <v>0</v>
      </c>
      <c r="M28" s="618">
        <f>SUM('Jan 28:Mar 28'!P30)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SUM('Jan 28:Mar 28'!G31)</f>
        <v>0</v>
      </c>
      <c r="G29" s="618">
        <f>SUM('Jan 28:Mar 28'!I31)</f>
        <v>0</v>
      </c>
      <c r="H29" s="618">
        <f>SUM('Jan 28:Mar 28'!J31)</f>
        <v>0</v>
      </c>
      <c r="I29" s="618">
        <f>SUM('Jan 28:Mar 28'!M31)</f>
        <v>0</v>
      </c>
      <c r="J29" s="618"/>
      <c r="K29" s="618"/>
      <c r="L29" s="618">
        <f>SUM('Jan 28:Mar 28'!O31)</f>
        <v>0</v>
      </c>
      <c r="M29" s="618">
        <f>SUM('Jan 28:Mar 28'!P31)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SUM('Jan 28:Mar 28'!G32)</f>
        <v>0</v>
      </c>
      <c r="G30" s="618">
        <f>SUM('Jan 28:Mar 28'!I32)</f>
        <v>0</v>
      </c>
      <c r="H30" s="618">
        <f>SUM('Jan 28:Mar 28'!J32)</f>
        <v>0</v>
      </c>
      <c r="I30" s="618">
        <f>SUM('Jan 28:Mar 28'!M32)</f>
        <v>0</v>
      </c>
      <c r="J30" s="618"/>
      <c r="K30" s="618"/>
      <c r="L30" s="618">
        <f>SUM('Jan 28:Mar 28'!O32)</f>
        <v>0</v>
      </c>
      <c r="M30" s="618">
        <f>SUM('Jan 28:Mar 28'!P32)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SUM('Jan 28:Mar 28'!G33)</f>
        <v>0</v>
      </c>
      <c r="G31" s="618">
        <f>SUM('Jan 28:Mar 28'!I33)</f>
        <v>0</v>
      </c>
      <c r="H31" s="618">
        <f>SUM('Jan 28:Mar 28'!J33)</f>
        <v>0</v>
      </c>
      <c r="I31" s="618">
        <f>SUM('Jan 28:Mar 28'!M33)</f>
        <v>0</v>
      </c>
      <c r="J31" s="618"/>
      <c r="K31" s="618"/>
      <c r="L31" s="618">
        <f>SUM('Jan 28:Mar 28'!O33)</f>
        <v>0</v>
      </c>
      <c r="M31" s="618">
        <f>SUM('Jan 28:Mar 28'!P33)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SUM('Jan 28:Mar 28'!G34)</f>
        <v>0</v>
      </c>
      <c r="G32" s="618">
        <f>SUM('Jan 28:Mar 28'!I34)</f>
        <v>0</v>
      </c>
      <c r="H32" s="618">
        <f>SUM('Jan 28:Mar 28'!J34)</f>
        <v>0</v>
      </c>
      <c r="I32" s="618">
        <f>SUM('Jan 28:Mar 28'!M34)</f>
        <v>0</v>
      </c>
      <c r="J32" s="618"/>
      <c r="K32" s="618"/>
      <c r="L32" s="618">
        <f>SUM('Jan 28:Mar 28'!O34)</f>
        <v>0</v>
      </c>
      <c r="M32" s="618">
        <f>SUM('Jan 28:Mar 28'!P34)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SUM('Jan 28:Mar 28'!G35)</f>
        <v>0</v>
      </c>
      <c r="G33" s="618">
        <f>SUM('Jan 28:Mar 28'!I35)</f>
        <v>0</v>
      </c>
      <c r="H33" s="618">
        <f>SUM('Jan 28:Mar 28'!J35)</f>
        <v>0</v>
      </c>
      <c r="I33" s="618">
        <f>SUM('Jan 28:Mar 28'!M35)</f>
        <v>0</v>
      </c>
      <c r="J33" s="618"/>
      <c r="K33" s="618"/>
      <c r="L33" s="618">
        <f>SUM('Jan 28:Mar 28'!O35)</f>
        <v>0</v>
      </c>
      <c r="M33" s="618">
        <f>SUM('Jan 28:Mar 28'!P35)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1trcR+6+gknwEm2tNMk++GdRg/hoA6Vh3Z1WbgYLoyEtUbAm/4jzHsVEnEGpz1kDjuoJNlcj3yV85oPQZExydw==" saltValue="Sme7AVQJ4Qvpw3WFenUimw=="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5" orientation="landscape" r:id="rId1"/>
  <headerFooter alignWithMargins="0">
    <oddFooter>&amp;LFM-HSS-W01-01&amp;CJanuary 2020&amp;RRev 17.0</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340B-E2E1-4428-877F-20ACCA0B754F}">
  <sheetPr codeName="Sheet46">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783</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SUM('Apr 28:Jun 28'!G11)</f>
        <v>0</v>
      </c>
      <c r="G9" s="614">
        <f>SUM('Apr 28:Jun 28'!I11)</f>
        <v>0</v>
      </c>
      <c r="H9" s="614">
        <f>SUM('Apr 28:Jun 28'!J11)</f>
        <v>0</v>
      </c>
      <c r="I9" s="614">
        <f>SUM('Apr 28:Jun 28'!M11)</f>
        <v>0</v>
      </c>
      <c r="J9" s="614"/>
      <c r="K9" s="614"/>
      <c r="L9" s="614">
        <f>SUM('Apr 28:Jun 28'!O11)</f>
        <v>0</v>
      </c>
      <c r="M9" s="614">
        <f>SUM('Apr 28:Jun 28'!P11)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SUM('Apr 28:Jun 28'!G12)</f>
        <v>0</v>
      </c>
      <c r="G10" s="618">
        <f>SUM('Apr 28:Jun 28'!I12)</f>
        <v>0</v>
      </c>
      <c r="H10" s="618">
        <f>SUM('Apr 28:Jun 28'!J12)</f>
        <v>0</v>
      </c>
      <c r="I10" s="618">
        <f>SUM('Apr 28:Jun 28'!M12)</f>
        <v>0</v>
      </c>
      <c r="J10" s="618"/>
      <c r="K10" s="618"/>
      <c r="L10" s="618">
        <f>SUM('Apr 28:Jun 28'!O12)</f>
        <v>0</v>
      </c>
      <c r="M10" s="618">
        <f>SUM('Apr 28:Jun 28'!P12)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SUM('Apr 28:Jun 28'!G13)</f>
        <v>0</v>
      </c>
      <c r="G11" s="618">
        <f>SUM('Apr 28:Jun 28'!I13)</f>
        <v>0</v>
      </c>
      <c r="H11" s="618">
        <f>SUM('Apr 28:Jun 28'!J13)</f>
        <v>0</v>
      </c>
      <c r="I11" s="618">
        <f>SUM('Apr 28:Jun 28'!M13)</f>
        <v>0</v>
      </c>
      <c r="J11" s="618"/>
      <c r="K11" s="618"/>
      <c r="L11" s="618">
        <f>SUM('Apr 28:Jun 28'!O13)</f>
        <v>0</v>
      </c>
      <c r="M11" s="618">
        <f>SUM('Apr 28:Jun 28'!P13)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SUM('Apr 28:Jun 28'!G14)</f>
        <v>0</v>
      </c>
      <c r="G12" s="618">
        <f>SUM('Apr 28:Jun 28'!I14)</f>
        <v>0</v>
      </c>
      <c r="H12" s="618">
        <f>SUM('Apr 28:Jun 28'!J14)</f>
        <v>0</v>
      </c>
      <c r="I12" s="618">
        <f>SUM('Apr 28:Jun 28'!M14)</f>
        <v>0</v>
      </c>
      <c r="J12" s="618"/>
      <c r="K12" s="618"/>
      <c r="L12" s="618">
        <f>SUM('Apr 28:Jun 28'!O14)</f>
        <v>0</v>
      </c>
      <c r="M12" s="618">
        <f>SUM('Apr 28:Jun 28'!P14)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SUM('Apr 28:Jun 28'!G15)</f>
        <v>0</v>
      </c>
      <c r="G13" s="618">
        <f>SUM('Apr 28:Jun 28'!I15)</f>
        <v>0</v>
      </c>
      <c r="H13" s="618">
        <f>SUM('Apr 28:Jun 28'!J15)</f>
        <v>0</v>
      </c>
      <c r="I13" s="618">
        <f>SUM('Apr 28:Jun 28'!M15)</f>
        <v>0</v>
      </c>
      <c r="J13" s="618"/>
      <c r="K13" s="618"/>
      <c r="L13" s="618">
        <f>SUM('Apr 28:Jun 28'!O15)</f>
        <v>0</v>
      </c>
      <c r="M13" s="618">
        <f>SUM('Apr 28:Jun 28'!P15)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SUM('Apr 28:Jun 28'!G16)</f>
        <v>0</v>
      </c>
      <c r="G14" s="618">
        <f>SUM('Apr 28:Jun 28'!I16)</f>
        <v>0</v>
      </c>
      <c r="H14" s="618">
        <f>SUM('Apr 28:Jun 28'!J16)</f>
        <v>0</v>
      </c>
      <c r="I14" s="618">
        <f>SUM('Apr 28:Jun 28'!M16)</f>
        <v>0</v>
      </c>
      <c r="J14" s="618"/>
      <c r="K14" s="618"/>
      <c r="L14" s="618">
        <f>SUM('Apr 28:Jun 28'!O16)</f>
        <v>0</v>
      </c>
      <c r="M14" s="618">
        <f>SUM('Apr 28:Jun 28'!P16)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SUM('Apr 28:Jun 28'!G17)</f>
        <v>0</v>
      </c>
      <c r="G15" s="618">
        <f>SUM('Apr 28:Jun 28'!I17)</f>
        <v>0</v>
      </c>
      <c r="H15" s="618">
        <f>SUM('Apr 28:Jun 28'!J17)</f>
        <v>0</v>
      </c>
      <c r="I15" s="618">
        <f>SUM('Apr 28:Jun 28'!M17)</f>
        <v>0</v>
      </c>
      <c r="J15" s="618"/>
      <c r="K15" s="618"/>
      <c r="L15" s="618">
        <f>SUM('Apr 28:Jun 28'!O17)</f>
        <v>0</v>
      </c>
      <c r="M15" s="618">
        <f>SUM('Apr 28:Jun 28'!P17)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SUM('Apr 28:Jun 28'!G18)</f>
        <v>0</v>
      </c>
      <c r="G16" s="618">
        <f>SUM('Apr 28:Jun 28'!I18)</f>
        <v>0</v>
      </c>
      <c r="H16" s="618">
        <f>SUM('Apr 28:Jun 28'!J18)</f>
        <v>0</v>
      </c>
      <c r="I16" s="618">
        <f>SUM('Apr 28:Jun 28'!M18)</f>
        <v>0</v>
      </c>
      <c r="J16" s="618"/>
      <c r="K16" s="618"/>
      <c r="L16" s="618">
        <f>SUM('Apr 28:Jun 28'!O18)</f>
        <v>0</v>
      </c>
      <c r="M16" s="618">
        <f>SUM('Apr 28:Jun 28'!P18)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SUM('Apr 28:Jun 28'!G19)</f>
        <v>0</v>
      </c>
      <c r="G17" s="618">
        <f>SUM('Apr 28:Jun 28'!I19)</f>
        <v>0</v>
      </c>
      <c r="H17" s="618">
        <f>SUM('Apr 28:Jun 28'!J19)</f>
        <v>0</v>
      </c>
      <c r="I17" s="618">
        <f>SUM('Apr 28:Jun 28'!M19)</f>
        <v>0</v>
      </c>
      <c r="J17" s="618"/>
      <c r="K17" s="618"/>
      <c r="L17" s="618">
        <f>SUM('Apr 28:Jun 28'!O19)</f>
        <v>0</v>
      </c>
      <c r="M17" s="618">
        <f>SUM('Apr 28:Jun 28'!P19)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SUM('Apr 28:Jun 28'!G20)</f>
        <v>0</v>
      </c>
      <c r="G18" s="618">
        <f>SUM('Apr 28:Jun 28'!I20)</f>
        <v>0</v>
      </c>
      <c r="H18" s="618">
        <f>SUM('Apr 28:Jun 28'!J20)</f>
        <v>0</v>
      </c>
      <c r="I18" s="618">
        <f>SUM('Apr 28:Jun 28'!M20)</f>
        <v>0</v>
      </c>
      <c r="J18" s="618"/>
      <c r="K18" s="618"/>
      <c r="L18" s="618">
        <f>SUM('Apr 28:Jun 28'!O20)</f>
        <v>0</v>
      </c>
      <c r="M18" s="618">
        <f>SUM('Apr 28:Jun 28'!P20)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SUM('Apr 28:Jun 28'!G21)</f>
        <v>0</v>
      </c>
      <c r="G19" s="618">
        <f>SUM('Apr 28:Jun 28'!I21)</f>
        <v>0</v>
      </c>
      <c r="H19" s="618">
        <f>SUM('Apr 28:Jun 28'!J21)</f>
        <v>0</v>
      </c>
      <c r="I19" s="618">
        <f>SUM('Apr 28:Jun 28'!M21)</f>
        <v>0</v>
      </c>
      <c r="J19" s="618"/>
      <c r="K19" s="618"/>
      <c r="L19" s="618">
        <f>SUM('Apr 28:Jun 28'!O21)</f>
        <v>0</v>
      </c>
      <c r="M19" s="618">
        <f>SUM('Apr 28:Jun 28'!P21)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SUM('Apr 28:Jun 28'!G22)</f>
        <v>0</v>
      </c>
      <c r="G20" s="618">
        <f>SUM('Apr 28:Jun 28'!I22)</f>
        <v>0</v>
      </c>
      <c r="H20" s="618">
        <f>SUM('Apr 28:Jun 28'!J22)</f>
        <v>0</v>
      </c>
      <c r="I20" s="618">
        <f>SUM('Apr 28:Jun 28'!M22)</f>
        <v>0</v>
      </c>
      <c r="J20" s="618"/>
      <c r="K20" s="618"/>
      <c r="L20" s="618">
        <f>SUM('Apr 28:Jun 28'!O22)</f>
        <v>0</v>
      </c>
      <c r="M20" s="618">
        <f>SUM('Apr 28:Jun 28'!P22)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SUM('Apr 28:Jun 28'!G23)</f>
        <v>0</v>
      </c>
      <c r="G21" s="618">
        <f>SUM('Apr 28:Jun 28'!I23)</f>
        <v>0</v>
      </c>
      <c r="H21" s="618">
        <f>SUM('Apr 28:Jun 28'!J23)</f>
        <v>0</v>
      </c>
      <c r="I21" s="618">
        <f>SUM('Apr 28:Jun 28'!M23)</f>
        <v>0</v>
      </c>
      <c r="J21" s="618"/>
      <c r="K21" s="618"/>
      <c r="L21" s="618">
        <f>SUM('Apr 28:Jun 28'!O23)</f>
        <v>0</v>
      </c>
      <c r="M21" s="618">
        <f>SUM('Apr 28:Jun 28'!P23)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SUM('Apr 28:Jun 28'!G24)</f>
        <v>0</v>
      </c>
      <c r="G22" s="618">
        <f>SUM('Apr 28:Jun 28'!I24)</f>
        <v>0</v>
      </c>
      <c r="H22" s="618">
        <f>SUM('Apr 28:Jun 28'!J24)</f>
        <v>0</v>
      </c>
      <c r="I22" s="618">
        <f>SUM('Apr 28:Jun 28'!M24)</f>
        <v>0</v>
      </c>
      <c r="J22" s="618"/>
      <c r="K22" s="618"/>
      <c r="L22" s="618">
        <f>SUM('Apr 28:Jun 28'!O24)</f>
        <v>0</v>
      </c>
      <c r="M22" s="618">
        <f>SUM('Apr 28:Jun 28'!P24)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SUM('Apr 28:Jun 28'!G25)</f>
        <v>0</v>
      </c>
      <c r="G23" s="618">
        <f>SUM('Apr 28:Jun 28'!I25)</f>
        <v>0</v>
      </c>
      <c r="H23" s="618">
        <f>SUM('Apr 28:Jun 28'!J25)</f>
        <v>0</v>
      </c>
      <c r="I23" s="618">
        <f>SUM('Apr 28:Jun 28'!M25)</f>
        <v>0</v>
      </c>
      <c r="J23" s="618"/>
      <c r="K23" s="618"/>
      <c r="L23" s="618">
        <f>SUM('Apr 28:Jun 28'!O25)</f>
        <v>0</v>
      </c>
      <c r="M23" s="618">
        <f>SUM('Apr 28:Jun 28'!P25)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SUM('Apr 28:Jun 28'!G26)</f>
        <v>0</v>
      </c>
      <c r="G24" s="618">
        <f>SUM('Apr 28:Jun 28'!I26)</f>
        <v>0</v>
      </c>
      <c r="H24" s="618">
        <f>SUM('Apr 28:Jun 28'!J26)</f>
        <v>0</v>
      </c>
      <c r="I24" s="618">
        <f>SUM('Apr 28:Jun 28'!M26)</f>
        <v>0</v>
      </c>
      <c r="J24" s="618"/>
      <c r="K24" s="618"/>
      <c r="L24" s="618">
        <f>SUM('Apr 28:Jun 28'!O26)</f>
        <v>0</v>
      </c>
      <c r="M24" s="618">
        <f>SUM('Apr 28:Jun 28'!P26)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SUM('Apr 28:Jun 28'!G27)</f>
        <v>0</v>
      </c>
      <c r="G25" s="618">
        <f>SUM('Apr 28:Jun 28'!I27)</f>
        <v>0</v>
      </c>
      <c r="H25" s="618">
        <f>SUM('Apr 28:Jun 28'!J27)</f>
        <v>0</v>
      </c>
      <c r="I25" s="618">
        <f>SUM('Apr 28:Jun 28'!M27)</f>
        <v>0</v>
      </c>
      <c r="J25" s="618"/>
      <c r="K25" s="618"/>
      <c r="L25" s="618">
        <f>SUM('Apr 28:Jun 28'!O27)</f>
        <v>0</v>
      </c>
      <c r="M25" s="618">
        <f>SUM('Apr 28:Jun 28'!P27)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SUM('Apr 28:Jun 28'!G28)</f>
        <v>0</v>
      </c>
      <c r="G26" s="618">
        <f>SUM('Apr 28:Jun 28'!I28)</f>
        <v>0</v>
      </c>
      <c r="H26" s="618">
        <f>SUM('Apr 28:Jun 28'!J28)</f>
        <v>0</v>
      </c>
      <c r="I26" s="618">
        <f>SUM('Apr 28:Jun 28'!M28)</f>
        <v>0</v>
      </c>
      <c r="J26" s="618"/>
      <c r="K26" s="618"/>
      <c r="L26" s="618">
        <f>SUM('Apr 28:Jun 28'!O28)</f>
        <v>0</v>
      </c>
      <c r="M26" s="618">
        <f>SUM('Apr 28:Jun 28'!P28)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SUM('Apr 28:Jun 28'!G29)</f>
        <v>0</v>
      </c>
      <c r="G27" s="618">
        <f>SUM('Apr 28:Jun 28'!I29)</f>
        <v>0</v>
      </c>
      <c r="H27" s="618">
        <f>SUM('Apr 28:Jun 28'!J29)</f>
        <v>0</v>
      </c>
      <c r="I27" s="618">
        <f>SUM('Apr 28:Jun 28'!M29)</f>
        <v>0</v>
      </c>
      <c r="J27" s="618"/>
      <c r="K27" s="618"/>
      <c r="L27" s="618">
        <f>SUM('Apr 28:Jun 28'!O29)</f>
        <v>0</v>
      </c>
      <c r="M27" s="618">
        <f>SUM('Apr 28:Jun 28'!P29)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SUM('Apr 28:Jun 28'!G30)</f>
        <v>0</v>
      </c>
      <c r="G28" s="618">
        <f>SUM('Apr 28:Jun 28'!I30)</f>
        <v>0</v>
      </c>
      <c r="H28" s="618">
        <f>SUM('Apr 28:Jun 28'!J30)</f>
        <v>0</v>
      </c>
      <c r="I28" s="618">
        <f>SUM('Apr 28:Jun 28'!M30)</f>
        <v>0</v>
      </c>
      <c r="J28" s="618"/>
      <c r="K28" s="618"/>
      <c r="L28" s="618">
        <f>SUM('Apr 28:Jun 28'!O30)</f>
        <v>0</v>
      </c>
      <c r="M28" s="618">
        <f>SUM('Apr 28:Jun 28'!P30)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SUM('Apr 28:Jun 28'!G31)</f>
        <v>0</v>
      </c>
      <c r="G29" s="618">
        <f>SUM('Apr 28:Jun 28'!I31)</f>
        <v>0</v>
      </c>
      <c r="H29" s="618">
        <f>SUM('Apr 28:Jun 28'!J31)</f>
        <v>0</v>
      </c>
      <c r="I29" s="618">
        <f>SUM('Apr 28:Jun 28'!M31)</f>
        <v>0</v>
      </c>
      <c r="J29" s="618"/>
      <c r="K29" s="618"/>
      <c r="L29" s="618">
        <f>SUM('Apr 28:Jun 28'!O31)</f>
        <v>0</v>
      </c>
      <c r="M29" s="618">
        <f>SUM('Apr 28:Jun 28'!P31)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SUM('Apr 28:Jun 28'!G32)</f>
        <v>0</v>
      </c>
      <c r="G30" s="618">
        <f>SUM('Apr 28:Jun 28'!I32)</f>
        <v>0</v>
      </c>
      <c r="H30" s="618">
        <f>SUM('Apr 28:Jun 28'!J32)</f>
        <v>0</v>
      </c>
      <c r="I30" s="618">
        <f>SUM('Apr 28:Jun 28'!M32)</f>
        <v>0</v>
      </c>
      <c r="J30" s="618"/>
      <c r="K30" s="618"/>
      <c r="L30" s="618">
        <f>SUM('Apr 28:Jun 28'!O32)</f>
        <v>0</v>
      </c>
      <c r="M30" s="618">
        <f>SUM('Apr 28:Jun 28'!P32)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SUM('Apr 28:Jun 28'!G33)</f>
        <v>0</v>
      </c>
      <c r="G31" s="618">
        <f>SUM('Apr 28:Jun 28'!I33)</f>
        <v>0</v>
      </c>
      <c r="H31" s="618">
        <f>SUM('Apr 28:Jun 28'!J33)</f>
        <v>0</v>
      </c>
      <c r="I31" s="618">
        <f>SUM('Apr 28:Jun 28'!M33)</f>
        <v>0</v>
      </c>
      <c r="J31" s="618"/>
      <c r="K31" s="618"/>
      <c r="L31" s="618">
        <f>SUM('Apr 28:Jun 28'!O33)</f>
        <v>0</v>
      </c>
      <c r="M31" s="618">
        <f>SUM('Apr 28:Jun 28'!P33)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SUM('Apr 28:Jun 28'!G34)</f>
        <v>0</v>
      </c>
      <c r="G32" s="618">
        <f>SUM('Apr 28:Jun 28'!I34)</f>
        <v>0</v>
      </c>
      <c r="H32" s="618">
        <f>SUM('Apr 28:Jun 28'!J34)</f>
        <v>0</v>
      </c>
      <c r="I32" s="618">
        <f>SUM('Apr 28:Jun 28'!M34)</f>
        <v>0</v>
      </c>
      <c r="J32" s="618"/>
      <c r="K32" s="618"/>
      <c r="L32" s="618">
        <f>SUM('Apr 28:Jun 28'!O34)</f>
        <v>0</v>
      </c>
      <c r="M32" s="618">
        <f>SUM('Apr 28:Jun 28'!P34)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SUM('Apr 28:Jun 28'!G35)</f>
        <v>0</v>
      </c>
      <c r="G33" s="618">
        <f>SUM('Apr 28:Jun 28'!I35)</f>
        <v>0</v>
      </c>
      <c r="H33" s="618">
        <f>SUM('Apr 28:Jun 28'!J35)</f>
        <v>0</v>
      </c>
      <c r="I33" s="618">
        <f>SUM('Apr 28:Jun 28'!M35)</f>
        <v>0</v>
      </c>
      <c r="J33" s="618"/>
      <c r="K33" s="618"/>
      <c r="L33" s="618">
        <f>SUM('Apr 28:Jun 28'!O35)</f>
        <v>0</v>
      </c>
      <c r="M33" s="618">
        <f>SUM('Apr 28:Jun 28'!P35)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847tVmQ40Ioe44eDXA2BhF5p+pb95M/Kjp33TxaICuFXJU7iGr5HS9qspaaJrEIeFcSggXlwT/WlQsrGSvl1fA==" saltValue="Vbz/C1VaJpwyb1oR7DcU1Q=="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FEB1-205A-4A12-8EC1-905FD9B21937}">
  <sheetPr codeName="Sheet47">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784</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SUM('Jul 28:Sept 28'!G11)</f>
        <v>0</v>
      </c>
      <c r="G9" s="614">
        <f>SUM('Jul 28:Sept 28'!I11)</f>
        <v>0</v>
      </c>
      <c r="H9" s="614">
        <f>SUM('Jul 28:Sept 28'!J11)</f>
        <v>0</v>
      </c>
      <c r="I9" s="614">
        <f>SUM('Jul 28:Sept 28'!M11)</f>
        <v>0</v>
      </c>
      <c r="J9" s="614"/>
      <c r="K9" s="614"/>
      <c r="L9" s="614">
        <f>SUM('Jul 28:Sept 28'!O11)</f>
        <v>0</v>
      </c>
      <c r="M9" s="614">
        <f>SUM('Jul 28:Sept 28'!P11)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SUM('Jul 28:Sept 28'!G12)</f>
        <v>0</v>
      </c>
      <c r="G10" s="618">
        <f>SUM('Jul 28:Sept 28'!I12)</f>
        <v>0</v>
      </c>
      <c r="H10" s="618">
        <f>SUM('Jul 28:Sept 28'!J12)</f>
        <v>0</v>
      </c>
      <c r="I10" s="618">
        <f>SUM('Jul 28:Sept 28'!M12)</f>
        <v>0</v>
      </c>
      <c r="J10" s="618"/>
      <c r="K10" s="618"/>
      <c r="L10" s="618">
        <f>SUM('Jul 28:Sept 28'!O12)</f>
        <v>0</v>
      </c>
      <c r="M10" s="618">
        <f>SUM('Jul 28:Sept 28'!P12)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SUM('Jul 28:Sept 28'!G13)</f>
        <v>0</v>
      </c>
      <c r="G11" s="618">
        <f>SUM('Jul 28:Sept 28'!I13)</f>
        <v>0</v>
      </c>
      <c r="H11" s="618">
        <f>SUM('Jul 28:Sept 28'!J13)</f>
        <v>0</v>
      </c>
      <c r="I11" s="618">
        <f>SUM('Jul 28:Sept 28'!M13)</f>
        <v>0</v>
      </c>
      <c r="J11" s="618"/>
      <c r="K11" s="618"/>
      <c r="L11" s="618">
        <f>SUM('Jul 28:Sept 28'!O13)</f>
        <v>0</v>
      </c>
      <c r="M11" s="618">
        <f>SUM('Jul 28:Sept 28'!P13)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SUM('Jul 28:Sept 28'!G14)</f>
        <v>0</v>
      </c>
      <c r="G12" s="618">
        <f>SUM('Jul 28:Sept 28'!I14)</f>
        <v>0</v>
      </c>
      <c r="H12" s="618">
        <f>SUM('Jul 28:Sept 28'!J14)</f>
        <v>0</v>
      </c>
      <c r="I12" s="618">
        <f>SUM('Jul 28:Sept 28'!M14)</f>
        <v>0</v>
      </c>
      <c r="J12" s="618"/>
      <c r="K12" s="618"/>
      <c r="L12" s="618">
        <f>SUM('Jul 28:Sept 28'!O14)</f>
        <v>0</v>
      </c>
      <c r="M12" s="618">
        <f>SUM('Jul 28:Sept 28'!P14)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SUM('Jul 28:Sept 28'!G15)</f>
        <v>0</v>
      </c>
      <c r="G13" s="618">
        <f>SUM('Jul 28:Sept 28'!I15)</f>
        <v>0</v>
      </c>
      <c r="H13" s="618">
        <f>SUM('Jul 28:Sept 28'!J15)</f>
        <v>0</v>
      </c>
      <c r="I13" s="618">
        <f>SUM('Jul 28:Sept 28'!M15)</f>
        <v>0</v>
      </c>
      <c r="J13" s="618"/>
      <c r="K13" s="618"/>
      <c r="L13" s="618">
        <f>SUM('Jul 28:Sept 28'!O15)</f>
        <v>0</v>
      </c>
      <c r="M13" s="618">
        <f>SUM('Jul 28:Sept 28'!P15)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SUM('Jul 28:Sept 28'!G16)</f>
        <v>0</v>
      </c>
      <c r="G14" s="618">
        <f>SUM('Jul 28:Sept 28'!I16)</f>
        <v>0</v>
      </c>
      <c r="H14" s="618">
        <f>SUM('Jul 28:Sept 28'!J16)</f>
        <v>0</v>
      </c>
      <c r="I14" s="618">
        <f>SUM('Jul 28:Sept 28'!M16)</f>
        <v>0</v>
      </c>
      <c r="J14" s="618"/>
      <c r="K14" s="618"/>
      <c r="L14" s="618">
        <f>SUM('Jul 28:Sept 28'!O16)</f>
        <v>0</v>
      </c>
      <c r="M14" s="618">
        <f>SUM('Jul 28:Sept 28'!P16)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SUM('Jul 28:Sept 28'!G17)</f>
        <v>0</v>
      </c>
      <c r="G15" s="618">
        <f>SUM('Jul 28:Sept 28'!I17)</f>
        <v>0</v>
      </c>
      <c r="H15" s="618">
        <f>SUM('Jul 28:Sept 28'!J17)</f>
        <v>0</v>
      </c>
      <c r="I15" s="618">
        <f>SUM('Jul 28:Sept 28'!M17)</f>
        <v>0</v>
      </c>
      <c r="J15" s="618"/>
      <c r="K15" s="618"/>
      <c r="L15" s="618">
        <f>SUM('Jul 28:Sept 28'!O17)</f>
        <v>0</v>
      </c>
      <c r="M15" s="618">
        <f>SUM('Jul 28:Sept 28'!P17)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SUM('Jul 28:Sept 28'!G18)</f>
        <v>0</v>
      </c>
      <c r="G16" s="618">
        <f>SUM('Jul 28:Sept 28'!I18)</f>
        <v>0</v>
      </c>
      <c r="H16" s="618">
        <f>SUM('Jul 28:Sept 28'!J18)</f>
        <v>0</v>
      </c>
      <c r="I16" s="618">
        <f>SUM('Jul 28:Sept 28'!M18)</f>
        <v>0</v>
      </c>
      <c r="J16" s="618"/>
      <c r="K16" s="618"/>
      <c r="L16" s="618">
        <f>SUM('Jul 28:Sept 28'!O18)</f>
        <v>0</v>
      </c>
      <c r="M16" s="618">
        <f>SUM('Jul 28:Sept 28'!P18)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SUM('Jul 28:Sept 28'!G19)</f>
        <v>0</v>
      </c>
      <c r="G17" s="618">
        <f>SUM('Jul 28:Sept 28'!I19)</f>
        <v>0</v>
      </c>
      <c r="H17" s="618">
        <f>SUM('Jul 28:Sept 28'!J19)</f>
        <v>0</v>
      </c>
      <c r="I17" s="618">
        <f>SUM('Jul 28:Sept 28'!M19)</f>
        <v>0</v>
      </c>
      <c r="J17" s="618"/>
      <c r="K17" s="618"/>
      <c r="L17" s="618">
        <f>SUM('Jul 28:Sept 28'!O19)</f>
        <v>0</v>
      </c>
      <c r="M17" s="618">
        <f>SUM('Jul 28:Sept 28'!P19)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SUM('Jul 28:Sept 28'!G20)</f>
        <v>0</v>
      </c>
      <c r="G18" s="618">
        <f>SUM('Jul 28:Sept 28'!I20)</f>
        <v>0</v>
      </c>
      <c r="H18" s="618">
        <f>SUM('Jul 28:Sept 28'!J20)</f>
        <v>0</v>
      </c>
      <c r="I18" s="618">
        <f>SUM('Jul 28:Sept 28'!M20)</f>
        <v>0</v>
      </c>
      <c r="J18" s="618"/>
      <c r="K18" s="618"/>
      <c r="L18" s="618">
        <f>SUM('Jul 28:Sept 28'!O20)</f>
        <v>0</v>
      </c>
      <c r="M18" s="618">
        <f>SUM('Jul 28:Sept 28'!P20)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SUM('Jul 28:Sept 28'!G21)</f>
        <v>0</v>
      </c>
      <c r="G19" s="618">
        <f>SUM('Jul 28:Sept 28'!I21)</f>
        <v>0</v>
      </c>
      <c r="H19" s="618">
        <f>SUM('Jul 28:Sept 28'!J21)</f>
        <v>0</v>
      </c>
      <c r="I19" s="618">
        <f>SUM('Jul 28:Sept 28'!M21)</f>
        <v>0</v>
      </c>
      <c r="J19" s="618"/>
      <c r="K19" s="618"/>
      <c r="L19" s="618">
        <f>SUM('Jul 28:Sept 28'!O21)</f>
        <v>0</v>
      </c>
      <c r="M19" s="618">
        <f>SUM('Jul 28:Sept 28'!P21)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SUM('Jul 28:Sept 28'!G22)</f>
        <v>0</v>
      </c>
      <c r="G20" s="618">
        <f>SUM('Jul 28:Sept 28'!I22)</f>
        <v>0</v>
      </c>
      <c r="H20" s="618">
        <f>SUM('Jul 28:Sept 28'!J22)</f>
        <v>0</v>
      </c>
      <c r="I20" s="618">
        <f>SUM('Jul 28:Sept 28'!M22)</f>
        <v>0</v>
      </c>
      <c r="J20" s="618"/>
      <c r="K20" s="618"/>
      <c r="L20" s="618">
        <f>SUM('Jul 28:Sept 28'!O22)</f>
        <v>0</v>
      </c>
      <c r="M20" s="618">
        <f>SUM('Jul 28:Sept 28'!P22)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SUM('Jul 28:Sept 28'!G23)</f>
        <v>0</v>
      </c>
      <c r="G21" s="618">
        <f>SUM('Jul 28:Sept 28'!I23)</f>
        <v>0</v>
      </c>
      <c r="H21" s="618">
        <f>SUM('Jul 28:Sept 28'!J23)</f>
        <v>0</v>
      </c>
      <c r="I21" s="618">
        <f>SUM('Jul 28:Sept 28'!M23)</f>
        <v>0</v>
      </c>
      <c r="J21" s="618"/>
      <c r="K21" s="618"/>
      <c r="L21" s="618">
        <f>SUM('Jul 28:Sept 28'!O23)</f>
        <v>0</v>
      </c>
      <c r="M21" s="618">
        <f>SUM('Jul 28:Sept 28'!P23)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SUM('Jul 28:Sept 28'!G24)</f>
        <v>0</v>
      </c>
      <c r="G22" s="618">
        <f>SUM('Jul 28:Sept 28'!I24)</f>
        <v>0</v>
      </c>
      <c r="H22" s="618">
        <f>SUM('Jul 28:Sept 28'!J24)</f>
        <v>0</v>
      </c>
      <c r="I22" s="618">
        <f>SUM('Jul 28:Sept 28'!M24)</f>
        <v>0</v>
      </c>
      <c r="J22" s="618"/>
      <c r="K22" s="618"/>
      <c r="L22" s="618">
        <f>SUM('Jul 28:Sept 28'!O24)</f>
        <v>0</v>
      </c>
      <c r="M22" s="618">
        <f>SUM('Jul 28:Sept 28'!P24)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SUM('Jul 28:Sept 28'!G25)</f>
        <v>0</v>
      </c>
      <c r="G23" s="618">
        <f>SUM('Jul 28:Sept 28'!I25)</f>
        <v>0</v>
      </c>
      <c r="H23" s="618">
        <f>SUM('Jul 28:Sept 28'!J25)</f>
        <v>0</v>
      </c>
      <c r="I23" s="618">
        <f>SUM('Jul 28:Sept 28'!M25)</f>
        <v>0</v>
      </c>
      <c r="J23" s="618"/>
      <c r="K23" s="618"/>
      <c r="L23" s="618">
        <f>SUM('Jul 28:Sept 28'!O25)</f>
        <v>0</v>
      </c>
      <c r="M23" s="618">
        <f>SUM('Jul 28:Sept 28'!P25)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SUM('Jul 28:Sept 28'!G26)</f>
        <v>0</v>
      </c>
      <c r="G24" s="618">
        <f>SUM('Jul 28:Sept 28'!I26)</f>
        <v>0</v>
      </c>
      <c r="H24" s="618">
        <f>SUM('Jul 28:Sept 28'!J26)</f>
        <v>0</v>
      </c>
      <c r="I24" s="618">
        <f>SUM('Jul 28:Sept 28'!M26)</f>
        <v>0</v>
      </c>
      <c r="J24" s="618"/>
      <c r="K24" s="618"/>
      <c r="L24" s="618">
        <f>SUM('Jul 28:Sept 28'!O26)</f>
        <v>0</v>
      </c>
      <c r="M24" s="618">
        <f>SUM('Jul 28:Sept 28'!P26)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SUM('Jul 28:Sept 28'!G27)</f>
        <v>0</v>
      </c>
      <c r="G25" s="618">
        <f>SUM('Jul 28:Sept 28'!I27)</f>
        <v>0</v>
      </c>
      <c r="H25" s="618">
        <f>SUM('Jul 28:Sept 28'!J27)</f>
        <v>0</v>
      </c>
      <c r="I25" s="618">
        <f>SUM('Jul 28:Sept 28'!M27)</f>
        <v>0</v>
      </c>
      <c r="J25" s="618"/>
      <c r="K25" s="618"/>
      <c r="L25" s="618">
        <f>SUM('Jul 28:Sept 28'!O27)</f>
        <v>0</v>
      </c>
      <c r="M25" s="618">
        <f>SUM('Jul 28:Sept 28'!P27)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SUM('Jul 28:Sept 28'!G28)</f>
        <v>0</v>
      </c>
      <c r="G26" s="618">
        <f>SUM('Jul 28:Sept 28'!I28)</f>
        <v>0</v>
      </c>
      <c r="H26" s="618">
        <f>SUM('Jul 28:Sept 28'!J28)</f>
        <v>0</v>
      </c>
      <c r="I26" s="618">
        <f>SUM('Jul 28:Sept 28'!M28)</f>
        <v>0</v>
      </c>
      <c r="J26" s="618"/>
      <c r="K26" s="618"/>
      <c r="L26" s="618">
        <f>SUM('Jul 28:Sept 28'!O28)</f>
        <v>0</v>
      </c>
      <c r="M26" s="618">
        <f>SUM('Jul 28:Sept 28'!P28)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SUM('Jul 28:Sept 28'!G29)</f>
        <v>0</v>
      </c>
      <c r="G27" s="618">
        <f>SUM('Jul 28:Sept 28'!I29)</f>
        <v>0</v>
      </c>
      <c r="H27" s="618">
        <f>SUM('Jul 28:Sept 28'!J29)</f>
        <v>0</v>
      </c>
      <c r="I27" s="618">
        <f>SUM('Jul 28:Sept 28'!M29)</f>
        <v>0</v>
      </c>
      <c r="J27" s="618"/>
      <c r="K27" s="618"/>
      <c r="L27" s="618">
        <f>SUM('Jul 28:Sept 28'!O29)</f>
        <v>0</v>
      </c>
      <c r="M27" s="618">
        <f>SUM('Jul 28:Sept 28'!P29)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SUM('Jul 28:Sept 28'!G30)</f>
        <v>0</v>
      </c>
      <c r="G28" s="618">
        <f>SUM('Jul 28:Sept 28'!I30)</f>
        <v>0</v>
      </c>
      <c r="H28" s="618">
        <f>SUM('Jul 28:Sept 28'!J30)</f>
        <v>0</v>
      </c>
      <c r="I28" s="618">
        <f>SUM('Jul 28:Sept 28'!M30)</f>
        <v>0</v>
      </c>
      <c r="J28" s="618"/>
      <c r="K28" s="618"/>
      <c r="L28" s="618">
        <f>SUM('Jul 28:Sept 28'!O30)</f>
        <v>0</v>
      </c>
      <c r="M28" s="618">
        <f>SUM('Jul 28:Sept 28'!P30)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SUM('Jul 28:Sept 28'!G31)</f>
        <v>0</v>
      </c>
      <c r="G29" s="618">
        <f>SUM('Jul 28:Sept 28'!I31)</f>
        <v>0</v>
      </c>
      <c r="H29" s="618">
        <f>SUM('Jul 28:Sept 28'!J31)</f>
        <v>0</v>
      </c>
      <c r="I29" s="618">
        <f>SUM('Jul 28:Sept 28'!M31)</f>
        <v>0</v>
      </c>
      <c r="J29" s="618"/>
      <c r="K29" s="618"/>
      <c r="L29" s="618">
        <f>SUM('Jul 28:Sept 28'!O31)</f>
        <v>0</v>
      </c>
      <c r="M29" s="618">
        <f>SUM('Jul 28:Sept 28'!P31)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SUM('Jul 28:Sept 28'!G32)</f>
        <v>0</v>
      </c>
      <c r="G30" s="618">
        <f>SUM('Jul 28:Sept 28'!I32)</f>
        <v>0</v>
      </c>
      <c r="H30" s="618">
        <f>SUM('Jul 28:Sept 28'!J32)</f>
        <v>0</v>
      </c>
      <c r="I30" s="618">
        <f>SUM('Jul 28:Sept 28'!M32)</f>
        <v>0</v>
      </c>
      <c r="J30" s="618"/>
      <c r="K30" s="618"/>
      <c r="L30" s="618">
        <f>SUM('Jul 28:Sept 28'!O32)</f>
        <v>0</v>
      </c>
      <c r="M30" s="618">
        <f>SUM('Jul 28:Sept 28'!P32)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SUM('Jul 28:Sept 28'!G33)</f>
        <v>0</v>
      </c>
      <c r="G31" s="618">
        <f>SUM('Jul 28:Sept 28'!I33)</f>
        <v>0</v>
      </c>
      <c r="H31" s="618">
        <f>SUM('Jul 28:Sept 28'!J33)</f>
        <v>0</v>
      </c>
      <c r="I31" s="618">
        <f>SUM('Jul 28:Sept 28'!M33)</f>
        <v>0</v>
      </c>
      <c r="J31" s="618"/>
      <c r="K31" s="618"/>
      <c r="L31" s="618">
        <f>SUM('Jul 28:Sept 28'!O33)</f>
        <v>0</v>
      </c>
      <c r="M31" s="618">
        <f>SUM('Jul 28:Sept 28'!P33)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SUM('Jul 28:Sept 28'!G34)</f>
        <v>0</v>
      </c>
      <c r="G32" s="618">
        <f>SUM('Jul 28:Sept 28'!I34)</f>
        <v>0</v>
      </c>
      <c r="H32" s="618">
        <f>SUM('Jul 28:Sept 28'!J34)</f>
        <v>0</v>
      </c>
      <c r="I32" s="618">
        <f>SUM('Jul 28:Sept 28'!M34)</f>
        <v>0</v>
      </c>
      <c r="J32" s="618"/>
      <c r="K32" s="618"/>
      <c r="L32" s="618">
        <f>SUM('Jul 28:Sept 28'!O34)</f>
        <v>0</v>
      </c>
      <c r="M32" s="618">
        <f>SUM('Jul 28:Sept 28'!P34)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SUM('Jul 28:Sept 28'!G35)</f>
        <v>0</v>
      </c>
      <c r="G33" s="618">
        <f>SUM('Jul 28:Sept 28'!I35)</f>
        <v>0</v>
      </c>
      <c r="H33" s="618">
        <f>SUM('Jul 28:Sept 28'!J35)</f>
        <v>0</v>
      </c>
      <c r="I33" s="618">
        <f>SUM('Jul 28:Sept 28'!M35)</f>
        <v>0</v>
      </c>
      <c r="J33" s="618"/>
      <c r="K33" s="618"/>
      <c r="L33" s="618">
        <f>SUM('Jul 28:Sept 28'!O35)</f>
        <v>0</v>
      </c>
      <c r="M33" s="618">
        <f>SUM('Jul 28:Sept 28'!P35)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ifehLZ7lhicmdQziP/fvikvxFPF0OGzV2B16JiY+PfNnjX7qVXc8D0kctSt5yxwhhAu53AWQTwJMs47L/Ga9rw==" saltValue="RyN59cWH9jkic1x8pWN+zQ=="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B616-9D5B-4CD2-9A4D-173C9CEB3EFA}">
  <sheetPr codeName="Sheet48">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785</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SUM('Oct 28:Dec 28'!G11)</f>
        <v>0</v>
      </c>
      <c r="G9" s="614">
        <f>SUM('Oct 28:Dec 28'!I11)</f>
        <v>0</v>
      </c>
      <c r="H9" s="614">
        <f>SUM('Oct 28:Dec 28'!J11)</f>
        <v>0</v>
      </c>
      <c r="I9" s="614">
        <f>SUM('Oct 28:Dec 28'!M11)</f>
        <v>0</v>
      </c>
      <c r="J9" s="614"/>
      <c r="K9" s="614"/>
      <c r="L9" s="614">
        <f>SUM('Oct 28:Dec 28'!O11)</f>
        <v>0</v>
      </c>
      <c r="M9" s="614">
        <f>SUM('Oct 28:Dec 28'!P11)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SUM('Oct 28:Dec 28'!G12)</f>
        <v>0</v>
      </c>
      <c r="G10" s="618">
        <f>SUM('Oct 28:Dec 28'!I12)</f>
        <v>0</v>
      </c>
      <c r="H10" s="618">
        <f>SUM('Oct 28:Dec 28'!J12)</f>
        <v>0</v>
      </c>
      <c r="I10" s="618">
        <f>SUM('Oct 28:Dec 28'!M12)</f>
        <v>0</v>
      </c>
      <c r="J10" s="618"/>
      <c r="K10" s="618"/>
      <c r="L10" s="618">
        <f>SUM('Oct 28:Dec 28'!O12)</f>
        <v>0</v>
      </c>
      <c r="M10" s="618">
        <f>SUM('Oct 28:Dec 28'!P12)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SUM('Oct 28:Dec 28'!G13)</f>
        <v>0</v>
      </c>
      <c r="G11" s="618">
        <f>SUM('Oct 28:Dec 28'!I13)</f>
        <v>0</v>
      </c>
      <c r="H11" s="618">
        <f>SUM('Oct 28:Dec 28'!J13)</f>
        <v>0</v>
      </c>
      <c r="I11" s="618">
        <f>SUM('Oct 28:Dec 28'!M13)</f>
        <v>0</v>
      </c>
      <c r="J11" s="618"/>
      <c r="K11" s="618"/>
      <c r="L11" s="618">
        <f>SUM('Oct 28:Dec 28'!O13)</f>
        <v>0</v>
      </c>
      <c r="M11" s="618">
        <f>SUM('Oct 28:Dec 28'!P13)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SUM('Oct 28:Dec 28'!G14)</f>
        <v>0</v>
      </c>
      <c r="G12" s="618">
        <f>SUM('Oct 28:Dec 28'!I14)</f>
        <v>0</v>
      </c>
      <c r="H12" s="618">
        <f>SUM('Oct 28:Dec 28'!J14)</f>
        <v>0</v>
      </c>
      <c r="I12" s="618">
        <f>SUM('Oct 28:Dec 28'!M14)</f>
        <v>0</v>
      </c>
      <c r="J12" s="618"/>
      <c r="K12" s="618"/>
      <c r="L12" s="618">
        <f>SUM('Oct 28:Dec 28'!O14)</f>
        <v>0</v>
      </c>
      <c r="M12" s="618">
        <f>SUM('Oct 28:Dec 28'!P14)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SUM('Oct 28:Dec 28'!G15)</f>
        <v>0</v>
      </c>
      <c r="G13" s="618">
        <f>SUM('Oct 28:Dec 28'!I15)</f>
        <v>0</v>
      </c>
      <c r="H13" s="618">
        <f>SUM('Oct 28:Dec 28'!J15)</f>
        <v>0</v>
      </c>
      <c r="I13" s="618">
        <f>SUM('Oct 28:Dec 28'!M15)</f>
        <v>0</v>
      </c>
      <c r="J13" s="618"/>
      <c r="K13" s="618"/>
      <c r="L13" s="618">
        <f>SUM('Oct 28:Dec 28'!O15)</f>
        <v>0</v>
      </c>
      <c r="M13" s="618">
        <f>SUM('Oct 28:Dec 28'!P15)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SUM('Oct 28:Dec 28'!G16)</f>
        <v>0</v>
      </c>
      <c r="G14" s="618">
        <f>SUM('Oct 28:Dec 28'!I16)</f>
        <v>0</v>
      </c>
      <c r="H14" s="618">
        <f>SUM('Oct 28:Dec 28'!J16)</f>
        <v>0</v>
      </c>
      <c r="I14" s="618">
        <f>SUM('Oct 28:Dec 28'!M16)</f>
        <v>0</v>
      </c>
      <c r="J14" s="618"/>
      <c r="K14" s="618"/>
      <c r="L14" s="618">
        <f>SUM('Oct 28:Dec 28'!O16)</f>
        <v>0</v>
      </c>
      <c r="M14" s="618">
        <f>SUM('Oct 28:Dec 28'!P16)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SUM('Oct 28:Dec 28'!G17)</f>
        <v>0</v>
      </c>
      <c r="G15" s="618">
        <f>SUM('Oct 28:Dec 28'!I17)</f>
        <v>0</v>
      </c>
      <c r="H15" s="618">
        <f>SUM('Oct 28:Dec 28'!J17)</f>
        <v>0</v>
      </c>
      <c r="I15" s="618">
        <f>SUM('Oct 28:Dec 28'!M17)</f>
        <v>0</v>
      </c>
      <c r="J15" s="618"/>
      <c r="K15" s="618"/>
      <c r="L15" s="618">
        <f>SUM('Oct 28:Dec 28'!O17)</f>
        <v>0</v>
      </c>
      <c r="M15" s="618">
        <f>SUM('Oct 28:Dec 28'!P17)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SUM('Oct 28:Dec 28'!G18)</f>
        <v>0</v>
      </c>
      <c r="G16" s="618">
        <f>SUM('Oct 28:Dec 28'!I18)</f>
        <v>0</v>
      </c>
      <c r="H16" s="618">
        <f>SUM('Oct 28:Dec 28'!J18)</f>
        <v>0</v>
      </c>
      <c r="I16" s="618">
        <f>SUM('Oct 28:Dec 28'!M18)</f>
        <v>0</v>
      </c>
      <c r="J16" s="618"/>
      <c r="K16" s="618"/>
      <c r="L16" s="618">
        <f>SUM('Oct 28:Dec 28'!O18)</f>
        <v>0</v>
      </c>
      <c r="M16" s="618">
        <f>SUM('Oct 28:Dec 28'!P18)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SUM('Oct 28:Dec 28'!G19)</f>
        <v>0</v>
      </c>
      <c r="G17" s="618">
        <f>SUM('Oct 28:Dec 28'!I19)</f>
        <v>0</v>
      </c>
      <c r="H17" s="618">
        <f>SUM('Oct 28:Dec 28'!J19)</f>
        <v>0</v>
      </c>
      <c r="I17" s="618">
        <f>SUM('Oct 28:Dec 28'!M19)</f>
        <v>0</v>
      </c>
      <c r="J17" s="618"/>
      <c r="K17" s="618"/>
      <c r="L17" s="618">
        <f>SUM('Oct 28:Dec 28'!O19)</f>
        <v>0</v>
      </c>
      <c r="M17" s="618">
        <f>SUM('Oct 28:Dec 28'!P19)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SUM('Oct 28:Dec 28'!G20)</f>
        <v>0</v>
      </c>
      <c r="G18" s="618">
        <f>SUM('Oct 28:Dec 28'!I20)</f>
        <v>0</v>
      </c>
      <c r="H18" s="618">
        <f>SUM('Oct 28:Dec 28'!J20)</f>
        <v>0</v>
      </c>
      <c r="I18" s="618">
        <f>SUM('Oct 28:Dec 28'!M20)</f>
        <v>0</v>
      </c>
      <c r="J18" s="618"/>
      <c r="K18" s="618"/>
      <c r="L18" s="618">
        <f>SUM('Oct 28:Dec 28'!O20)</f>
        <v>0</v>
      </c>
      <c r="M18" s="618">
        <f>SUM('Oct 28:Dec 28'!P20)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SUM('Oct 28:Dec 28'!G21)</f>
        <v>0</v>
      </c>
      <c r="G19" s="618">
        <f>SUM('Oct 28:Dec 28'!I21)</f>
        <v>0</v>
      </c>
      <c r="H19" s="618">
        <f>SUM('Oct 28:Dec 28'!J21)</f>
        <v>0</v>
      </c>
      <c r="I19" s="618">
        <f>SUM('Oct 28:Dec 28'!M21)</f>
        <v>0</v>
      </c>
      <c r="J19" s="618"/>
      <c r="K19" s="618"/>
      <c r="L19" s="618">
        <f>SUM('Oct 28:Dec 28'!O21)</f>
        <v>0</v>
      </c>
      <c r="M19" s="618">
        <f>SUM('Oct 28:Dec 28'!P21)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SUM('Oct 28:Dec 28'!G22)</f>
        <v>0</v>
      </c>
      <c r="G20" s="618">
        <f>SUM('Oct 28:Dec 28'!I22)</f>
        <v>0</v>
      </c>
      <c r="H20" s="618">
        <f>SUM('Oct 28:Dec 28'!J22)</f>
        <v>0</v>
      </c>
      <c r="I20" s="618">
        <f>SUM('Oct 28:Dec 28'!M22)</f>
        <v>0</v>
      </c>
      <c r="J20" s="618"/>
      <c r="K20" s="618"/>
      <c r="L20" s="618">
        <f>SUM('Oct 28:Dec 28'!O22)</f>
        <v>0</v>
      </c>
      <c r="M20" s="618">
        <f>SUM('Oct 28:Dec 28'!P22)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SUM('Oct 28:Dec 28'!G23)</f>
        <v>0</v>
      </c>
      <c r="G21" s="618">
        <f>SUM('Oct 28:Dec 28'!I23)</f>
        <v>0</v>
      </c>
      <c r="H21" s="618">
        <f>SUM('Oct 28:Dec 28'!J23)</f>
        <v>0</v>
      </c>
      <c r="I21" s="618">
        <f>SUM('Oct 28:Dec 28'!M23)</f>
        <v>0</v>
      </c>
      <c r="J21" s="618"/>
      <c r="K21" s="618"/>
      <c r="L21" s="618">
        <f>SUM('Oct 28:Dec 28'!O23)</f>
        <v>0</v>
      </c>
      <c r="M21" s="618">
        <f>SUM('Oct 28:Dec 28'!P23)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SUM('Oct 28:Dec 28'!G24)</f>
        <v>0</v>
      </c>
      <c r="G22" s="618">
        <f>SUM('Oct 28:Dec 28'!I24)</f>
        <v>0</v>
      </c>
      <c r="H22" s="618">
        <f>SUM('Oct 28:Dec 28'!J24)</f>
        <v>0</v>
      </c>
      <c r="I22" s="618">
        <f>SUM('Oct 28:Dec 28'!M24)</f>
        <v>0</v>
      </c>
      <c r="J22" s="618"/>
      <c r="K22" s="618"/>
      <c r="L22" s="618">
        <f>SUM('Oct 28:Dec 28'!O24)</f>
        <v>0</v>
      </c>
      <c r="M22" s="618">
        <f>SUM('Oct 28:Dec 28'!P24)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SUM('Oct 28:Dec 28'!G25)</f>
        <v>0</v>
      </c>
      <c r="G23" s="618">
        <f>SUM('Oct 28:Dec 28'!I25)</f>
        <v>0</v>
      </c>
      <c r="H23" s="618">
        <f>SUM('Oct 28:Dec 28'!J25)</f>
        <v>0</v>
      </c>
      <c r="I23" s="618">
        <f>SUM('Oct 28:Dec 28'!M25)</f>
        <v>0</v>
      </c>
      <c r="J23" s="618"/>
      <c r="K23" s="618"/>
      <c r="L23" s="618">
        <f>SUM('Oct 28:Dec 28'!O25)</f>
        <v>0</v>
      </c>
      <c r="M23" s="618">
        <f>SUM('Oct 28:Dec 28'!P25)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SUM('Oct 28:Dec 28'!G26)</f>
        <v>0</v>
      </c>
      <c r="G24" s="618">
        <f>SUM('Oct 28:Dec 28'!I26)</f>
        <v>0</v>
      </c>
      <c r="H24" s="618">
        <f>SUM('Oct 28:Dec 28'!J26)</f>
        <v>0</v>
      </c>
      <c r="I24" s="618">
        <f>SUM('Oct 28:Dec 28'!M26)</f>
        <v>0</v>
      </c>
      <c r="J24" s="618"/>
      <c r="K24" s="618"/>
      <c r="L24" s="618">
        <f>SUM('Oct 28:Dec 28'!O26)</f>
        <v>0</v>
      </c>
      <c r="M24" s="618">
        <f>SUM('Oct 28:Dec 28'!P26)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SUM('Oct 28:Dec 28'!G27)</f>
        <v>0</v>
      </c>
      <c r="G25" s="618">
        <f>SUM('Oct 28:Dec 28'!I27)</f>
        <v>0</v>
      </c>
      <c r="H25" s="618">
        <f>SUM('Oct 28:Dec 28'!J27)</f>
        <v>0</v>
      </c>
      <c r="I25" s="618">
        <f>SUM('Oct 28:Dec 28'!M27)</f>
        <v>0</v>
      </c>
      <c r="J25" s="618"/>
      <c r="K25" s="618"/>
      <c r="L25" s="618">
        <f>SUM('Oct 28:Dec 28'!O27)</f>
        <v>0</v>
      </c>
      <c r="M25" s="618">
        <f>SUM('Oct 28:Dec 28'!P27)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SUM('Oct 28:Dec 28'!G28)</f>
        <v>0</v>
      </c>
      <c r="G26" s="618">
        <f>SUM('Oct 28:Dec 28'!I28)</f>
        <v>0</v>
      </c>
      <c r="H26" s="618">
        <f>SUM('Oct 28:Dec 28'!J28)</f>
        <v>0</v>
      </c>
      <c r="I26" s="618">
        <f>SUM('Oct 28:Dec 28'!M28)</f>
        <v>0</v>
      </c>
      <c r="J26" s="618"/>
      <c r="K26" s="618"/>
      <c r="L26" s="618">
        <f>SUM('Oct 28:Dec 28'!O28)</f>
        <v>0</v>
      </c>
      <c r="M26" s="618">
        <f>SUM('Oct 28:Dec 28'!P28)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SUM('Oct 28:Dec 28'!G29)</f>
        <v>0</v>
      </c>
      <c r="G27" s="618">
        <f>SUM('Oct 28:Dec 28'!I29)</f>
        <v>0</v>
      </c>
      <c r="H27" s="618">
        <f>SUM('Oct 28:Dec 28'!J29)</f>
        <v>0</v>
      </c>
      <c r="I27" s="618">
        <f>SUM('Oct 28:Dec 28'!M29)</f>
        <v>0</v>
      </c>
      <c r="J27" s="618"/>
      <c r="K27" s="618"/>
      <c r="L27" s="618">
        <f>SUM('Oct 28:Dec 28'!O29)</f>
        <v>0</v>
      </c>
      <c r="M27" s="618">
        <f>SUM('Oct 28:Dec 28'!P29)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SUM('Oct 28:Dec 28'!G30)</f>
        <v>0</v>
      </c>
      <c r="G28" s="618">
        <f>SUM('Oct 28:Dec 28'!I30)</f>
        <v>0</v>
      </c>
      <c r="H28" s="618">
        <f>SUM('Oct 28:Dec 28'!J30)</f>
        <v>0</v>
      </c>
      <c r="I28" s="618">
        <f>SUM('Oct 28:Dec 28'!M30)</f>
        <v>0</v>
      </c>
      <c r="J28" s="618"/>
      <c r="K28" s="618"/>
      <c r="L28" s="618">
        <f>SUM('Oct 28:Dec 28'!O30)</f>
        <v>0</v>
      </c>
      <c r="M28" s="618">
        <f>SUM('Oct 28:Dec 28'!P30)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SUM('Oct 28:Dec 28'!G31)</f>
        <v>0</v>
      </c>
      <c r="G29" s="618">
        <f>SUM('Oct 28:Dec 28'!I31)</f>
        <v>0</v>
      </c>
      <c r="H29" s="618">
        <f>SUM('Oct 28:Dec 28'!J31)</f>
        <v>0</v>
      </c>
      <c r="I29" s="618">
        <f>SUM('Oct 28:Dec 28'!M31)</f>
        <v>0</v>
      </c>
      <c r="J29" s="618"/>
      <c r="K29" s="618"/>
      <c r="L29" s="618">
        <f>SUM('Oct 28:Dec 28'!O31)</f>
        <v>0</v>
      </c>
      <c r="M29" s="618">
        <f>SUM('Oct 28:Dec 28'!P31)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SUM('Oct 28:Dec 28'!G32)</f>
        <v>0</v>
      </c>
      <c r="G30" s="618">
        <f>SUM('Oct 28:Dec 28'!I32)</f>
        <v>0</v>
      </c>
      <c r="H30" s="618">
        <f>SUM('Oct 28:Dec 28'!J32)</f>
        <v>0</v>
      </c>
      <c r="I30" s="618">
        <f>SUM('Oct 28:Dec 28'!M32)</f>
        <v>0</v>
      </c>
      <c r="J30" s="618"/>
      <c r="K30" s="618"/>
      <c r="L30" s="618">
        <f>SUM('Oct 28:Dec 28'!O32)</f>
        <v>0</v>
      </c>
      <c r="M30" s="618">
        <f>SUM('Oct 28:Dec 28'!P32)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SUM('Oct 28:Dec 28'!G33)</f>
        <v>0</v>
      </c>
      <c r="G31" s="618">
        <f>SUM('Oct 28:Dec 28'!I33)</f>
        <v>0</v>
      </c>
      <c r="H31" s="618">
        <f>SUM('Oct 28:Dec 28'!J33)</f>
        <v>0</v>
      </c>
      <c r="I31" s="618">
        <f>SUM('Oct 28:Dec 28'!M33)</f>
        <v>0</v>
      </c>
      <c r="J31" s="618"/>
      <c r="K31" s="618"/>
      <c r="L31" s="618">
        <f>SUM('Oct 28:Dec 28'!O33)</f>
        <v>0</v>
      </c>
      <c r="M31" s="618">
        <f>SUM('Oct 28:Dec 28'!P33)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SUM('Oct 28:Dec 28'!G34)</f>
        <v>0</v>
      </c>
      <c r="G32" s="618">
        <f>SUM('Oct 28:Dec 28'!I34)</f>
        <v>0</v>
      </c>
      <c r="H32" s="618">
        <f>SUM('Oct 28:Dec 28'!J34)</f>
        <v>0</v>
      </c>
      <c r="I32" s="618">
        <f>SUM('Oct 28:Dec 28'!M34)</f>
        <v>0</v>
      </c>
      <c r="J32" s="618"/>
      <c r="K32" s="618"/>
      <c r="L32" s="618">
        <f>SUM('Oct 28:Dec 28'!O34)</f>
        <v>0</v>
      </c>
      <c r="M32" s="618">
        <f>SUM('Oct 28:Dec 28'!P34)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SUM('Oct 28:Dec 28'!G35)</f>
        <v>0</v>
      </c>
      <c r="G33" s="618">
        <f>SUM('Oct 28:Dec 28'!I35)</f>
        <v>0</v>
      </c>
      <c r="H33" s="618">
        <f>SUM('Oct 28:Dec 28'!J35)</f>
        <v>0</v>
      </c>
      <c r="I33" s="618">
        <f>SUM('Oct 28:Dec 28'!M35)</f>
        <v>0</v>
      </c>
      <c r="J33" s="618"/>
      <c r="K33" s="618"/>
      <c r="L33" s="618">
        <f>SUM('Oct 28:Dec 28'!O35)</f>
        <v>0</v>
      </c>
      <c r="M33" s="618">
        <f>SUM('Oct 28:Dec 28'!P35)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7SuMiKsZEqZ38WNZsFTdUXKenzlVnpFOw/X0LutupCHDV5+UXqEL3njjDB9uEjMMlAkpD0yw3BJFHd6uM4O9hw==" saltValue="KsxMeA74a/ANbp8Bxf/RLA=="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AC05E-E4CA-461D-92C4-15378147A9C5}">
  <sheetPr codeName="Sheet4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Yr+1G1XC2vZrguYku+R8Mdsytu1GvuXvqBlU9YAEfRSgO0j1ytfXZ2cuNwOZnozfcbD013MgTdBhKxokDR/z2w==" saltValue="UbXvJkgU1wrnpPEDn9WIk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A0027-6480-4750-A34C-B066EB297B4A}">
  <sheetPr codeName="Sheet5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GkiffOTU+yZQ7eZbx2wRUxXvIOc/DfZ7FZQN9aK4hU8zBlKQbMiVAXlkFZ+xUu3MLZdKzzXLOgC1CDwOW9w8Mw==" saltValue="Zj5iFCG7MV7h3+a/brRUK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35403-6258-4EB4-A587-14D72C0A461F}">
  <sheetPr codeName="Sheet51">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mLu3ipE8qpMlQ/Wb4SdIyGz/khK64zvZnHQspQ7MLJa6ASFpxNl9TCmaT7ZI+uLHkgu+UuZZ2UePJOvthPaWVw==" saltValue="CHMdEja9jCU3Fva2fxnSB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149BE-5A21-4F03-8B9E-55D2890C23B0}">
  <sheetPr codeName="Sheet52">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789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Z+Wid7pCpDXfMF4nyohyy/wWC7shRV3WwK3ReN2Di+BoRp4pTELcrN9BLPzTmGi+UvbmTn6gcBcgdFPyiJfvTw==" saltValue="i9WKrxzfhqtsdfS7+ECMP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B120-506C-452E-B1D5-755B802CCD22}">
  <sheetPr codeName="Sheet5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l7WQsr4D2p5csPSEFKLBlVl4IUntSUgWLvez5L97IUN40cVDdWXzebBlijAgDFAtF+rA7DIi2RTHJ8iPmkf77w==" saltValue="BqKwIGhl9CCebc6pcgQh0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18A4-C66D-472E-B781-05FB7C750CBD}">
  <sheetPr codeName="Sheet5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jUGFyDAUTWYAJPe3OYjIUqEhqG3/3AjoVKGh0FW2//9QbNSb3AHIkjCnB+5wxkzeVhllYCWc2boZedqdpb60Xw==" saltValue="S4sGPYx0iCqMIhjRxrJFL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C701F-9EA4-40FE-A5BE-7C2C0A774FB1}">
  <sheetPr codeName="Sheet55">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NY25fTikCPhJS9SaFiyR1Lyh5tli3BCgkKS6d0ug6gKkIvlrcBJiEdRjAwIK2aIck/Gc/fQp+6NkUu2Q7/f5A==" saltValue="8iDX/qwOzzFDQswhrdSpa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3F5A-AA7B-45A3-90AB-11D2BCA8380D}">
  <sheetPr codeName="Sheet5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N3UVly3osuFGaWKkjL7nFdYixJ8irSkK22rnaBJA4ldupXwWdGe0uSXMOH72UfTKr5jRYyNTlCLSA+8VpXwvA==" saltValue="d7ssROWUgI+up/EMzgcpg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D520-1F36-4A55-9C12-69261BC413B1}">
  <sheetPr codeName="Sheet5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794</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aNMji0C7ErXwroiVOfOlyaJaC55NJEq3uD4WdmmTWC5mzMK7zdApN563fA/L/7bGL3MqxrS57N7mifULjm0m+w==" saltValue="h0Upv1uTjqA0VUfYJn3NJ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A3363-2A67-4C0F-B366-F97ECD259647}">
  <sheetPr codeName="Sheet58">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jFguKFiR8v2OEXDu3HdIPD3FymuHfbfoyJppEy5JptqlieYWORnEdXTTt/iBHp+sG6scku1RV54Bf96ayDfC9g==" saltValue="4EFA2+tKjUtmGiNTIcbnG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6BAE8-3F6A-4536-956D-832AB4328007}">
  <sheetPr codeName="Sheet5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nUrEGQFWe2WtbgugcQspTO0ospMup149qzIy28qyul6Xui4VvX2VxKqJtNIGjgv9e3rTLbSvnumfu2Gk1ttbA==" saltValue="CIUk6daakIGYcQPw/03m1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3C596-458B-4AA2-83FE-9D36F9609AB1}">
  <sheetPr codeName="Sheet6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797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wkwF/7yDbLkXZJdWme2W29oDn9EeocCqzezZvYnE+jYnTptCYvl5r1zFxQKbBn+x43tIezPZkQHE/UEJ6YSINQ==" saltValue="mfJXo9Ilc6WC9sdf9CNBW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11E1E-9B68-476A-976A-A338C44D5608}">
  <sheetPr codeName="Sheet62">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798</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SUM('Jan 29:Mar 29'!G11)</f>
        <v>0</v>
      </c>
      <c r="G9" s="614">
        <f>SUM('Jan 29:Mar 29'!I11)</f>
        <v>0</v>
      </c>
      <c r="H9" s="614">
        <f>SUM('Jan 29:Mar 29'!J11)</f>
        <v>0</v>
      </c>
      <c r="I9" s="614">
        <f>SUM('Jan 29:Mar 29'!M11)</f>
        <v>0</v>
      </c>
      <c r="J9" s="614"/>
      <c r="K9" s="614"/>
      <c r="L9" s="614">
        <f>SUM('Jan 29:Mar 29'!O11)</f>
        <v>0</v>
      </c>
      <c r="M9" s="614">
        <f>SUM('Jan 29:Mar 29'!P11)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SUM('Jan 29:Mar 29'!G12)</f>
        <v>0</v>
      </c>
      <c r="G10" s="618">
        <f>SUM('Jan 29:Mar 29'!I12)</f>
        <v>0</v>
      </c>
      <c r="H10" s="618">
        <f>SUM('Jan 29:Mar 29'!J12)</f>
        <v>0</v>
      </c>
      <c r="I10" s="618">
        <f>SUM('Jan 29:Mar 29'!M12)</f>
        <v>0</v>
      </c>
      <c r="J10" s="618"/>
      <c r="K10" s="618"/>
      <c r="L10" s="618">
        <f>SUM('Jan 29:Mar 29'!O12)</f>
        <v>0</v>
      </c>
      <c r="M10" s="618">
        <f>SUM('Jan 29:Mar 29'!P12)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SUM('Jan 29:Mar 29'!G13)</f>
        <v>0</v>
      </c>
      <c r="G11" s="618">
        <f>SUM('Jan 29:Mar 29'!I13)</f>
        <v>0</v>
      </c>
      <c r="H11" s="618">
        <f>SUM('Jan 29:Mar 29'!J13)</f>
        <v>0</v>
      </c>
      <c r="I11" s="618">
        <f>SUM('Jan 29:Mar 29'!M13)</f>
        <v>0</v>
      </c>
      <c r="J11" s="618"/>
      <c r="K11" s="618"/>
      <c r="L11" s="618">
        <f>SUM('Jan 29:Mar 29'!O13)</f>
        <v>0</v>
      </c>
      <c r="M11" s="618">
        <f>SUM('Jan 29:Mar 29'!P13)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SUM('Jan 29:Mar 29'!G14)</f>
        <v>0</v>
      </c>
      <c r="G12" s="618">
        <f>SUM('Jan 29:Mar 29'!I14)</f>
        <v>0</v>
      </c>
      <c r="H12" s="618">
        <f>SUM('Jan 29:Mar 29'!J14)</f>
        <v>0</v>
      </c>
      <c r="I12" s="618">
        <f>SUM('Jan 29:Mar 29'!M14)</f>
        <v>0</v>
      </c>
      <c r="J12" s="618"/>
      <c r="K12" s="618"/>
      <c r="L12" s="618">
        <f>SUM('Jan 29:Mar 29'!O14)</f>
        <v>0</v>
      </c>
      <c r="M12" s="618">
        <f>SUM('Jan 29:Mar 29'!P14)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SUM('Jan 29:Mar 29'!G15)</f>
        <v>0</v>
      </c>
      <c r="G13" s="618">
        <f>SUM('Jan 29:Mar 29'!I15)</f>
        <v>0</v>
      </c>
      <c r="H13" s="618">
        <f>SUM('Jan 29:Mar 29'!J15)</f>
        <v>0</v>
      </c>
      <c r="I13" s="618">
        <f>SUM('Jan 29:Mar 29'!M15)</f>
        <v>0</v>
      </c>
      <c r="J13" s="618"/>
      <c r="K13" s="618"/>
      <c r="L13" s="618">
        <f>SUM('Jan 29:Mar 29'!O15)</f>
        <v>0</v>
      </c>
      <c r="M13" s="618">
        <f>SUM('Jan 29:Mar 29'!P15)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SUM('Jan 29:Mar 29'!G16)</f>
        <v>0</v>
      </c>
      <c r="G14" s="618">
        <f>SUM('Jan 29:Mar 29'!I16)</f>
        <v>0</v>
      </c>
      <c r="H14" s="618">
        <f>SUM('Jan 29:Mar 29'!J16)</f>
        <v>0</v>
      </c>
      <c r="I14" s="618">
        <f>SUM('Jan 29:Mar 29'!M16)</f>
        <v>0</v>
      </c>
      <c r="J14" s="618"/>
      <c r="K14" s="618"/>
      <c r="L14" s="618">
        <f>SUM('Jan 29:Mar 29'!O16)</f>
        <v>0</v>
      </c>
      <c r="M14" s="618">
        <f>SUM('Jan 29:Mar 29'!P16)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SUM('Jan 29:Mar 29'!G17)</f>
        <v>0</v>
      </c>
      <c r="G15" s="618">
        <f>SUM('Jan 29:Mar 29'!I17)</f>
        <v>0</v>
      </c>
      <c r="H15" s="618">
        <f>SUM('Jan 29:Mar 29'!J17)</f>
        <v>0</v>
      </c>
      <c r="I15" s="618">
        <f>SUM('Jan 29:Mar 29'!M17)</f>
        <v>0</v>
      </c>
      <c r="J15" s="618"/>
      <c r="K15" s="618"/>
      <c r="L15" s="618">
        <f>SUM('Jan 29:Mar 29'!O17)</f>
        <v>0</v>
      </c>
      <c r="M15" s="618">
        <f>SUM('Jan 29:Mar 29'!P17)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SUM('Jan 29:Mar 29'!G18)</f>
        <v>0</v>
      </c>
      <c r="G16" s="618">
        <f>SUM('Jan 29:Mar 29'!I18)</f>
        <v>0</v>
      </c>
      <c r="H16" s="618">
        <f>SUM('Jan 29:Mar 29'!J18)</f>
        <v>0</v>
      </c>
      <c r="I16" s="618">
        <f>SUM('Jan 29:Mar 29'!M18)</f>
        <v>0</v>
      </c>
      <c r="J16" s="618"/>
      <c r="K16" s="618"/>
      <c r="L16" s="618">
        <f>SUM('Jan 29:Mar 29'!O18)</f>
        <v>0</v>
      </c>
      <c r="M16" s="618">
        <f>SUM('Jan 29:Mar 29'!P18)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SUM('Jan 29:Mar 29'!G19)</f>
        <v>0</v>
      </c>
      <c r="G17" s="618">
        <f>SUM('Jan 29:Mar 29'!I19)</f>
        <v>0</v>
      </c>
      <c r="H17" s="618">
        <f>SUM('Jan 29:Mar 29'!J19)</f>
        <v>0</v>
      </c>
      <c r="I17" s="618">
        <f>SUM('Jan 29:Mar 29'!M19)</f>
        <v>0</v>
      </c>
      <c r="J17" s="618"/>
      <c r="K17" s="618"/>
      <c r="L17" s="618">
        <f>SUM('Jan 29:Mar 29'!O19)</f>
        <v>0</v>
      </c>
      <c r="M17" s="618">
        <f>SUM('Jan 29:Mar 29'!P19)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SUM('Jan 29:Mar 29'!G20)</f>
        <v>0</v>
      </c>
      <c r="G18" s="618">
        <f>SUM('Jan 29:Mar 29'!I20)</f>
        <v>0</v>
      </c>
      <c r="H18" s="618">
        <f>SUM('Jan 29:Mar 29'!J20)</f>
        <v>0</v>
      </c>
      <c r="I18" s="618">
        <f>SUM('Jan 29:Mar 29'!M20)</f>
        <v>0</v>
      </c>
      <c r="J18" s="618"/>
      <c r="K18" s="618"/>
      <c r="L18" s="618">
        <f>SUM('Jan 29:Mar 29'!O20)</f>
        <v>0</v>
      </c>
      <c r="M18" s="618">
        <f>SUM('Jan 29:Mar 29'!P20)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SUM('Jan 29:Mar 29'!G21)</f>
        <v>0</v>
      </c>
      <c r="G19" s="618">
        <f>SUM('Jan 29:Mar 29'!I21)</f>
        <v>0</v>
      </c>
      <c r="H19" s="618">
        <f>SUM('Jan 29:Mar 29'!J21)</f>
        <v>0</v>
      </c>
      <c r="I19" s="618">
        <f>SUM('Jan 29:Mar 29'!M21)</f>
        <v>0</v>
      </c>
      <c r="J19" s="618"/>
      <c r="K19" s="618"/>
      <c r="L19" s="618">
        <f>SUM('Jan 29:Mar 29'!O21)</f>
        <v>0</v>
      </c>
      <c r="M19" s="618">
        <f>SUM('Jan 29:Mar 29'!P21)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SUM('Jan 29:Mar 29'!G22)</f>
        <v>0</v>
      </c>
      <c r="G20" s="618">
        <f>SUM('Jan 29:Mar 29'!I22)</f>
        <v>0</v>
      </c>
      <c r="H20" s="618">
        <f>SUM('Jan 29:Mar 29'!J22)</f>
        <v>0</v>
      </c>
      <c r="I20" s="618">
        <f>SUM('Jan 29:Mar 29'!M22)</f>
        <v>0</v>
      </c>
      <c r="J20" s="618"/>
      <c r="K20" s="618"/>
      <c r="L20" s="618">
        <f>SUM('Jan 29:Mar 29'!O22)</f>
        <v>0</v>
      </c>
      <c r="M20" s="618">
        <f>SUM('Jan 29:Mar 29'!P22)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SUM('Jan 29:Mar 29'!G23)</f>
        <v>0</v>
      </c>
      <c r="G21" s="618">
        <f>SUM('Jan 29:Mar 29'!I23)</f>
        <v>0</v>
      </c>
      <c r="H21" s="618">
        <f>SUM('Jan 29:Mar 29'!J23)</f>
        <v>0</v>
      </c>
      <c r="I21" s="618">
        <f>SUM('Jan 29:Mar 29'!M23)</f>
        <v>0</v>
      </c>
      <c r="J21" s="618"/>
      <c r="K21" s="618"/>
      <c r="L21" s="618">
        <f>SUM('Jan 29:Mar 29'!O23)</f>
        <v>0</v>
      </c>
      <c r="M21" s="618">
        <f>SUM('Jan 29:Mar 29'!P23)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SUM('Jan 29:Mar 29'!G24)</f>
        <v>0</v>
      </c>
      <c r="G22" s="618">
        <f>SUM('Jan 29:Mar 29'!I24)</f>
        <v>0</v>
      </c>
      <c r="H22" s="618">
        <f>SUM('Jan 29:Mar 29'!J24)</f>
        <v>0</v>
      </c>
      <c r="I22" s="618">
        <f>SUM('Jan 29:Mar 29'!M24)</f>
        <v>0</v>
      </c>
      <c r="J22" s="618"/>
      <c r="K22" s="618"/>
      <c r="L22" s="618">
        <f>SUM('Jan 29:Mar 29'!O24)</f>
        <v>0</v>
      </c>
      <c r="M22" s="618">
        <f>SUM('Jan 29:Mar 29'!P24)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SUM('Jan 29:Mar 29'!G25)</f>
        <v>0</v>
      </c>
      <c r="G23" s="618">
        <f>SUM('Jan 29:Mar 29'!I25)</f>
        <v>0</v>
      </c>
      <c r="H23" s="618">
        <f>SUM('Jan 29:Mar 29'!J25)</f>
        <v>0</v>
      </c>
      <c r="I23" s="618">
        <f>SUM('Jan 29:Mar 29'!M25)</f>
        <v>0</v>
      </c>
      <c r="J23" s="618"/>
      <c r="K23" s="618"/>
      <c r="L23" s="618">
        <f>SUM('Jan 29:Mar 29'!O25)</f>
        <v>0</v>
      </c>
      <c r="M23" s="618">
        <f>SUM('Jan 29:Mar 29'!P25)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SUM('Jan 29:Mar 29'!G26)</f>
        <v>0</v>
      </c>
      <c r="G24" s="618">
        <f>SUM('Jan 29:Mar 29'!I26)</f>
        <v>0</v>
      </c>
      <c r="H24" s="618">
        <f>SUM('Jan 29:Mar 29'!J26)</f>
        <v>0</v>
      </c>
      <c r="I24" s="618">
        <f>SUM('Jan 29:Mar 29'!M26)</f>
        <v>0</v>
      </c>
      <c r="J24" s="618"/>
      <c r="K24" s="618"/>
      <c r="L24" s="618">
        <f>SUM('Jan 29:Mar 29'!O26)</f>
        <v>0</v>
      </c>
      <c r="M24" s="618">
        <f>SUM('Jan 29:Mar 29'!P26)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SUM('Jan 29:Mar 29'!G27)</f>
        <v>0</v>
      </c>
      <c r="G25" s="618">
        <f>SUM('Jan 29:Mar 29'!I27)</f>
        <v>0</v>
      </c>
      <c r="H25" s="618">
        <f>SUM('Jan 29:Mar 29'!J27)</f>
        <v>0</v>
      </c>
      <c r="I25" s="618">
        <f>SUM('Jan 29:Mar 29'!M27)</f>
        <v>0</v>
      </c>
      <c r="J25" s="618"/>
      <c r="K25" s="618"/>
      <c r="L25" s="618">
        <f>SUM('Jan 29:Mar 29'!O27)</f>
        <v>0</v>
      </c>
      <c r="M25" s="618">
        <f>SUM('Jan 29:Mar 29'!P27)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SUM('Jan 29:Mar 29'!G28)</f>
        <v>0</v>
      </c>
      <c r="G26" s="618">
        <f>SUM('Jan 29:Mar 29'!I28)</f>
        <v>0</v>
      </c>
      <c r="H26" s="618">
        <f>SUM('Jan 29:Mar 29'!J28)</f>
        <v>0</v>
      </c>
      <c r="I26" s="618">
        <f>SUM('Jan 29:Mar 29'!M28)</f>
        <v>0</v>
      </c>
      <c r="J26" s="618"/>
      <c r="K26" s="618"/>
      <c r="L26" s="618">
        <f>SUM('Jan 29:Mar 29'!O28)</f>
        <v>0</v>
      </c>
      <c r="M26" s="618">
        <f>SUM('Jan 29:Mar 29'!P28)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SUM('Jan 29:Mar 29'!G29)</f>
        <v>0</v>
      </c>
      <c r="G27" s="618">
        <f>SUM('Jan 29:Mar 29'!I29)</f>
        <v>0</v>
      </c>
      <c r="H27" s="618">
        <f>SUM('Jan 29:Mar 29'!J29)</f>
        <v>0</v>
      </c>
      <c r="I27" s="618">
        <f>SUM('Jan 29:Mar 29'!M29)</f>
        <v>0</v>
      </c>
      <c r="J27" s="618"/>
      <c r="K27" s="618"/>
      <c r="L27" s="618">
        <f>SUM('Jan 29:Mar 29'!O29)</f>
        <v>0</v>
      </c>
      <c r="M27" s="618">
        <f>SUM('Jan 29:Mar 29'!P29)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SUM('Jan 29:Mar 29'!G30)</f>
        <v>0</v>
      </c>
      <c r="G28" s="618">
        <f>SUM('Jan 29:Mar 29'!I30)</f>
        <v>0</v>
      </c>
      <c r="H28" s="618">
        <f>SUM('Jan 29:Mar 29'!J30)</f>
        <v>0</v>
      </c>
      <c r="I28" s="618">
        <f>SUM('Jan 29:Mar 29'!M30)</f>
        <v>0</v>
      </c>
      <c r="J28" s="618"/>
      <c r="K28" s="618"/>
      <c r="L28" s="618">
        <f>SUM('Jan 29:Mar 29'!O30)</f>
        <v>0</v>
      </c>
      <c r="M28" s="618">
        <f>SUM('Jan 29:Mar 29'!P30)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SUM('Jan 29:Mar 29'!G31)</f>
        <v>0</v>
      </c>
      <c r="G29" s="618">
        <f>SUM('Jan 29:Mar 29'!I31)</f>
        <v>0</v>
      </c>
      <c r="H29" s="618">
        <f>SUM('Jan 29:Mar 29'!J31)</f>
        <v>0</v>
      </c>
      <c r="I29" s="618">
        <f>SUM('Jan 29:Mar 29'!M31)</f>
        <v>0</v>
      </c>
      <c r="J29" s="618"/>
      <c r="K29" s="618"/>
      <c r="L29" s="618">
        <f>SUM('Jan 29:Mar 29'!O31)</f>
        <v>0</v>
      </c>
      <c r="M29" s="618">
        <f>SUM('Jan 29:Mar 29'!P31)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SUM('Jan 29:Mar 29'!G32)</f>
        <v>0</v>
      </c>
      <c r="G30" s="618">
        <f>SUM('Jan 29:Mar 29'!I32)</f>
        <v>0</v>
      </c>
      <c r="H30" s="618">
        <f>SUM('Jan 29:Mar 29'!J32)</f>
        <v>0</v>
      </c>
      <c r="I30" s="618">
        <f>SUM('Jan 29:Mar 29'!M32)</f>
        <v>0</v>
      </c>
      <c r="J30" s="618"/>
      <c r="K30" s="618"/>
      <c r="L30" s="618">
        <f>SUM('Jan 29:Mar 29'!O32)</f>
        <v>0</v>
      </c>
      <c r="M30" s="618">
        <f>SUM('Jan 29:Mar 29'!P32)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SUM('Jan 29:Mar 29'!G33)</f>
        <v>0</v>
      </c>
      <c r="G31" s="618">
        <f>SUM('Jan 29:Mar 29'!I33)</f>
        <v>0</v>
      </c>
      <c r="H31" s="618">
        <f>SUM('Jan 29:Mar 29'!J33)</f>
        <v>0</v>
      </c>
      <c r="I31" s="618">
        <f>SUM('Jan 29:Mar 29'!M33)</f>
        <v>0</v>
      </c>
      <c r="J31" s="618"/>
      <c r="K31" s="618"/>
      <c r="L31" s="618">
        <f>SUM('Jan 29:Mar 29'!O33)</f>
        <v>0</v>
      </c>
      <c r="M31" s="618">
        <f>SUM('Jan 29:Mar 29'!P33)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SUM('Jan 29:Mar 29'!G34)</f>
        <v>0</v>
      </c>
      <c r="G32" s="618">
        <f>SUM('Jan 29:Mar 29'!I34)</f>
        <v>0</v>
      </c>
      <c r="H32" s="618">
        <f>SUM('Jan 29:Mar 29'!J34)</f>
        <v>0</v>
      </c>
      <c r="I32" s="618">
        <f>SUM('Jan 29:Mar 29'!M34)</f>
        <v>0</v>
      </c>
      <c r="J32" s="618"/>
      <c r="K32" s="618"/>
      <c r="L32" s="618">
        <f>SUM('Jan 29:Mar 29'!O34)</f>
        <v>0</v>
      </c>
      <c r="M32" s="618">
        <f>SUM('Jan 29:Mar 29'!P34)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SUM('Jan 29:Mar 29'!G35)</f>
        <v>0</v>
      </c>
      <c r="G33" s="618">
        <f>SUM('Jan 29:Mar 29'!I35)</f>
        <v>0</v>
      </c>
      <c r="H33" s="618">
        <f>SUM('Jan 29:Mar 29'!J35)</f>
        <v>0</v>
      </c>
      <c r="I33" s="618">
        <f>SUM('Jan 29:Mar 29'!M35)</f>
        <v>0</v>
      </c>
      <c r="J33" s="618"/>
      <c r="K33" s="618"/>
      <c r="L33" s="618">
        <f>SUM('Jan 29:Mar 29'!O35)</f>
        <v>0</v>
      </c>
      <c r="M33" s="618">
        <f>SUM('Jan 29:Mar 29'!P35)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wgvwQKOuT/tV4hrdrleLhJ1lDK39hQHP4JqLwWrcGnlkllfHNWqanh5N9BlqOAqtqnJ/cP61LDsrr3RzpKdiOw==" saltValue="clBQaRis6qFrq7k7O+yj6A=="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5" orientation="landscape" r:id="rId1"/>
  <headerFooter alignWithMargins="0">
    <oddFooter>&amp;LFM-HSS-W01-01&amp;CJanuary 2020&amp;RRev 17.0</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38075-8B14-49FA-9E29-5C9CACA274EC}">
  <sheetPr codeName="Sheet63">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799</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SUM('Apr 29:Jun 29'!G11)</f>
        <v>0</v>
      </c>
      <c r="G9" s="614">
        <f>SUM('Apr 29:Jun 29'!I11)</f>
        <v>0</v>
      </c>
      <c r="H9" s="614">
        <f>SUM('Apr 29:Jun 29'!J11)</f>
        <v>0</v>
      </c>
      <c r="I9" s="614">
        <f>SUM('Apr 29:Jun 29'!M11)</f>
        <v>0</v>
      </c>
      <c r="J9" s="614"/>
      <c r="K9" s="614"/>
      <c r="L9" s="614">
        <f>SUM('Apr 29:Jun 29'!O11)</f>
        <v>0</v>
      </c>
      <c r="M9" s="614">
        <f>SUM('Apr 29:Jun 29'!P11)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SUM('Apr 29:Jun 29'!G12)</f>
        <v>0</v>
      </c>
      <c r="G10" s="618">
        <f>SUM('Apr 29:Jun 29'!I12)</f>
        <v>0</v>
      </c>
      <c r="H10" s="618">
        <f>SUM('Apr 29:Jun 29'!J12)</f>
        <v>0</v>
      </c>
      <c r="I10" s="618">
        <f>SUM('Apr 29:Jun 29'!M12)</f>
        <v>0</v>
      </c>
      <c r="J10" s="618"/>
      <c r="K10" s="618"/>
      <c r="L10" s="618">
        <f>SUM('Apr 29:Jun 29'!O12)</f>
        <v>0</v>
      </c>
      <c r="M10" s="618">
        <f>SUM('Apr 29:Jun 29'!P12)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SUM('Apr 29:Jun 29'!G13)</f>
        <v>0</v>
      </c>
      <c r="G11" s="618">
        <f>SUM('Apr 29:Jun 29'!I13)</f>
        <v>0</v>
      </c>
      <c r="H11" s="618">
        <f>SUM('Apr 29:Jun 29'!J13)</f>
        <v>0</v>
      </c>
      <c r="I11" s="618">
        <f>SUM('Apr 29:Jun 29'!M13)</f>
        <v>0</v>
      </c>
      <c r="J11" s="618"/>
      <c r="K11" s="618"/>
      <c r="L11" s="618">
        <f>SUM('Apr 29:Jun 29'!O13)</f>
        <v>0</v>
      </c>
      <c r="M11" s="618">
        <f>SUM('Apr 29:Jun 29'!P13)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SUM('Apr 29:Jun 29'!G14)</f>
        <v>0</v>
      </c>
      <c r="G12" s="618">
        <f>SUM('Apr 29:Jun 29'!I14)</f>
        <v>0</v>
      </c>
      <c r="H12" s="618">
        <f>SUM('Apr 29:Jun 29'!J14)</f>
        <v>0</v>
      </c>
      <c r="I12" s="618">
        <f>SUM('Apr 29:Jun 29'!M14)</f>
        <v>0</v>
      </c>
      <c r="J12" s="618"/>
      <c r="K12" s="618"/>
      <c r="L12" s="618">
        <f>SUM('Apr 29:Jun 29'!O14)</f>
        <v>0</v>
      </c>
      <c r="M12" s="618">
        <f>SUM('Apr 29:Jun 29'!P14)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SUM('Apr 29:Jun 29'!G15)</f>
        <v>0</v>
      </c>
      <c r="G13" s="618">
        <f>SUM('Apr 29:Jun 29'!I15)</f>
        <v>0</v>
      </c>
      <c r="H13" s="618">
        <f>SUM('Apr 29:Jun 29'!J15)</f>
        <v>0</v>
      </c>
      <c r="I13" s="618">
        <f>SUM('Apr 29:Jun 29'!M15)</f>
        <v>0</v>
      </c>
      <c r="J13" s="618"/>
      <c r="K13" s="618"/>
      <c r="L13" s="618">
        <f>SUM('Apr 29:Jun 29'!O15)</f>
        <v>0</v>
      </c>
      <c r="M13" s="618">
        <f>SUM('Apr 29:Jun 29'!P15)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SUM('Apr 29:Jun 29'!G16)</f>
        <v>0</v>
      </c>
      <c r="G14" s="618">
        <f>SUM('Apr 29:Jun 29'!I16)</f>
        <v>0</v>
      </c>
      <c r="H14" s="618">
        <f>SUM('Apr 29:Jun 29'!J16)</f>
        <v>0</v>
      </c>
      <c r="I14" s="618">
        <f>SUM('Apr 29:Jun 29'!M16)</f>
        <v>0</v>
      </c>
      <c r="J14" s="618"/>
      <c r="K14" s="618"/>
      <c r="L14" s="618">
        <f>SUM('Apr 29:Jun 29'!O16)</f>
        <v>0</v>
      </c>
      <c r="M14" s="618">
        <f>SUM('Apr 29:Jun 29'!P16)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SUM('Apr 29:Jun 29'!G17)</f>
        <v>0</v>
      </c>
      <c r="G15" s="618">
        <f>SUM('Apr 29:Jun 29'!I17)</f>
        <v>0</v>
      </c>
      <c r="H15" s="618">
        <f>SUM('Apr 29:Jun 29'!J17)</f>
        <v>0</v>
      </c>
      <c r="I15" s="618">
        <f>SUM('Apr 29:Jun 29'!M17)</f>
        <v>0</v>
      </c>
      <c r="J15" s="618"/>
      <c r="K15" s="618"/>
      <c r="L15" s="618">
        <f>SUM('Apr 29:Jun 29'!O17)</f>
        <v>0</v>
      </c>
      <c r="M15" s="618">
        <f>SUM('Apr 29:Jun 29'!P17)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SUM('Apr 29:Jun 29'!G18)</f>
        <v>0</v>
      </c>
      <c r="G16" s="618">
        <f>SUM('Apr 29:Jun 29'!I18)</f>
        <v>0</v>
      </c>
      <c r="H16" s="618">
        <f>SUM('Apr 29:Jun 29'!J18)</f>
        <v>0</v>
      </c>
      <c r="I16" s="618">
        <f>SUM('Apr 29:Jun 29'!M18)</f>
        <v>0</v>
      </c>
      <c r="J16" s="618"/>
      <c r="K16" s="618"/>
      <c r="L16" s="618">
        <f>SUM('Apr 29:Jun 29'!O18)</f>
        <v>0</v>
      </c>
      <c r="M16" s="618">
        <f>SUM('Apr 29:Jun 29'!P18)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SUM('Apr 29:Jun 29'!G19)</f>
        <v>0</v>
      </c>
      <c r="G17" s="618">
        <f>SUM('Apr 29:Jun 29'!I19)</f>
        <v>0</v>
      </c>
      <c r="H17" s="618">
        <f>SUM('Apr 29:Jun 29'!J19)</f>
        <v>0</v>
      </c>
      <c r="I17" s="618">
        <f>SUM('Apr 29:Jun 29'!M19)</f>
        <v>0</v>
      </c>
      <c r="J17" s="618"/>
      <c r="K17" s="618"/>
      <c r="L17" s="618">
        <f>SUM('Apr 29:Jun 29'!O19)</f>
        <v>0</v>
      </c>
      <c r="M17" s="618">
        <f>SUM('Apr 29:Jun 29'!P19)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SUM('Apr 29:Jun 29'!G20)</f>
        <v>0</v>
      </c>
      <c r="G18" s="618">
        <f>SUM('Apr 29:Jun 29'!I20)</f>
        <v>0</v>
      </c>
      <c r="H18" s="618">
        <f>SUM('Apr 29:Jun 29'!J20)</f>
        <v>0</v>
      </c>
      <c r="I18" s="618">
        <f>SUM('Apr 29:Jun 29'!M20)</f>
        <v>0</v>
      </c>
      <c r="J18" s="618"/>
      <c r="K18" s="618"/>
      <c r="L18" s="618">
        <f>SUM('Apr 29:Jun 29'!O20)</f>
        <v>0</v>
      </c>
      <c r="M18" s="618">
        <f>SUM('Apr 29:Jun 29'!P20)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SUM('Apr 29:Jun 29'!G21)</f>
        <v>0</v>
      </c>
      <c r="G19" s="618">
        <f>SUM('Apr 29:Jun 29'!I21)</f>
        <v>0</v>
      </c>
      <c r="H19" s="618">
        <f>SUM('Apr 29:Jun 29'!J21)</f>
        <v>0</v>
      </c>
      <c r="I19" s="618">
        <f>SUM('Apr 29:Jun 29'!M21)</f>
        <v>0</v>
      </c>
      <c r="J19" s="618"/>
      <c r="K19" s="618"/>
      <c r="L19" s="618">
        <f>SUM('Apr 29:Jun 29'!O21)</f>
        <v>0</v>
      </c>
      <c r="M19" s="618">
        <f>SUM('Apr 29:Jun 29'!P21)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SUM('Apr 29:Jun 29'!G22)</f>
        <v>0</v>
      </c>
      <c r="G20" s="618">
        <f>SUM('Apr 29:Jun 29'!I22)</f>
        <v>0</v>
      </c>
      <c r="H20" s="618">
        <f>SUM('Apr 29:Jun 29'!J22)</f>
        <v>0</v>
      </c>
      <c r="I20" s="618">
        <f>SUM('Apr 29:Jun 29'!M22)</f>
        <v>0</v>
      </c>
      <c r="J20" s="618"/>
      <c r="K20" s="618"/>
      <c r="L20" s="618">
        <f>SUM('Apr 29:Jun 29'!O22)</f>
        <v>0</v>
      </c>
      <c r="M20" s="618">
        <f>SUM('Apr 29:Jun 29'!P22)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SUM('Apr 29:Jun 29'!G23)</f>
        <v>0</v>
      </c>
      <c r="G21" s="618">
        <f>SUM('Apr 29:Jun 29'!I23)</f>
        <v>0</v>
      </c>
      <c r="H21" s="618">
        <f>SUM('Apr 29:Jun 29'!J23)</f>
        <v>0</v>
      </c>
      <c r="I21" s="618">
        <f>SUM('Apr 29:Jun 29'!M23)</f>
        <v>0</v>
      </c>
      <c r="J21" s="618"/>
      <c r="K21" s="618"/>
      <c r="L21" s="618">
        <f>SUM('Apr 29:Jun 29'!O23)</f>
        <v>0</v>
      </c>
      <c r="M21" s="618">
        <f>SUM('Apr 29:Jun 29'!P23)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SUM('Apr 29:Jun 29'!G24)</f>
        <v>0</v>
      </c>
      <c r="G22" s="618">
        <f>SUM('Apr 29:Jun 29'!I24)</f>
        <v>0</v>
      </c>
      <c r="H22" s="618">
        <f>SUM('Apr 29:Jun 29'!J24)</f>
        <v>0</v>
      </c>
      <c r="I22" s="618">
        <f>SUM('Apr 29:Jun 29'!M24)</f>
        <v>0</v>
      </c>
      <c r="J22" s="618"/>
      <c r="K22" s="618"/>
      <c r="L22" s="618">
        <f>SUM('Apr 29:Jun 29'!O24)</f>
        <v>0</v>
      </c>
      <c r="M22" s="618">
        <f>SUM('Apr 29:Jun 29'!P24)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SUM('Apr 29:Jun 29'!G25)</f>
        <v>0</v>
      </c>
      <c r="G23" s="618">
        <f>SUM('Apr 29:Jun 29'!I25)</f>
        <v>0</v>
      </c>
      <c r="H23" s="618">
        <f>SUM('Apr 29:Jun 29'!J25)</f>
        <v>0</v>
      </c>
      <c r="I23" s="618">
        <f>SUM('Apr 29:Jun 29'!M25)</f>
        <v>0</v>
      </c>
      <c r="J23" s="618"/>
      <c r="K23" s="618"/>
      <c r="L23" s="618">
        <f>SUM('Apr 29:Jun 29'!O25)</f>
        <v>0</v>
      </c>
      <c r="M23" s="618">
        <f>SUM('Apr 29:Jun 29'!P25)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SUM('Apr 29:Jun 29'!G26)</f>
        <v>0</v>
      </c>
      <c r="G24" s="618">
        <f>SUM('Apr 29:Jun 29'!I26)</f>
        <v>0</v>
      </c>
      <c r="H24" s="618">
        <f>SUM('Apr 29:Jun 29'!J26)</f>
        <v>0</v>
      </c>
      <c r="I24" s="618">
        <f>SUM('Apr 29:Jun 29'!M26)</f>
        <v>0</v>
      </c>
      <c r="J24" s="618"/>
      <c r="K24" s="618"/>
      <c r="L24" s="618">
        <f>SUM('Apr 29:Jun 29'!O26)</f>
        <v>0</v>
      </c>
      <c r="M24" s="618">
        <f>SUM('Apr 29:Jun 29'!P26)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SUM('Apr 29:Jun 29'!G27)</f>
        <v>0</v>
      </c>
      <c r="G25" s="618">
        <f>SUM('Apr 29:Jun 29'!I27)</f>
        <v>0</v>
      </c>
      <c r="H25" s="618">
        <f>SUM('Apr 29:Jun 29'!J27)</f>
        <v>0</v>
      </c>
      <c r="I25" s="618">
        <f>SUM('Apr 29:Jun 29'!M27)</f>
        <v>0</v>
      </c>
      <c r="J25" s="618"/>
      <c r="K25" s="618"/>
      <c r="L25" s="618">
        <f>SUM('Apr 29:Jun 29'!O27)</f>
        <v>0</v>
      </c>
      <c r="M25" s="618">
        <f>SUM('Apr 29:Jun 29'!P27)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SUM('Apr 29:Jun 29'!G28)</f>
        <v>0</v>
      </c>
      <c r="G26" s="618">
        <f>SUM('Apr 29:Jun 29'!I28)</f>
        <v>0</v>
      </c>
      <c r="H26" s="618">
        <f>SUM('Apr 29:Jun 29'!J28)</f>
        <v>0</v>
      </c>
      <c r="I26" s="618">
        <f>SUM('Apr 29:Jun 29'!M28)</f>
        <v>0</v>
      </c>
      <c r="J26" s="618"/>
      <c r="K26" s="618"/>
      <c r="L26" s="618">
        <f>SUM('Apr 29:Jun 29'!O28)</f>
        <v>0</v>
      </c>
      <c r="M26" s="618">
        <f>SUM('Apr 29:Jun 29'!P28)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SUM('Apr 29:Jun 29'!G29)</f>
        <v>0</v>
      </c>
      <c r="G27" s="618">
        <f>SUM('Apr 29:Jun 29'!I29)</f>
        <v>0</v>
      </c>
      <c r="H27" s="618">
        <f>SUM('Apr 29:Jun 29'!J29)</f>
        <v>0</v>
      </c>
      <c r="I27" s="618">
        <f>SUM('Apr 29:Jun 29'!M29)</f>
        <v>0</v>
      </c>
      <c r="J27" s="618"/>
      <c r="K27" s="618"/>
      <c r="L27" s="618">
        <f>SUM('Apr 29:Jun 29'!O29)</f>
        <v>0</v>
      </c>
      <c r="M27" s="618">
        <f>SUM('Apr 29:Jun 29'!P29)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SUM('Apr 29:Jun 29'!G30)</f>
        <v>0</v>
      </c>
      <c r="G28" s="618">
        <f>SUM('Apr 29:Jun 29'!I30)</f>
        <v>0</v>
      </c>
      <c r="H28" s="618">
        <f>SUM('Apr 29:Jun 29'!J30)</f>
        <v>0</v>
      </c>
      <c r="I28" s="618">
        <f>SUM('Apr 29:Jun 29'!M30)</f>
        <v>0</v>
      </c>
      <c r="J28" s="618"/>
      <c r="K28" s="618"/>
      <c r="L28" s="618">
        <f>SUM('Apr 29:Jun 29'!O30)</f>
        <v>0</v>
      </c>
      <c r="M28" s="618">
        <f>SUM('Apr 29:Jun 29'!P30)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SUM('Apr 29:Jun 29'!G31)</f>
        <v>0</v>
      </c>
      <c r="G29" s="618">
        <f>SUM('Apr 29:Jun 29'!I31)</f>
        <v>0</v>
      </c>
      <c r="H29" s="618">
        <f>SUM('Apr 29:Jun 29'!J31)</f>
        <v>0</v>
      </c>
      <c r="I29" s="618">
        <f>SUM('Apr 29:Jun 29'!M31)</f>
        <v>0</v>
      </c>
      <c r="J29" s="618"/>
      <c r="K29" s="618"/>
      <c r="L29" s="618">
        <f>SUM('Apr 29:Jun 29'!O31)</f>
        <v>0</v>
      </c>
      <c r="M29" s="618">
        <f>SUM('Apr 29:Jun 29'!P31)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SUM('Apr 29:Jun 29'!G32)</f>
        <v>0</v>
      </c>
      <c r="G30" s="618">
        <f>SUM('Apr 29:Jun 29'!I32)</f>
        <v>0</v>
      </c>
      <c r="H30" s="618">
        <f>SUM('Apr 29:Jun 29'!J32)</f>
        <v>0</v>
      </c>
      <c r="I30" s="618">
        <f>SUM('Apr 29:Jun 29'!M32)</f>
        <v>0</v>
      </c>
      <c r="J30" s="618"/>
      <c r="K30" s="618"/>
      <c r="L30" s="618">
        <f>SUM('Apr 29:Jun 29'!O32)</f>
        <v>0</v>
      </c>
      <c r="M30" s="618">
        <f>SUM('Apr 29:Jun 29'!P32)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SUM('Apr 29:Jun 29'!G33)</f>
        <v>0</v>
      </c>
      <c r="G31" s="618">
        <f>SUM('Apr 29:Jun 29'!I33)</f>
        <v>0</v>
      </c>
      <c r="H31" s="618">
        <f>SUM('Apr 29:Jun 29'!J33)</f>
        <v>0</v>
      </c>
      <c r="I31" s="618">
        <f>SUM('Apr 29:Jun 29'!M33)</f>
        <v>0</v>
      </c>
      <c r="J31" s="618"/>
      <c r="K31" s="618"/>
      <c r="L31" s="618">
        <f>SUM('Apr 29:Jun 29'!O33)</f>
        <v>0</v>
      </c>
      <c r="M31" s="618">
        <f>SUM('Apr 29:Jun 29'!P33)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SUM('Apr 29:Jun 29'!G34)</f>
        <v>0</v>
      </c>
      <c r="G32" s="618">
        <f>SUM('Apr 29:Jun 29'!I34)</f>
        <v>0</v>
      </c>
      <c r="H32" s="618">
        <f>SUM('Apr 29:Jun 29'!J34)</f>
        <v>0</v>
      </c>
      <c r="I32" s="618">
        <f>SUM('Apr 29:Jun 29'!M34)</f>
        <v>0</v>
      </c>
      <c r="J32" s="618"/>
      <c r="K32" s="618"/>
      <c r="L32" s="618">
        <f>SUM('Apr 29:Jun 29'!O34)</f>
        <v>0</v>
      </c>
      <c r="M32" s="618">
        <f>SUM('Apr 29:Jun 29'!P34)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SUM('Apr 29:Jun 29'!G35)</f>
        <v>0</v>
      </c>
      <c r="G33" s="618">
        <f>SUM('Apr 29:Jun 29'!I35)</f>
        <v>0</v>
      </c>
      <c r="H33" s="618">
        <f>SUM('Apr 29:Jun 29'!J35)</f>
        <v>0</v>
      </c>
      <c r="I33" s="618">
        <f>SUM('Apr 29:Jun 29'!M35)</f>
        <v>0</v>
      </c>
      <c r="J33" s="618"/>
      <c r="K33" s="618"/>
      <c r="L33" s="618">
        <f>SUM('Apr 29:Jun 29'!O35)</f>
        <v>0</v>
      </c>
      <c r="M33" s="618">
        <f>SUM('Apr 29:Jun 29'!P35)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wd/4B0XepavB6gBxHABhtv6DblSWPdPylehtlzNQbQFavHCewI1ddxMExXVc2UYWSYN0a8NZ6lCCP8niH3dHEg==" saltValue="Z0LuLz/8tT6eMO+gY+H+pw=="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7F7B-4D09-4B48-8717-2A708FCBCA0F}">
  <sheetPr codeName="Sheet64">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800</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SUM('Jul 29:Sept 29'!G11)</f>
        <v>0</v>
      </c>
      <c r="G9" s="614">
        <f>SUM('Jul 29:Sept 29'!I11)</f>
        <v>0</v>
      </c>
      <c r="H9" s="614">
        <f>SUM('Jul 29:Sept 29'!J11)</f>
        <v>0</v>
      </c>
      <c r="I9" s="614">
        <f>SUM('Jul 29:Sept 29'!M11)</f>
        <v>0</v>
      </c>
      <c r="J9" s="614"/>
      <c r="K9" s="614"/>
      <c r="L9" s="614">
        <f>SUM('Jul 29:Sept 29'!O11)</f>
        <v>0</v>
      </c>
      <c r="M9" s="614">
        <f>SUM('Jul 29:Sept 29'!P11)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SUM('Jul 29:Sept 29'!G12)</f>
        <v>0</v>
      </c>
      <c r="G10" s="618">
        <f>SUM('Jul 29:Sept 29'!I12)</f>
        <v>0</v>
      </c>
      <c r="H10" s="618">
        <f>SUM('Jul 29:Sept 29'!J12)</f>
        <v>0</v>
      </c>
      <c r="I10" s="618">
        <f>SUM('Jul 29:Sept 29'!M12)</f>
        <v>0</v>
      </c>
      <c r="J10" s="618"/>
      <c r="K10" s="618"/>
      <c r="L10" s="618">
        <f>SUM('Jul 29:Sept 29'!O12)</f>
        <v>0</v>
      </c>
      <c r="M10" s="618">
        <f>SUM('Jul 29:Sept 29'!P12)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SUM('Jul 29:Sept 29'!G13)</f>
        <v>0</v>
      </c>
      <c r="G11" s="618">
        <f>SUM('Jul 29:Sept 29'!I13)</f>
        <v>0</v>
      </c>
      <c r="H11" s="618">
        <f>SUM('Jul 29:Sept 29'!J13)</f>
        <v>0</v>
      </c>
      <c r="I11" s="618">
        <f>SUM('Jul 29:Sept 29'!M13)</f>
        <v>0</v>
      </c>
      <c r="J11" s="618"/>
      <c r="K11" s="618"/>
      <c r="L11" s="618">
        <f>SUM('Jul 29:Sept 29'!O13)</f>
        <v>0</v>
      </c>
      <c r="M11" s="618">
        <f>SUM('Jul 29:Sept 29'!P13)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SUM('Jul 29:Sept 29'!G14)</f>
        <v>0</v>
      </c>
      <c r="G12" s="618">
        <f>SUM('Jul 29:Sept 29'!I14)</f>
        <v>0</v>
      </c>
      <c r="H12" s="618">
        <f>SUM('Jul 29:Sept 29'!J14)</f>
        <v>0</v>
      </c>
      <c r="I12" s="618">
        <f>SUM('Jul 29:Sept 29'!M14)</f>
        <v>0</v>
      </c>
      <c r="J12" s="618"/>
      <c r="K12" s="618"/>
      <c r="L12" s="618">
        <f>SUM('Jul 29:Sept 29'!O14)</f>
        <v>0</v>
      </c>
      <c r="M12" s="618">
        <f>SUM('Jul 29:Sept 29'!P14)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SUM('Jul 29:Sept 29'!G15)</f>
        <v>0</v>
      </c>
      <c r="G13" s="618">
        <f>SUM('Jul 29:Sept 29'!I15)</f>
        <v>0</v>
      </c>
      <c r="H13" s="618">
        <f>SUM('Jul 29:Sept 29'!J15)</f>
        <v>0</v>
      </c>
      <c r="I13" s="618">
        <f>SUM('Jul 29:Sept 29'!M15)</f>
        <v>0</v>
      </c>
      <c r="J13" s="618"/>
      <c r="K13" s="618"/>
      <c r="L13" s="618">
        <f>SUM('Jul 29:Sept 29'!O15)</f>
        <v>0</v>
      </c>
      <c r="M13" s="618">
        <f>SUM('Jul 29:Sept 29'!P15)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SUM('Jul 29:Sept 29'!G16)</f>
        <v>0</v>
      </c>
      <c r="G14" s="618">
        <f>SUM('Jul 29:Sept 29'!I16)</f>
        <v>0</v>
      </c>
      <c r="H14" s="618">
        <f>SUM('Jul 29:Sept 29'!J16)</f>
        <v>0</v>
      </c>
      <c r="I14" s="618">
        <f>SUM('Jul 29:Sept 29'!M16)</f>
        <v>0</v>
      </c>
      <c r="J14" s="618"/>
      <c r="K14" s="618"/>
      <c r="L14" s="618">
        <f>SUM('Jul 29:Sept 29'!O16)</f>
        <v>0</v>
      </c>
      <c r="M14" s="618">
        <f>SUM('Jul 29:Sept 29'!P16)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SUM('Jul 29:Sept 29'!G17)</f>
        <v>0</v>
      </c>
      <c r="G15" s="618">
        <f>SUM('Jul 29:Sept 29'!I17)</f>
        <v>0</v>
      </c>
      <c r="H15" s="618">
        <f>SUM('Jul 29:Sept 29'!J17)</f>
        <v>0</v>
      </c>
      <c r="I15" s="618">
        <f>SUM('Jul 29:Sept 29'!M17)</f>
        <v>0</v>
      </c>
      <c r="J15" s="618"/>
      <c r="K15" s="618"/>
      <c r="L15" s="618">
        <f>SUM('Jul 29:Sept 29'!O17)</f>
        <v>0</v>
      </c>
      <c r="M15" s="618">
        <f>SUM('Jul 29:Sept 29'!P17)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SUM('Jul 29:Sept 29'!G18)</f>
        <v>0</v>
      </c>
      <c r="G16" s="618">
        <f>SUM('Jul 29:Sept 29'!I18)</f>
        <v>0</v>
      </c>
      <c r="H16" s="618">
        <f>SUM('Jul 29:Sept 29'!J18)</f>
        <v>0</v>
      </c>
      <c r="I16" s="618">
        <f>SUM('Jul 29:Sept 29'!M18)</f>
        <v>0</v>
      </c>
      <c r="J16" s="618"/>
      <c r="K16" s="618"/>
      <c r="L16" s="618">
        <f>SUM('Jul 29:Sept 29'!O18)</f>
        <v>0</v>
      </c>
      <c r="M16" s="618">
        <f>SUM('Jul 29:Sept 29'!P18)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SUM('Jul 29:Sept 29'!G19)</f>
        <v>0</v>
      </c>
      <c r="G17" s="618">
        <f>SUM('Jul 29:Sept 29'!I19)</f>
        <v>0</v>
      </c>
      <c r="H17" s="618">
        <f>SUM('Jul 29:Sept 29'!J19)</f>
        <v>0</v>
      </c>
      <c r="I17" s="618">
        <f>SUM('Jul 29:Sept 29'!M19)</f>
        <v>0</v>
      </c>
      <c r="J17" s="618"/>
      <c r="K17" s="618"/>
      <c r="L17" s="618">
        <f>SUM('Jul 29:Sept 29'!O19)</f>
        <v>0</v>
      </c>
      <c r="M17" s="618">
        <f>SUM('Jul 29:Sept 29'!P19)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SUM('Jul 29:Sept 29'!G20)</f>
        <v>0</v>
      </c>
      <c r="G18" s="618">
        <f>SUM('Jul 29:Sept 29'!I20)</f>
        <v>0</v>
      </c>
      <c r="H18" s="618">
        <f>SUM('Jul 29:Sept 29'!J20)</f>
        <v>0</v>
      </c>
      <c r="I18" s="618">
        <f>SUM('Jul 29:Sept 29'!M20)</f>
        <v>0</v>
      </c>
      <c r="J18" s="618"/>
      <c r="K18" s="618"/>
      <c r="L18" s="618">
        <f>SUM('Jul 29:Sept 29'!O20)</f>
        <v>0</v>
      </c>
      <c r="M18" s="618">
        <f>SUM('Jul 29:Sept 29'!P20)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SUM('Jul 29:Sept 29'!G21)</f>
        <v>0</v>
      </c>
      <c r="G19" s="618">
        <f>SUM('Jul 29:Sept 29'!I21)</f>
        <v>0</v>
      </c>
      <c r="H19" s="618">
        <f>SUM('Jul 29:Sept 29'!J21)</f>
        <v>0</v>
      </c>
      <c r="I19" s="618">
        <f>SUM('Jul 29:Sept 29'!M21)</f>
        <v>0</v>
      </c>
      <c r="J19" s="618"/>
      <c r="K19" s="618"/>
      <c r="L19" s="618">
        <f>SUM('Jul 29:Sept 29'!O21)</f>
        <v>0</v>
      </c>
      <c r="M19" s="618">
        <f>SUM('Jul 29:Sept 29'!P21)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SUM('Jul 29:Sept 29'!G22)</f>
        <v>0</v>
      </c>
      <c r="G20" s="618">
        <f>SUM('Jul 29:Sept 29'!I22)</f>
        <v>0</v>
      </c>
      <c r="H20" s="618">
        <f>SUM('Jul 29:Sept 29'!J22)</f>
        <v>0</v>
      </c>
      <c r="I20" s="618">
        <f>SUM('Jul 29:Sept 29'!M22)</f>
        <v>0</v>
      </c>
      <c r="J20" s="618"/>
      <c r="K20" s="618"/>
      <c r="L20" s="618">
        <f>SUM('Jul 29:Sept 29'!O22)</f>
        <v>0</v>
      </c>
      <c r="M20" s="618">
        <f>SUM('Jul 29:Sept 29'!P22)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SUM('Jul 29:Sept 29'!G23)</f>
        <v>0</v>
      </c>
      <c r="G21" s="618">
        <f>SUM('Jul 29:Sept 29'!I23)</f>
        <v>0</v>
      </c>
      <c r="H21" s="618">
        <f>SUM('Jul 29:Sept 29'!J23)</f>
        <v>0</v>
      </c>
      <c r="I21" s="618">
        <f>SUM('Jul 29:Sept 29'!M23)</f>
        <v>0</v>
      </c>
      <c r="J21" s="618"/>
      <c r="K21" s="618"/>
      <c r="L21" s="618">
        <f>SUM('Jul 29:Sept 29'!O23)</f>
        <v>0</v>
      </c>
      <c r="M21" s="618">
        <f>SUM('Jul 29:Sept 29'!P23)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SUM('Jul 29:Sept 29'!G24)</f>
        <v>0</v>
      </c>
      <c r="G22" s="618">
        <f>SUM('Jul 29:Sept 29'!I24)</f>
        <v>0</v>
      </c>
      <c r="H22" s="618">
        <f>SUM('Jul 29:Sept 29'!J24)</f>
        <v>0</v>
      </c>
      <c r="I22" s="618">
        <f>SUM('Jul 29:Sept 29'!M24)</f>
        <v>0</v>
      </c>
      <c r="J22" s="618"/>
      <c r="K22" s="618"/>
      <c r="L22" s="618">
        <f>SUM('Jul 29:Sept 29'!O24)</f>
        <v>0</v>
      </c>
      <c r="M22" s="618">
        <f>SUM('Jul 29:Sept 29'!P24)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SUM('Jul 29:Sept 29'!G25)</f>
        <v>0</v>
      </c>
      <c r="G23" s="618">
        <f>SUM('Jul 29:Sept 29'!I25)</f>
        <v>0</v>
      </c>
      <c r="H23" s="618">
        <f>SUM('Jul 29:Sept 29'!J25)</f>
        <v>0</v>
      </c>
      <c r="I23" s="618">
        <f>SUM('Jul 29:Sept 29'!M25)</f>
        <v>0</v>
      </c>
      <c r="J23" s="618"/>
      <c r="K23" s="618"/>
      <c r="L23" s="618">
        <f>SUM('Jul 29:Sept 29'!O25)</f>
        <v>0</v>
      </c>
      <c r="M23" s="618">
        <f>SUM('Jul 29:Sept 29'!P25)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SUM('Jul 29:Sept 29'!G26)</f>
        <v>0</v>
      </c>
      <c r="G24" s="618">
        <f>SUM('Jul 29:Sept 29'!I26)</f>
        <v>0</v>
      </c>
      <c r="H24" s="618">
        <f>SUM('Jul 29:Sept 29'!J26)</f>
        <v>0</v>
      </c>
      <c r="I24" s="618">
        <f>SUM('Jul 29:Sept 29'!M26)</f>
        <v>0</v>
      </c>
      <c r="J24" s="618"/>
      <c r="K24" s="618"/>
      <c r="L24" s="618">
        <f>SUM('Jul 29:Sept 29'!O26)</f>
        <v>0</v>
      </c>
      <c r="M24" s="618">
        <f>SUM('Jul 29:Sept 29'!P26)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SUM('Jul 29:Sept 29'!G27)</f>
        <v>0</v>
      </c>
      <c r="G25" s="618">
        <f>SUM('Jul 29:Sept 29'!I27)</f>
        <v>0</v>
      </c>
      <c r="H25" s="618">
        <f>SUM('Jul 29:Sept 29'!J27)</f>
        <v>0</v>
      </c>
      <c r="I25" s="618">
        <f>SUM('Jul 29:Sept 29'!M27)</f>
        <v>0</v>
      </c>
      <c r="J25" s="618"/>
      <c r="K25" s="618"/>
      <c r="L25" s="618">
        <f>SUM('Jul 29:Sept 29'!O27)</f>
        <v>0</v>
      </c>
      <c r="M25" s="618">
        <f>SUM('Jul 29:Sept 29'!P27)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SUM('Jul 29:Sept 29'!G28)</f>
        <v>0</v>
      </c>
      <c r="G26" s="618">
        <f>SUM('Jul 29:Sept 29'!I28)</f>
        <v>0</v>
      </c>
      <c r="H26" s="618">
        <f>SUM('Jul 29:Sept 29'!J28)</f>
        <v>0</v>
      </c>
      <c r="I26" s="618">
        <f>SUM('Jul 29:Sept 29'!M28)</f>
        <v>0</v>
      </c>
      <c r="J26" s="618"/>
      <c r="K26" s="618"/>
      <c r="L26" s="618">
        <f>SUM('Jul 29:Sept 29'!O28)</f>
        <v>0</v>
      </c>
      <c r="M26" s="618">
        <f>SUM('Jul 29:Sept 29'!P28)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SUM('Jul 29:Sept 29'!G29)</f>
        <v>0</v>
      </c>
      <c r="G27" s="618">
        <f>SUM('Jul 29:Sept 29'!I29)</f>
        <v>0</v>
      </c>
      <c r="H27" s="618">
        <f>SUM('Jul 29:Sept 29'!J29)</f>
        <v>0</v>
      </c>
      <c r="I27" s="618">
        <f>SUM('Jul 29:Sept 29'!M29)</f>
        <v>0</v>
      </c>
      <c r="J27" s="618"/>
      <c r="K27" s="618"/>
      <c r="L27" s="618">
        <f>SUM('Jul 29:Sept 29'!O29)</f>
        <v>0</v>
      </c>
      <c r="M27" s="618">
        <f>SUM('Jul 29:Sept 29'!P29)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SUM('Jul 29:Sept 29'!G30)</f>
        <v>0</v>
      </c>
      <c r="G28" s="618">
        <f>SUM('Jul 29:Sept 29'!I30)</f>
        <v>0</v>
      </c>
      <c r="H28" s="618">
        <f>SUM('Jul 29:Sept 29'!J30)</f>
        <v>0</v>
      </c>
      <c r="I28" s="618">
        <f>SUM('Jul 29:Sept 29'!M30)</f>
        <v>0</v>
      </c>
      <c r="J28" s="618"/>
      <c r="K28" s="618"/>
      <c r="L28" s="618">
        <f>SUM('Jul 29:Sept 29'!O30)</f>
        <v>0</v>
      </c>
      <c r="M28" s="618">
        <f>SUM('Jul 29:Sept 29'!P30)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SUM('Jul 29:Sept 29'!G31)</f>
        <v>0</v>
      </c>
      <c r="G29" s="618">
        <f>SUM('Jul 29:Sept 29'!I31)</f>
        <v>0</v>
      </c>
      <c r="H29" s="618">
        <f>SUM('Jul 29:Sept 29'!J31)</f>
        <v>0</v>
      </c>
      <c r="I29" s="618">
        <f>SUM('Jul 29:Sept 29'!M31)</f>
        <v>0</v>
      </c>
      <c r="J29" s="618"/>
      <c r="K29" s="618"/>
      <c r="L29" s="618">
        <f>SUM('Jul 29:Sept 29'!O31)</f>
        <v>0</v>
      </c>
      <c r="M29" s="618">
        <f>SUM('Jul 29:Sept 29'!P31)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SUM('Jul 29:Sept 29'!G32)</f>
        <v>0</v>
      </c>
      <c r="G30" s="618">
        <f>SUM('Jul 29:Sept 29'!I32)</f>
        <v>0</v>
      </c>
      <c r="H30" s="618">
        <f>SUM('Jul 29:Sept 29'!J32)</f>
        <v>0</v>
      </c>
      <c r="I30" s="618">
        <f>SUM('Jul 29:Sept 29'!M32)</f>
        <v>0</v>
      </c>
      <c r="J30" s="618"/>
      <c r="K30" s="618"/>
      <c r="L30" s="618">
        <f>SUM('Jul 29:Sept 29'!O32)</f>
        <v>0</v>
      </c>
      <c r="M30" s="618">
        <f>SUM('Jul 29:Sept 29'!P32)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SUM('Jul 29:Sept 29'!G33)</f>
        <v>0</v>
      </c>
      <c r="G31" s="618">
        <f>SUM('Jul 29:Sept 29'!I33)</f>
        <v>0</v>
      </c>
      <c r="H31" s="618">
        <f>SUM('Jul 29:Sept 29'!J33)</f>
        <v>0</v>
      </c>
      <c r="I31" s="618">
        <f>SUM('Jul 29:Sept 29'!M33)</f>
        <v>0</v>
      </c>
      <c r="J31" s="618"/>
      <c r="K31" s="618"/>
      <c r="L31" s="618">
        <f>SUM('Jul 29:Sept 29'!O33)</f>
        <v>0</v>
      </c>
      <c r="M31" s="618">
        <f>SUM('Jul 29:Sept 29'!P33)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SUM('Jul 29:Sept 29'!G34)</f>
        <v>0</v>
      </c>
      <c r="G32" s="618">
        <f>SUM('Jul 29:Sept 29'!I34)</f>
        <v>0</v>
      </c>
      <c r="H32" s="618">
        <f>SUM('Jul 29:Sept 29'!J34)</f>
        <v>0</v>
      </c>
      <c r="I32" s="618">
        <f>SUM('Jul 29:Sept 29'!M34)</f>
        <v>0</v>
      </c>
      <c r="J32" s="618"/>
      <c r="K32" s="618"/>
      <c r="L32" s="618">
        <f>SUM('Jul 29:Sept 29'!O34)</f>
        <v>0</v>
      </c>
      <c r="M32" s="618">
        <f>SUM('Jul 29:Sept 29'!P34)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SUM('Jul 29:Sept 29'!G35)</f>
        <v>0</v>
      </c>
      <c r="G33" s="618">
        <f>SUM('Jul 29:Sept 29'!I35)</f>
        <v>0</v>
      </c>
      <c r="H33" s="618">
        <f>SUM('Jul 29:Sept 29'!J35)</f>
        <v>0</v>
      </c>
      <c r="I33" s="618">
        <f>SUM('Jul 29:Sept 29'!M35)</f>
        <v>0</v>
      </c>
      <c r="J33" s="618"/>
      <c r="K33" s="618"/>
      <c r="L33" s="618">
        <f>SUM('Jul 29:Sept 29'!O35)</f>
        <v>0</v>
      </c>
      <c r="M33" s="618">
        <f>SUM('Jul 29:Sept 29'!P35)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kqfwzTHkOSTKfFDW85f4Z+Afj+47GCA7eYTetG5iB7tI8pDJQndbPkSJYi7rcozD7UZrs8L42Jr3dZSr/UjkAw==" saltValue="jUrZbwXuRhvb/noqCYwlmA=="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50AFF-F79D-4359-8E07-31AB2FB806DF}">
  <sheetPr codeName="Sheet65">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801</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SUM('Oct 29:Dec 29'!G11)</f>
        <v>0</v>
      </c>
      <c r="G9" s="614">
        <f>SUM('Oct 29:Dec 29'!I11)</f>
        <v>0</v>
      </c>
      <c r="H9" s="614">
        <f>SUM('Oct 29:Dec 29'!J11)</f>
        <v>0</v>
      </c>
      <c r="I9" s="614">
        <f>SUM('Oct 29:Dec 29'!M11)</f>
        <v>0</v>
      </c>
      <c r="J9" s="614"/>
      <c r="K9" s="614"/>
      <c r="L9" s="614">
        <f>SUM('Oct 29:Dec 29'!O11)</f>
        <v>0</v>
      </c>
      <c r="M9" s="614">
        <f>SUM('Oct 29:Dec 29'!P11)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SUM('Oct 29:Dec 29'!G12)</f>
        <v>0</v>
      </c>
      <c r="G10" s="618">
        <f>SUM('Oct 29:Dec 29'!I12)</f>
        <v>0</v>
      </c>
      <c r="H10" s="618">
        <f>SUM('Oct 29:Dec 29'!J12)</f>
        <v>0</v>
      </c>
      <c r="I10" s="618">
        <f>SUM('Oct 29:Dec 29'!M12)</f>
        <v>0</v>
      </c>
      <c r="J10" s="618"/>
      <c r="K10" s="618"/>
      <c r="L10" s="618">
        <f>SUM('Oct 29:Dec 29'!O12)</f>
        <v>0</v>
      </c>
      <c r="M10" s="618">
        <f>SUM('Oct 29:Dec 29'!P12)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SUM('Oct 29:Dec 29'!G13)</f>
        <v>0</v>
      </c>
      <c r="G11" s="618">
        <f>SUM('Oct 29:Dec 29'!I13)</f>
        <v>0</v>
      </c>
      <c r="H11" s="618">
        <f>SUM('Oct 29:Dec 29'!J13)</f>
        <v>0</v>
      </c>
      <c r="I11" s="618">
        <f>SUM('Oct 29:Dec 29'!M13)</f>
        <v>0</v>
      </c>
      <c r="J11" s="618"/>
      <c r="K11" s="618"/>
      <c r="L11" s="618">
        <f>SUM('Oct 29:Dec 29'!O13)</f>
        <v>0</v>
      </c>
      <c r="M11" s="618">
        <f>SUM('Oct 29:Dec 29'!P13)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SUM('Oct 29:Dec 29'!G14)</f>
        <v>0</v>
      </c>
      <c r="G12" s="618">
        <f>SUM('Oct 29:Dec 29'!I14)</f>
        <v>0</v>
      </c>
      <c r="H12" s="618">
        <f>SUM('Oct 29:Dec 29'!J14)</f>
        <v>0</v>
      </c>
      <c r="I12" s="618">
        <f>SUM('Oct 29:Dec 29'!M14)</f>
        <v>0</v>
      </c>
      <c r="J12" s="618"/>
      <c r="K12" s="618"/>
      <c r="L12" s="618">
        <f>SUM('Oct 29:Dec 29'!O14)</f>
        <v>0</v>
      </c>
      <c r="M12" s="618">
        <f>SUM('Oct 29:Dec 29'!P14)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SUM('Oct 29:Dec 29'!G15)</f>
        <v>0</v>
      </c>
      <c r="G13" s="618">
        <f>SUM('Oct 29:Dec 29'!I15)</f>
        <v>0</v>
      </c>
      <c r="H13" s="618">
        <f>SUM('Oct 29:Dec 29'!J15)</f>
        <v>0</v>
      </c>
      <c r="I13" s="618">
        <f>SUM('Oct 29:Dec 29'!M15)</f>
        <v>0</v>
      </c>
      <c r="J13" s="618"/>
      <c r="K13" s="618"/>
      <c r="L13" s="618">
        <f>SUM('Oct 29:Dec 29'!O15)</f>
        <v>0</v>
      </c>
      <c r="M13" s="618">
        <f>SUM('Oct 29:Dec 29'!P15)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SUM('Oct 29:Dec 29'!G16)</f>
        <v>0</v>
      </c>
      <c r="G14" s="618">
        <f>SUM('Oct 29:Dec 29'!I16)</f>
        <v>0</v>
      </c>
      <c r="H14" s="618">
        <f>SUM('Oct 29:Dec 29'!J16)</f>
        <v>0</v>
      </c>
      <c r="I14" s="618">
        <f>SUM('Oct 29:Dec 29'!M16)</f>
        <v>0</v>
      </c>
      <c r="J14" s="618"/>
      <c r="K14" s="618"/>
      <c r="L14" s="618">
        <f>SUM('Oct 29:Dec 29'!O16)</f>
        <v>0</v>
      </c>
      <c r="M14" s="618">
        <f>SUM('Oct 29:Dec 29'!P16)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SUM('Oct 29:Dec 29'!G17)</f>
        <v>0</v>
      </c>
      <c r="G15" s="618">
        <f>SUM('Oct 29:Dec 29'!I17)</f>
        <v>0</v>
      </c>
      <c r="H15" s="618">
        <f>SUM('Oct 29:Dec 29'!J17)</f>
        <v>0</v>
      </c>
      <c r="I15" s="618">
        <f>SUM('Oct 29:Dec 29'!M17)</f>
        <v>0</v>
      </c>
      <c r="J15" s="618"/>
      <c r="K15" s="618"/>
      <c r="L15" s="618">
        <f>SUM('Oct 29:Dec 29'!O17)</f>
        <v>0</v>
      </c>
      <c r="M15" s="618">
        <f>SUM('Oct 29:Dec 29'!P17)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SUM('Oct 29:Dec 29'!G18)</f>
        <v>0</v>
      </c>
      <c r="G16" s="618">
        <f>SUM('Oct 29:Dec 29'!I18)</f>
        <v>0</v>
      </c>
      <c r="H16" s="618">
        <f>SUM('Oct 29:Dec 29'!J18)</f>
        <v>0</v>
      </c>
      <c r="I16" s="618">
        <f>SUM('Oct 29:Dec 29'!M18)</f>
        <v>0</v>
      </c>
      <c r="J16" s="618"/>
      <c r="K16" s="618"/>
      <c r="L16" s="618">
        <f>SUM('Oct 29:Dec 29'!O18)</f>
        <v>0</v>
      </c>
      <c r="M16" s="618">
        <f>SUM('Oct 29:Dec 29'!P18)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SUM('Oct 29:Dec 29'!G19)</f>
        <v>0</v>
      </c>
      <c r="G17" s="618">
        <f>SUM('Oct 29:Dec 29'!I19)</f>
        <v>0</v>
      </c>
      <c r="H17" s="618">
        <f>SUM('Oct 29:Dec 29'!J19)</f>
        <v>0</v>
      </c>
      <c r="I17" s="618">
        <f>SUM('Oct 29:Dec 29'!M19)</f>
        <v>0</v>
      </c>
      <c r="J17" s="618"/>
      <c r="K17" s="618"/>
      <c r="L17" s="618">
        <f>SUM('Oct 29:Dec 29'!O19)</f>
        <v>0</v>
      </c>
      <c r="M17" s="618">
        <f>SUM('Oct 29:Dec 29'!P19)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SUM('Oct 29:Dec 29'!G20)</f>
        <v>0</v>
      </c>
      <c r="G18" s="618">
        <f>SUM('Oct 29:Dec 29'!I20)</f>
        <v>0</v>
      </c>
      <c r="H18" s="618">
        <f>SUM('Oct 29:Dec 29'!J20)</f>
        <v>0</v>
      </c>
      <c r="I18" s="618">
        <f>SUM('Oct 29:Dec 29'!M20)</f>
        <v>0</v>
      </c>
      <c r="J18" s="618"/>
      <c r="K18" s="618"/>
      <c r="L18" s="618">
        <f>SUM('Oct 29:Dec 29'!O20)</f>
        <v>0</v>
      </c>
      <c r="M18" s="618">
        <f>SUM('Oct 29:Dec 29'!P20)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SUM('Oct 29:Dec 29'!G21)</f>
        <v>0</v>
      </c>
      <c r="G19" s="618">
        <f>SUM('Oct 29:Dec 29'!I21)</f>
        <v>0</v>
      </c>
      <c r="H19" s="618">
        <f>SUM('Oct 29:Dec 29'!J21)</f>
        <v>0</v>
      </c>
      <c r="I19" s="618">
        <f>SUM('Oct 29:Dec 29'!M21)</f>
        <v>0</v>
      </c>
      <c r="J19" s="618"/>
      <c r="K19" s="618"/>
      <c r="L19" s="618">
        <f>SUM('Oct 29:Dec 29'!O21)</f>
        <v>0</v>
      </c>
      <c r="M19" s="618">
        <f>SUM('Oct 29:Dec 29'!P21)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SUM('Oct 29:Dec 29'!G22)</f>
        <v>0</v>
      </c>
      <c r="G20" s="618">
        <f>SUM('Oct 29:Dec 29'!I22)</f>
        <v>0</v>
      </c>
      <c r="H20" s="618">
        <f>SUM('Oct 29:Dec 29'!J22)</f>
        <v>0</v>
      </c>
      <c r="I20" s="618">
        <f>SUM('Oct 29:Dec 29'!M22)</f>
        <v>0</v>
      </c>
      <c r="J20" s="618"/>
      <c r="K20" s="618"/>
      <c r="L20" s="618">
        <f>SUM('Oct 29:Dec 29'!O22)</f>
        <v>0</v>
      </c>
      <c r="M20" s="618">
        <f>SUM('Oct 29:Dec 29'!P22)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SUM('Oct 29:Dec 29'!G23)</f>
        <v>0</v>
      </c>
      <c r="G21" s="618">
        <f>SUM('Oct 29:Dec 29'!I23)</f>
        <v>0</v>
      </c>
      <c r="H21" s="618">
        <f>SUM('Oct 29:Dec 29'!J23)</f>
        <v>0</v>
      </c>
      <c r="I21" s="618">
        <f>SUM('Oct 29:Dec 29'!M23)</f>
        <v>0</v>
      </c>
      <c r="J21" s="618"/>
      <c r="K21" s="618"/>
      <c r="L21" s="618">
        <f>SUM('Oct 29:Dec 29'!O23)</f>
        <v>0</v>
      </c>
      <c r="M21" s="618">
        <f>SUM('Oct 29:Dec 29'!P23)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SUM('Oct 29:Dec 29'!G24)</f>
        <v>0</v>
      </c>
      <c r="G22" s="618">
        <f>SUM('Oct 29:Dec 29'!I24)</f>
        <v>0</v>
      </c>
      <c r="H22" s="618">
        <f>SUM('Oct 29:Dec 29'!J24)</f>
        <v>0</v>
      </c>
      <c r="I22" s="618">
        <f>SUM('Oct 29:Dec 29'!M24)</f>
        <v>0</v>
      </c>
      <c r="J22" s="618"/>
      <c r="K22" s="618"/>
      <c r="L22" s="618">
        <f>SUM('Oct 29:Dec 29'!O24)</f>
        <v>0</v>
      </c>
      <c r="M22" s="618">
        <f>SUM('Oct 29:Dec 29'!P24)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SUM('Oct 29:Dec 29'!G25)</f>
        <v>0</v>
      </c>
      <c r="G23" s="618">
        <f>SUM('Oct 29:Dec 29'!I25)</f>
        <v>0</v>
      </c>
      <c r="H23" s="618">
        <f>SUM('Oct 29:Dec 29'!J25)</f>
        <v>0</v>
      </c>
      <c r="I23" s="618">
        <f>SUM('Oct 29:Dec 29'!M25)</f>
        <v>0</v>
      </c>
      <c r="J23" s="618"/>
      <c r="K23" s="618"/>
      <c r="L23" s="618">
        <f>SUM('Oct 29:Dec 29'!O25)</f>
        <v>0</v>
      </c>
      <c r="M23" s="618">
        <f>SUM('Oct 29:Dec 29'!P25)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SUM('Oct 29:Dec 29'!G26)</f>
        <v>0</v>
      </c>
      <c r="G24" s="618">
        <f>SUM('Oct 29:Dec 29'!I26)</f>
        <v>0</v>
      </c>
      <c r="H24" s="618">
        <f>SUM('Oct 29:Dec 29'!J26)</f>
        <v>0</v>
      </c>
      <c r="I24" s="618">
        <f>SUM('Oct 29:Dec 29'!M26)</f>
        <v>0</v>
      </c>
      <c r="J24" s="618"/>
      <c r="K24" s="618"/>
      <c r="L24" s="618">
        <f>SUM('Oct 29:Dec 29'!O26)</f>
        <v>0</v>
      </c>
      <c r="M24" s="618">
        <f>SUM('Oct 29:Dec 29'!P26)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SUM('Oct 29:Dec 29'!G27)</f>
        <v>0</v>
      </c>
      <c r="G25" s="618">
        <f>SUM('Oct 29:Dec 29'!I27)</f>
        <v>0</v>
      </c>
      <c r="H25" s="618">
        <f>SUM('Oct 29:Dec 29'!J27)</f>
        <v>0</v>
      </c>
      <c r="I25" s="618">
        <f>SUM('Oct 29:Dec 29'!M27)</f>
        <v>0</v>
      </c>
      <c r="J25" s="618"/>
      <c r="K25" s="618"/>
      <c r="L25" s="618">
        <f>SUM('Oct 29:Dec 29'!O27)</f>
        <v>0</v>
      </c>
      <c r="M25" s="618">
        <f>SUM('Oct 29:Dec 29'!P27)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SUM('Oct 29:Dec 29'!G28)</f>
        <v>0</v>
      </c>
      <c r="G26" s="618">
        <f>SUM('Oct 29:Dec 29'!I28)</f>
        <v>0</v>
      </c>
      <c r="H26" s="618">
        <f>SUM('Oct 29:Dec 29'!J28)</f>
        <v>0</v>
      </c>
      <c r="I26" s="618">
        <f>SUM('Oct 29:Dec 29'!M28)</f>
        <v>0</v>
      </c>
      <c r="J26" s="618"/>
      <c r="K26" s="618"/>
      <c r="L26" s="618">
        <f>SUM('Oct 29:Dec 29'!O28)</f>
        <v>0</v>
      </c>
      <c r="M26" s="618">
        <f>SUM('Oct 29:Dec 29'!P28)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SUM('Oct 29:Dec 29'!G29)</f>
        <v>0</v>
      </c>
      <c r="G27" s="618">
        <f>SUM('Oct 29:Dec 29'!I29)</f>
        <v>0</v>
      </c>
      <c r="H27" s="618">
        <f>SUM('Oct 29:Dec 29'!J29)</f>
        <v>0</v>
      </c>
      <c r="I27" s="618">
        <f>SUM('Oct 29:Dec 29'!M29)</f>
        <v>0</v>
      </c>
      <c r="J27" s="618"/>
      <c r="K27" s="618"/>
      <c r="L27" s="618">
        <f>SUM('Oct 29:Dec 29'!O29)</f>
        <v>0</v>
      </c>
      <c r="M27" s="618">
        <f>SUM('Oct 29:Dec 29'!P29)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SUM('Oct 29:Dec 29'!G30)</f>
        <v>0</v>
      </c>
      <c r="G28" s="618">
        <f>SUM('Oct 29:Dec 29'!I30)</f>
        <v>0</v>
      </c>
      <c r="H28" s="618">
        <f>SUM('Oct 29:Dec 29'!J30)</f>
        <v>0</v>
      </c>
      <c r="I28" s="618">
        <f>SUM('Oct 29:Dec 29'!M30)</f>
        <v>0</v>
      </c>
      <c r="J28" s="618"/>
      <c r="K28" s="618"/>
      <c r="L28" s="618">
        <f>SUM('Oct 29:Dec 29'!O30)</f>
        <v>0</v>
      </c>
      <c r="M28" s="618">
        <f>SUM('Oct 29:Dec 29'!P30)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SUM('Oct 29:Dec 29'!G31)</f>
        <v>0</v>
      </c>
      <c r="G29" s="618">
        <f>SUM('Oct 29:Dec 29'!I31)</f>
        <v>0</v>
      </c>
      <c r="H29" s="618">
        <f>SUM('Oct 29:Dec 29'!J31)</f>
        <v>0</v>
      </c>
      <c r="I29" s="618">
        <f>SUM('Oct 29:Dec 29'!M31)</f>
        <v>0</v>
      </c>
      <c r="J29" s="618"/>
      <c r="K29" s="618"/>
      <c r="L29" s="618">
        <f>SUM('Oct 29:Dec 29'!O31)</f>
        <v>0</v>
      </c>
      <c r="M29" s="618">
        <f>SUM('Oct 29:Dec 29'!P31)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SUM('Oct 29:Dec 29'!G32)</f>
        <v>0</v>
      </c>
      <c r="G30" s="618">
        <f>SUM('Oct 29:Dec 29'!I32)</f>
        <v>0</v>
      </c>
      <c r="H30" s="618">
        <f>SUM('Oct 29:Dec 29'!J32)</f>
        <v>0</v>
      </c>
      <c r="I30" s="618">
        <f>SUM('Oct 29:Dec 29'!M32)</f>
        <v>0</v>
      </c>
      <c r="J30" s="618"/>
      <c r="K30" s="618"/>
      <c r="L30" s="618">
        <f>SUM('Oct 29:Dec 29'!O32)</f>
        <v>0</v>
      </c>
      <c r="M30" s="618">
        <f>SUM('Oct 29:Dec 29'!P32)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SUM('Oct 29:Dec 29'!G33)</f>
        <v>0</v>
      </c>
      <c r="G31" s="618">
        <f>SUM('Oct 29:Dec 29'!I33)</f>
        <v>0</v>
      </c>
      <c r="H31" s="618">
        <f>SUM('Oct 29:Dec 29'!J33)</f>
        <v>0</v>
      </c>
      <c r="I31" s="618">
        <f>SUM('Oct 29:Dec 29'!M33)</f>
        <v>0</v>
      </c>
      <c r="J31" s="618"/>
      <c r="K31" s="618"/>
      <c r="L31" s="618">
        <f>SUM('Oct 29:Dec 29'!O33)</f>
        <v>0</v>
      </c>
      <c r="M31" s="618">
        <f>SUM('Oct 29:Dec 29'!P33)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SUM('Oct 29:Dec 29'!G34)</f>
        <v>0</v>
      </c>
      <c r="G32" s="618">
        <f>SUM('Oct 29:Dec 29'!I34)</f>
        <v>0</v>
      </c>
      <c r="H32" s="618">
        <f>SUM('Oct 29:Dec 29'!J34)</f>
        <v>0</v>
      </c>
      <c r="I32" s="618">
        <f>SUM('Oct 29:Dec 29'!M34)</f>
        <v>0</v>
      </c>
      <c r="J32" s="618"/>
      <c r="K32" s="618"/>
      <c r="L32" s="618">
        <f>SUM('Oct 29:Dec 29'!O34)</f>
        <v>0</v>
      </c>
      <c r="M32" s="618">
        <f>SUM('Oct 29:Dec 29'!P34)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SUM('Oct 29:Dec 29'!G35)</f>
        <v>0</v>
      </c>
      <c r="G33" s="618">
        <f>SUM('Oct 29:Dec 29'!I35)</f>
        <v>0</v>
      </c>
      <c r="H33" s="618">
        <f>SUM('Oct 29:Dec 29'!J35)</f>
        <v>0</v>
      </c>
      <c r="I33" s="618">
        <f>SUM('Oct 29:Dec 29'!M35)</f>
        <v>0</v>
      </c>
      <c r="J33" s="618"/>
      <c r="K33" s="618"/>
      <c r="L33" s="618">
        <f>SUM('Oct 29:Dec 29'!O35)</f>
        <v>0</v>
      </c>
      <c r="M33" s="618">
        <f>SUM('Oct 29:Dec 29'!P35)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IJLFbx2ogpmb81Zk+6xlr4Z1Wl1OQn+LneifooXVnPb5QHQWruUY0LP57DwwlhigYY45z8w2tF1Z4rQNI352tQ==" saltValue="UaWLC46UMyDUADAn+ltGqw=="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4A64-A29A-4652-9830-E4FC0EFCA9E8}">
  <sheetPr codeName="Sheet6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A1aEIt0zipmmc5a4/+lDJ89LDBSLzub7Hk0DjigqOSIkuRSgAIN43VFff31T9Ym6th+FNc0hDLoACTlndz+XdQ==" saltValue="U69+WgBPRn3Ol0nZaXbCn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51BA9-6B67-43A8-BCA1-8C3501DCEE87}">
  <sheetPr codeName="Sheet6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1M1hKPxkmSntLWUriLrdTa1w+qY9LRLaDneF2/gGqAYCkyIEptbN0ObHDezWWrDxCzCTT5ZRf5EkkDyH/mCz+w==" saltValue="rwR7R4Xt1BUJw0I3RzpGI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C99-398F-4BE2-A1C5-A062E2C91020}">
  <sheetPr codeName="Sheet68">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804</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kbbNZgU7FieDESzrm6HTSg9Sv8serIETvLcAsfsaX6bU/O2hp30NzVGWmfyME23cRsLwmz75CtNJ1BQF5AhuuQ==" saltValue="JSJgm31FrDQPmFySOMG75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9770-2462-42F6-BB3E-15790218D675}">
  <sheetPr codeName="Sheet6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99V0hQosvQ8Vp6NZwCt2KIin0y22Sm6nPHcawess9ZkLVhvc2IggwPUcq74PKh9AzSHzySP8e/OoUma6fWSBEA==" saltValue="ny3/lx2l7v30ylVfdWxOM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8A0-9DA8-45E7-ABF4-9A3BCED2C362}">
  <sheetPr codeName="Sheet7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I2iluJ1ruV/lBJCnvqzyMyQq10mNjinjl8ipY3DT6bt0xi3wb19zAl9XkNCiduSLKTroGdmXLesvyQfwYn34fg==" saltValue="bllwePRdnOtybcsZu0J8+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6DBEE-4806-4331-8437-10C263BFB54F}">
  <sheetPr codeName="Sheet71">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j91lZFvjoNgJ7ZJq8cGCfeFnWqD2b+30/SNuo80QmJDJYMA1M8amBw59GRnhux6IGFK/F+/x9WXSG13T03jxTw==" saltValue="F3H+h6Ckq/PaRkmEhWwCO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0A8A0-701A-45B8-B132-C4359E7689B6}">
  <sheetPr codeName="Sheet72">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G0TGn7yue4nVxjciFomeAOgwqnrIYhKKuwNBoWI61uPnct61GMTTkhfY2RLa0dyY1HXojCAwW+3YXHBLkf7hHA==" saltValue="yxC9ommWB1f0mGn9oV67f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AA44-03A2-4699-8850-0E8C6DBE908D}">
  <sheetPr codeName="Sheet7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809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5kPzbXaVpTBs4Z6+/RD6V/vME0mE7HH9jvd8HCow9jkk0LNya9bCEih/45IJs4GgXbxcVf47GGYn9aiaAYaw==" saltValue="91dEYRWEOE6CEiOvVcroc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4C205-0A2D-4662-A8CF-0F6C25CE568F}">
  <sheetPr codeName="Sheet7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BTn9OR/gvUDB9CCbWM2xbJI1zVI95ALWU1O8G7pbIxNyvGY/LURqGtFhJHLC8R22WeVvz+lSYlXhB/yeFeVE2g==" saltValue="U7Uze+lp0YOsoFilzpIoeA=="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2088A-9ADD-4103-BFB8-8C00BC70F3F7}">
  <sheetPr codeName="Sheet75">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aGNeKa3uKWNK6+9l1YHC6DmhYyPZoGgDqT/WZFaF+My/j//YUXfzdJmXv5GRzuo3oRDd0kA+E/bAfSafY3iAPQ==" saltValue="phDe9O0Hd8yiSekgHzoCa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010E6-5CFD-4E86-8DF0-0A6FBC7FC025}">
  <sheetPr codeName="Sheet7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pFst0BxdR1BJUzsC1vdbbUO/H7XUrWHMhCRbDThv0tJa1EFyVfbNMjEm1wwVtYHEgHvcykTp4Ay59mUqOLkroQ==" saltValue="3MJKeKTHuihwHvTuLwUhV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6BE2-12A0-4C63-A225-7D5EC8AC2BFF}">
  <sheetPr codeName="Sheet7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MKtPdviAhyco9suZaOYXcOBkdhzdezTlPjOb/3oFR1zAm0sSKIgWpWkGX8SfppKmIuqJMEhL1XyNsiD/i1452g==" saltValue="vv0XQMCvyWwaJRqE6NAXU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9A38-62C4-44A7-B500-1705DB44E5D1}">
  <sheetPr codeName="Sheet78">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814</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SUM('Jan 30:Mar 30'!G11)</f>
        <v>0</v>
      </c>
      <c r="G9" s="614">
        <f>SUM('Jan 30:Mar 30'!I11)</f>
        <v>0</v>
      </c>
      <c r="H9" s="614">
        <f>SUM('Jan 30:Mar 30'!J11)</f>
        <v>0</v>
      </c>
      <c r="I9" s="614">
        <f>SUM('Jan 30:Mar 30'!M11)</f>
        <v>0</v>
      </c>
      <c r="J9" s="614"/>
      <c r="K9" s="614"/>
      <c r="L9" s="614">
        <f>SUM('Jan 30:Mar 30'!O11)</f>
        <v>0</v>
      </c>
      <c r="M9" s="614">
        <f>SUM('Jan 30:Mar 30'!P11)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SUM('Jan 30:Mar 30'!G12)</f>
        <v>0</v>
      </c>
      <c r="G10" s="618">
        <f>SUM('Jan 30:Mar 30'!I12)</f>
        <v>0</v>
      </c>
      <c r="H10" s="618">
        <f>SUM('Jan 30:Mar 30'!J12)</f>
        <v>0</v>
      </c>
      <c r="I10" s="618">
        <f>SUM('Jan 30:Mar 30'!M12)</f>
        <v>0</v>
      </c>
      <c r="J10" s="618"/>
      <c r="K10" s="618"/>
      <c r="L10" s="618">
        <f>SUM('Jan 30:Mar 30'!O12)</f>
        <v>0</v>
      </c>
      <c r="M10" s="618">
        <f>SUM('Jan 30:Mar 30'!P12)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SUM('Jan 30:Mar 30'!G13)</f>
        <v>0</v>
      </c>
      <c r="G11" s="618">
        <f>SUM('Jan 30:Mar 30'!I13)</f>
        <v>0</v>
      </c>
      <c r="H11" s="618">
        <f>SUM('Jan 30:Mar 30'!J13)</f>
        <v>0</v>
      </c>
      <c r="I11" s="618">
        <f>SUM('Jan 30:Mar 30'!M13)</f>
        <v>0</v>
      </c>
      <c r="J11" s="618"/>
      <c r="K11" s="618"/>
      <c r="L11" s="618">
        <f>SUM('Jan 30:Mar 30'!O13)</f>
        <v>0</v>
      </c>
      <c r="M11" s="618">
        <f>SUM('Jan 30:Mar 30'!P13)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SUM('Jan 30:Mar 30'!G14)</f>
        <v>0</v>
      </c>
      <c r="G12" s="618">
        <f>SUM('Jan 30:Mar 30'!I14)</f>
        <v>0</v>
      </c>
      <c r="H12" s="618">
        <f>SUM('Jan 30:Mar 30'!J14)</f>
        <v>0</v>
      </c>
      <c r="I12" s="618">
        <f>SUM('Jan 30:Mar 30'!M14)</f>
        <v>0</v>
      </c>
      <c r="J12" s="618"/>
      <c r="K12" s="618"/>
      <c r="L12" s="618">
        <f>SUM('Jan 30:Mar 30'!O14)</f>
        <v>0</v>
      </c>
      <c r="M12" s="618">
        <f>SUM('Jan 30:Mar 30'!P14)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SUM('Jan 30:Mar 30'!G15)</f>
        <v>0</v>
      </c>
      <c r="G13" s="618">
        <f>SUM('Jan 30:Mar 30'!I15)</f>
        <v>0</v>
      </c>
      <c r="H13" s="618">
        <f>SUM('Jan 30:Mar 30'!J15)</f>
        <v>0</v>
      </c>
      <c r="I13" s="618">
        <f>SUM('Jan 30:Mar 30'!M15)</f>
        <v>0</v>
      </c>
      <c r="J13" s="618"/>
      <c r="K13" s="618"/>
      <c r="L13" s="618">
        <f>SUM('Jan 30:Mar 30'!O15)</f>
        <v>0</v>
      </c>
      <c r="M13" s="618">
        <f>SUM('Jan 30:Mar 30'!P15)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SUM('Jan 30:Mar 30'!G16)</f>
        <v>0</v>
      </c>
      <c r="G14" s="618">
        <f>SUM('Jan 30:Mar 30'!I16)</f>
        <v>0</v>
      </c>
      <c r="H14" s="618">
        <f>SUM('Jan 30:Mar 30'!J16)</f>
        <v>0</v>
      </c>
      <c r="I14" s="618">
        <f>SUM('Jan 30:Mar 30'!M16)</f>
        <v>0</v>
      </c>
      <c r="J14" s="618"/>
      <c r="K14" s="618"/>
      <c r="L14" s="618">
        <f>SUM('Jan 30:Mar 30'!O16)</f>
        <v>0</v>
      </c>
      <c r="M14" s="618">
        <f>SUM('Jan 30:Mar 30'!P16)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SUM('Jan 30:Mar 30'!G17)</f>
        <v>0</v>
      </c>
      <c r="G15" s="618">
        <f>SUM('Jan 30:Mar 30'!I17)</f>
        <v>0</v>
      </c>
      <c r="H15" s="618">
        <f>SUM('Jan 30:Mar 30'!J17)</f>
        <v>0</v>
      </c>
      <c r="I15" s="618">
        <f>SUM('Jan 30:Mar 30'!M17)</f>
        <v>0</v>
      </c>
      <c r="J15" s="618"/>
      <c r="K15" s="618"/>
      <c r="L15" s="618">
        <f>SUM('Jan 30:Mar 30'!O17)</f>
        <v>0</v>
      </c>
      <c r="M15" s="618">
        <f>SUM('Jan 30:Mar 30'!P17)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SUM('Jan 30:Mar 30'!G18)</f>
        <v>0</v>
      </c>
      <c r="G16" s="618">
        <f>SUM('Jan 30:Mar 30'!I18)</f>
        <v>0</v>
      </c>
      <c r="H16" s="618">
        <f>SUM('Jan 30:Mar 30'!J18)</f>
        <v>0</v>
      </c>
      <c r="I16" s="618">
        <f>SUM('Jan 30:Mar 30'!M18)</f>
        <v>0</v>
      </c>
      <c r="J16" s="618"/>
      <c r="K16" s="618"/>
      <c r="L16" s="618">
        <f>SUM('Jan 30:Mar 30'!O18)</f>
        <v>0</v>
      </c>
      <c r="M16" s="618">
        <f>SUM('Jan 30:Mar 30'!P18)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SUM('Jan 30:Mar 30'!G19)</f>
        <v>0</v>
      </c>
      <c r="G17" s="618">
        <f>SUM('Jan 30:Mar 30'!I19)</f>
        <v>0</v>
      </c>
      <c r="H17" s="618">
        <f>SUM('Jan 30:Mar 30'!J19)</f>
        <v>0</v>
      </c>
      <c r="I17" s="618">
        <f>SUM('Jan 30:Mar 30'!M19)</f>
        <v>0</v>
      </c>
      <c r="J17" s="618"/>
      <c r="K17" s="618"/>
      <c r="L17" s="618">
        <f>SUM('Jan 30:Mar 30'!O19)</f>
        <v>0</v>
      </c>
      <c r="M17" s="618">
        <f>SUM('Jan 30:Mar 30'!P19)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SUM('Jan 30:Mar 30'!G20)</f>
        <v>0</v>
      </c>
      <c r="G18" s="618">
        <f>SUM('Jan 30:Mar 30'!I20)</f>
        <v>0</v>
      </c>
      <c r="H18" s="618">
        <f>SUM('Jan 30:Mar 30'!J20)</f>
        <v>0</v>
      </c>
      <c r="I18" s="618">
        <f>SUM('Jan 30:Mar 30'!M20)</f>
        <v>0</v>
      </c>
      <c r="J18" s="618"/>
      <c r="K18" s="618"/>
      <c r="L18" s="618">
        <f>SUM('Jan 30:Mar 30'!O20)</f>
        <v>0</v>
      </c>
      <c r="M18" s="618">
        <f>SUM('Jan 30:Mar 30'!P20)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SUM('Jan 30:Mar 30'!G21)</f>
        <v>0</v>
      </c>
      <c r="G19" s="618">
        <f>SUM('Jan 30:Mar 30'!I21)</f>
        <v>0</v>
      </c>
      <c r="H19" s="618">
        <f>SUM('Jan 30:Mar 30'!J21)</f>
        <v>0</v>
      </c>
      <c r="I19" s="618">
        <f>SUM('Jan 30:Mar 30'!M21)</f>
        <v>0</v>
      </c>
      <c r="J19" s="618"/>
      <c r="K19" s="618"/>
      <c r="L19" s="618">
        <f>SUM('Jan 30:Mar 30'!O21)</f>
        <v>0</v>
      </c>
      <c r="M19" s="618">
        <f>SUM('Jan 30:Mar 30'!P21)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SUM('Jan 30:Mar 30'!G22)</f>
        <v>0</v>
      </c>
      <c r="G20" s="618">
        <f>SUM('Jan 30:Mar 30'!I22)</f>
        <v>0</v>
      </c>
      <c r="H20" s="618">
        <f>SUM('Jan 30:Mar 30'!J22)</f>
        <v>0</v>
      </c>
      <c r="I20" s="618">
        <f>SUM('Jan 30:Mar 30'!M22)</f>
        <v>0</v>
      </c>
      <c r="J20" s="618"/>
      <c r="K20" s="618"/>
      <c r="L20" s="618">
        <f>SUM('Jan 30:Mar 30'!O22)</f>
        <v>0</v>
      </c>
      <c r="M20" s="618">
        <f>SUM('Jan 30:Mar 30'!P22)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SUM('Jan 30:Mar 30'!G23)</f>
        <v>0</v>
      </c>
      <c r="G21" s="618">
        <f>SUM('Jan 30:Mar 30'!I23)</f>
        <v>0</v>
      </c>
      <c r="H21" s="618">
        <f>SUM('Jan 30:Mar 30'!J23)</f>
        <v>0</v>
      </c>
      <c r="I21" s="618">
        <f>SUM('Jan 30:Mar 30'!M23)</f>
        <v>0</v>
      </c>
      <c r="J21" s="618"/>
      <c r="K21" s="618"/>
      <c r="L21" s="618">
        <f>SUM('Jan 30:Mar 30'!O23)</f>
        <v>0</v>
      </c>
      <c r="M21" s="618">
        <f>SUM('Jan 30:Mar 30'!P23)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SUM('Jan 30:Mar 30'!G24)</f>
        <v>0</v>
      </c>
      <c r="G22" s="618">
        <f>SUM('Jan 30:Mar 30'!I24)</f>
        <v>0</v>
      </c>
      <c r="H22" s="618">
        <f>SUM('Jan 30:Mar 30'!J24)</f>
        <v>0</v>
      </c>
      <c r="I22" s="618">
        <f>SUM('Jan 30:Mar 30'!M24)</f>
        <v>0</v>
      </c>
      <c r="J22" s="618"/>
      <c r="K22" s="618"/>
      <c r="L22" s="618">
        <f>SUM('Jan 30:Mar 30'!O24)</f>
        <v>0</v>
      </c>
      <c r="M22" s="618">
        <f>SUM('Jan 30:Mar 30'!P24)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SUM('Jan 30:Mar 30'!G25)</f>
        <v>0</v>
      </c>
      <c r="G23" s="618">
        <f>SUM('Jan 30:Mar 30'!I25)</f>
        <v>0</v>
      </c>
      <c r="H23" s="618">
        <f>SUM('Jan 30:Mar 30'!J25)</f>
        <v>0</v>
      </c>
      <c r="I23" s="618">
        <f>SUM('Jan 30:Mar 30'!M25)</f>
        <v>0</v>
      </c>
      <c r="J23" s="618"/>
      <c r="K23" s="618"/>
      <c r="L23" s="618">
        <f>SUM('Jan 30:Mar 30'!O25)</f>
        <v>0</v>
      </c>
      <c r="M23" s="618">
        <f>SUM('Jan 30:Mar 30'!P25)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SUM('Jan 30:Mar 30'!G26)</f>
        <v>0</v>
      </c>
      <c r="G24" s="618">
        <f>SUM('Jan 30:Mar 30'!I26)</f>
        <v>0</v>
      </c>
      <c r="H24" s="618">
        <f>SUM('Jan 30:Mar 30'!J26)</f>
        <v>0</v>
      </c>
      <c r="I24" s="618">
        <f>SUM('Jan 30:Mar 30'!M26)</f>
        <v>0</v>
      </c>
      <c r="J24" s="618"/>
      <c r="K24" s="618"/>
      <c r="L24" s="618">
        <f>SUM('Jan 30:Mar 30'!O26)</f>
        <v>0</v>
      </c>
      <c r="M24" s="618">
        <f>SUM('Jan 30:Mar 30'!P26)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SUM('Jan 30:Mar 30'!G27)</f>
        <v>0</v>
      </c>
      <c r="G25" s="618">
        <f>SUM('Jan 30:Mar 30'!I27)</f>
        <v>0</v>
      </c>
      <c r="H25" s="618">
        <f>SUM('Jan 30:Mar 30'!J27)</f>
        <v>0</v>
      </c>
      <c r="I25" s="618">
        <f>SUM('Jan 30:Mar 30'!M27)</f>
        <v>0</v>
      </c>
      <c r="J25" s="618"/>
      <c r="K25" s="618"/>
      <c r="L25" s="618">
        <f>SUM('Jan 30:Mar 30'!O27)</f>
        <v>0</v>
      </c>
      <c r="M25" s="618">
        <f>SUM('Jan 30:Mar 30'!P27)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SUM('Jan 30:Mar 30'!G28)</f>
        <v>0</v>
      </c>
      <c r="G26" s="618">
        <f>SUM('Jan 30:Mar 30'!I28)</f>
        <v>0</v>
      </c>
      <c r="H26" s="618">
        <f>SUM('Jan 30:Mar 30'!J28)</f>
        <v>0</v>
      </c>
      <c r="I26" s="618">
        <f>SUM('Jan 30:Mar 30'!M28)</f>
        <v>0</v>
      </c>
      <c r="J26" s="618"/>
      <c r="K26" s="618"/>
      <c r="L26" s="618">
        <f>SUM('Jan 30:Mar 30'!O28)</f>
        <v>0</v>
      </c>
      <c r="M26" s="618">
        <f>SUM('Jan 30:Mar 30'!P28)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SUM('Jan 30:Mar 30'!G29)</f>
        <v>0</v>
      </c>
      <c r="G27" s="618">
        <f>SUM('Jan 30:Mar 30'!I29)</f>
        <v>0</v>
      </c>
      <c r="H27" s="618">
        <f>SUM('Jan 30:Mar 30'!J29)</f>
        <v>0</v>
      </c>
      <c r="I27" s="618">
        <f>SUM('Jan 30:Mar 30'!M29)</f>
        <v>0</v>
      </c>
      <c r="J27" s="618"/>
      <c r="K27" s="618"/>
      <c r="L27" s="618">
        <f>SUM('Jan 30:Mar 30'!O29)</f>
        <v>0</v>
      </c>
      <c r="M27" s="618">
        <f>SUM('Jan 30:Mar 30'!P29)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SUM('Jan 30:Mar 30'!G30)</f>
        <v>0</v>
      </c>
      <c r="G28" s="618">
        <f>SUM('Jan 30:Mar 30'!I30)</f>
        <v>0</v>
      </c>
      <c r="H28" s="618">
        <f>SUM('Jan 30:Mar 30'!J30)</f>
        <v>0</v>
      </c>
      <c r="I28" s="618">
        <f>SUM('Jan 30:Mar 30'!M30)</f>
        <v>0</v>
      </c>
      <c r="J28" s="618"/>
      <c r="K28" s="618"/>
      <c r="L28" s="618">
        <f>SUM('Jan 30:Mar 30'!O30)</f>
        <v>0</v>
      </c>
      <c r="M28" s="618">
        <f>SUM('Jan 30:Mar 30'!P30)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SUM('Jan 30:Mar 30'!G31)</f>
        <v>0</v>
      </c>
      <c r="G29" s="618">
        <f>SUM('Jan 30:Mar 30'!I31)</f>
        <v>0</v>
      </c>
      <c r="H29" s="618">
        <f>SUM('Jan 30:Mar 30'!J31)</f>
        <v>0</v>
      </c>
      <c r="I29" s="618">
        <f>SUM('Jan 30:Mar 30'!M31)</f>
        <v>0</v>
      </c>
      <c r="J29" s="618"/>
      <c r="K29" s="618"/>
      <c r="L29" s="618">
        <f>SUM('Jan 30:Mar 30'!O31)</f>
        <v>0</v>
      </c>
      <c r="M29" s="618">
        <f>SUM('Jan 30:Mar 30'!P31)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SUM('Jan 30:Mar 30'!G32)</f>
        <v>0</v>
      </c>
      <c r="G30" s="618">
        <f>SUM('Jan 30:Mar 30'!I32)</f>
        <v>0</v>
      </c>
      <c r="H30" s="618">
        <f>SUM('Jan 30:Mar 30'!J32)</f>
        <v>0</v>
      </c>
      <c r="I30" s="618">
        <f>SUM('Jan 30:Mar 30'!M32)</f>
        <v>0</v>
      </c>
      <c r="J30" s="618"/>
      <c r="K30" s="618"/>
      <c r="L30" s="618">
        <f>SUM('Jan 30:Mar 30'!O32)</f>
        <v>0</v>
      </c>
      <c r="M30" s="618">
        <f>SUM('Jan 30:Mar 30'!P32)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SUM('Jan 30:Mar 30'!G33)</f>
        <v>0</v>
      </c>
      <c r="G31" s="618">
        <f>SUM('Jan 30:Mar 30'!I33)</f>
        <v>0</v>
      </c>
      <c r="H31" s="618">
        <f>SUM('Jan 30:Mar 30'!J33)</f>
        <v>0</v>
      </c>
      <c r="I31" s="618">
        <f>SUM('Jan 30:Mar 30'!M33)</f>
        <v>0</v>
      </c>
      <c r="J31" s="618"/>
      <c r="K31" s="618"/>
      <c r="L31" s="618">
        <f>SUM('Jan 30:Mar 30'!O33)</f>
        <v>0</v>
      </c>
      <c r="M31" s="618">
        <f>SUM('Jan 30:Mar 30'!P33)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SUM('Jan 30:Mar 30'!G34)</f>
        <v>0</v>
      </c>
      <c r="G32" s="618">
        <f>SUM('Jan 30:Mar 30'!I34)</f>
        <v>0</v>
      </c>
      <c r="H32" s="618">
        <f>SUM('Jan 30:Mar 30'!J34)</f>
        <v>0</v>
      </c>
      <c r="I32" s="618">
        <f>SUM('Jan 30:Mar 30'!M34)</f>
        <v>0</v>
      </c>
      <c r="J32" s="618"/>
      <c r="K32" s="618"/>
      <c r="L32" s="618">
        <f>SUM('Jan 30:Mar 30'!O34)</f>
        <v>0</v>
      </c>
      <c r="M32" s="618">
        <f>SUM('Jan 30:Mar 30'!P34)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SUM('Jan 30:Mar 30'!G35)</f>
        <v>0</v>
      </c>
      <c r="G33" s="618">
        <f>SUM('Jan 30:Mar 30'!I35)</f>
        <v>0</v>
      </c>
      <c r="H33" s="618">
        <f>SUM('Jan 30:Mar 30'!J35)</f>
        <v>0</v>
      </c>
      <c r="I33" s="618">
        <f>SUM('Jan 30:Mar 30'!M35)</f>
        <v>0</v>
      </c>
      <c r="J33" s="618"/>
      <c r="K33" s="618"/>
      <c r="L33" s="618">
        <f>SUM('Jan 30:Mar 30'!O35)</f>
        <v>0</v>
      </c>
      <c r="M33" s="618">
        <f>SUM('Jan 30:Mar 30'!P35)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psKXAHRuiRcPoAbVXwAxkRYoJ8/GffefjvEhKSCf6bACYM4bRTsfGTZovyDkeL9hHzy6UNKB+x2tMJEmdtlU9A==" saltValue="oMX1vNYU6UijTrl2DKM/3Q=="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5" orientation="landscape" r:id="rId1"/>
  <headerFooter alignWithMargins="0">
    <oddFooter>&amp;LFM-HSS-W01-01&amp;CJanuary 2020&amp;RRev 17.0</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4D93-38D5-4309-B422-FC9E6DCF3C83}">
  <sheetPr codeName="Sheet79">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815</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SUM('Apr 30:Jun 30'!G11)</f>
        <v>0</v>
      </c>
      <c r="G9" s="614">
        <f>SUM('Apr 30:Jun 30'!I11)</f>
        <v>0</v>
      </c>
      <c r="H9" s="614">
        <f>SUM('Apr 30:Jun 30'!J11)</f>
        <v>0</v>
      </c>
      <c r="I9" s="614">
        <f>SUM('Apr 30:Jun 30'!M11)</f>
        <v>0</v>
      </c>
      <c r="J9" s="614"/>
      <c r="K9" s="614"/>
      <c r="L9" s="614">
        <f>SUM('Apr 30:Jun 30'!O11)</f>
        <v>0</v>
      </c>
      <c r="M9" s="614">
        <f>SUM('Apr 30:Jun 30'!P11)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SUM('Apr 30:Jun 30'!G12)</f>
        <v>0</v>
      </c>
      <c r="G10" s="618">
        <f>SUM('Apr 30:Jun 30'!I12)</f>
        <v>0</v>
      </c>
      <c r="H10" s="618">
        <f>SUM('Apr 30:Jun 30'!J12)</f>
        <v>0</v>
      </c>
      <c r="I10" s="618">
        <f>SUM('Apr 30:Jun 30'!M12)</f>
        <v>0</v>
      </c>
      <c r="J10" s="618"/>
      <c r="K10" s="618"/>
      <c r="L10" s="618">
        <f>SUM('Apr 30:Jun 30'!O12)</f>
        <v>0</v>
      </c>
      <c r="M10" s="618">
        <f>SUM('Apr 30:Jun 30'!P12)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SUM('Apr 30:Jun 30'!G13)</f>
        <v>0</v>
      </c>
      <c r="G11" s="618">
        <f>SUM('Apr 30:Jun 30'!I13)</f>
        <v>0</v>
      </c>
      <c r="H11" s="618">
        <f>SUM('Apr 30:Jun 30'!J13)</f>
        <v>0</v>
      </c>
      <c r="I11" s="618">
        <f>SUM('Apr 30:Jun 30'!M13)</f>
        <v>0</v>
      </c>
      <c r="J11" s="618"/>
      <c r="K11" s="618"/>
      <c r="L11" s="618">
        <f>SUM('Apr 30:Jun 30'!O13)</f>
        <v>0</v>
      </c>
      <c r="M11" s="618">
        <f>SUM('Apr 30:Jun 30'!P13)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SUM('Apr 30:Jun 30'!G14)</f>
        <v>0</v>
      </c>
      <c r="G12" s="618">
        <f>SUM('Apr 30:Jun 30'!I14)</f>
        <v>0</v>
      </c>
      <c r="H12" s="618">
        <f>SUM('Apr 30:Jun 30'!J14)</f>
        <v>0</v>
      </c>
      <c r="I12" s="618">
        <f>SUM('Apr 30:Jun 30'!M14)</f>
        <v>0</v>
      </c>
      <c r="J12" s="618"/>
      <c r="K12" s="618"/>
      <c r="L12" s="618">
        <f>SUM('Apr 30:Jun 30'!O14)</f>
        <v>0</v>
      </c>
      <c r="M12" s="618">
        <f>SUM('Apr 30:Jun 30'!P14)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SUM('Apr 30:Jun 30'!G15)</f>
        <v>0</v>
      </c>
      <c r="G13" s="618">
        <f>SUM('Apr 30:Jun 30'!I15)</f>
        <v>0</v>
      </c>
      <c r="H13" s="618">
        <f>SUM('Apr 30:Jun 30'!J15)</f>
        <v>0</v>
      </c>
      <c r="I13" s="618">
        <f>SUM('Apr 30:Jun 30'!M15)</f>
        <v>0</v>
      </c>
      <c r="J13" s="618"/>
      <c r="K13" s="618"/>
      <c r="L13" s="618">
        <f>SUM('Apr 30:Jun 30'!O15)</f>
        <v>0</v>
      </c>
      <c r="M13" s="618">
        <f>SUM('Apr 30:Jun 30'!P15)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SUM('Apr 30:Jun 30'!G16)</f>
        <v>0</v>
      </c>
      <c r="G14" s="618">
        <f>SUM('Apr 30:Jun 30'!I16)</f>
        <v>0</v>
      </c>
      <c r="H14" s="618">
        <f>SUM('Apr 30:Jun 30'!J16)</f>
        <v>0</v>
      </c>
      <c r="I14" s="618">
        <f>SUM('Apr 30:Jun 30'!M16)</f>
        <v>0</v>
      </c>
      <c r="J14" s="618"/>
      <c r="K14" s="618"/>
      <c r="L14" s="618">
        <f>SUM('Apr 30:Jun 30'!O16)</f>
        <v>0</v>
      </c>
      <c r="M14" s="618">
        <f>SUM('Apr 30:Jun 30'!P16)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SUM('Apr 30:Jun 30'!G17)</f>
        <v>0</v>
      </c>
      <c r="G15" s="618">
        <f>SUM('Apr 30:Jun 30'!I17)</f>
        <v>0</v>
      </c>
      <c r="H15" s="618">
        <f>SUM('Apr 30:Jun 30'!J17)</f>
        <v>0</v>
      </c>
      <c r="I15" s="618">
        <f>SUM('Apr 30:Jun 30'!M17)</f>
        <v>0</v>
      </c>
      <c r="J15" s="618"/>
      <c r="K15" s="618"/>
      <c r="L15" s="618">
        <f>SUM('Apr 30:Jun 30'!O17)</f>
        <v>0</v>
      </c>
      <c r="M15" s="618">
        <f>SUM('Apr 30:Jun 30'!P17)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SUM('Apr 30:Jun 30'!G18)</f>
        <v>0</v>
      </c>
      <c r="G16" s="618">
        <f>SUM('Apr 30:Jun 30'!I18)</f>
        <v>0</v>
      </c>
      <c r="H16" s="618">
        <f>SUM('Apr 30:Jun 30'!J18)</f>
        <v>0</v>
      </c>
      <c r="I16" s="618">
        <f>SUM('Apr 30:Jun 30'!M18)</f>
        <v>0</v>
      </c>
      <c r="J16" s="618"/>
      <c r="K16" s="618"/>
      <c r="L16" s="618">
        <f>SUM('Apr 30:Jun 30'!O18)</f>
        <v>0</v>
      </c>
      <c r="M16" s="618">
        <f>SUM('Apr 30:Jun 30'!P18)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SUM('Apr 30:Jun 30'!G19)</f>
        <v>0</v>
      </c>
      <c r="G17" s="618">
        <f>SUM('Apr 30:Jun 30'!I19)</f>
        <v>0</v>
      </c>
      <c r="H17" s="618">
        <f>SUM('Apr 30:Jun 30'!J19)</f>
        <v>0</v>
      </c>
      <c r="I17" s="618">
        <f>SUM('Apr 30:Jun 30'!M19)</f>
        <v>0</v>
      </c>
      <c r="J17" s="618"/>
      <c r="K17" s="618"/>
      <c r="L17" s="618">
        <f>SUM('Apr 30:Jun 30'!O19)</f>
        <v>0</v>
      </c>
      <c r="M17" s="618">
        <f>SUM('Apr 30:Jun 30'!P19)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SUM('Apr 30:Jun 30'!G20)</f>
        <v>0</v>
      </c>
      <c r="G18" s="618">
        <f>SUM('Apr 30:Jun 30'!I20)</f>
        <v>0</v>
      </c>
      <c r="H18" s="618">
        <f>SUM('Apr 30:Jun 30'!J20)</f>
        <v>0</v>
      </c>
      <c r="I18" s="618">
        <f>SUM('Apr 30:Jun 30'!M20)</f>
        <v>0</v>
      </c>
      <c r="J18" s="618"/>
      <c r="K18" s="618"/>
      <c r="L18" s="618">
        <f>SUM('Apr 30:Jun 30'!O20)</f>
        <v>0</v>
      </c>
      <c r="M18" s="618">
        <f>SUM('Apr 30:Jun 30'!P20)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SUM('Apr 30:Jun 30'!G21)</f>
        <v>0</v>
      </c>
      <c r="G19" s="618">
        <f>SUM('Apr 30:Jun 30'!I21)</f>
        <v>0</v>
      </c>
      <c r="H19" s="618">
        <f>SUM('Apr 30:Jun 30'!J21)</f>
        <v>0</v>
      </c>
      <c r="I19" s="618">
        <f>SUM('Apr 30:Jun 30'!M21)</f>
        <v>0</v>
      </c>
      <c r="J19" s="618"/>
      <c r="K19" s="618"/>
      <c r="L19" s="618">
        <f>SUM('Apr 30:Jun 30'!O21)</f>
        <v>0</v>
      </c>
      <c r="M19" s="618">
        <f>SUM('Apr 30:Jun 30'!P21)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SUM('Apr 30:Jun 30'!G22)</f>
        <v>0</v>
      </c>
      <c r="G20" s="618">
        <f>SUM('Apr 30:Jun 30'!I22)</f>
        <v>0</v>
      </c>
      <c r="H20" s="618">
        <f>SUM('Apr 30:Jun 30'!J22)</f>
        <v>0</v>
      </c>
      <c r="I20" s="618">
        <f>SUM('Apr 30:Jun 30'!M22)</f>
        <v>0</v>
      </c>
      <c r="J20" s="618"/>
      <c r="K20" s="618"/>
      <c r="L20" s="618">
        <f>SUM('Apr 30:Jun 30'!O22)</f>
        <v>0</v>
      </c>
      <c r="M20" s="618">
        <f>SUM('Apr 30:Jun 30'!P22)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SUM('Apr 30:Jun 30'!G23)</f>
        <v>0</v>
      </c>
      <c r="G21" s="618">
        <f>SUM('Apr 30:Jun 30'!I23)</f>
        <v>0</v>
      </c>
      <c r="H21" s="618">
        <f>SUM('Apr 30:Jun 30'!J23)</f>
        <v>0</v>
      </c>
      <c r="I21" s="618">
        <f>SUM('Apr 30:Jun 30'!M23)</f>
        <v>0</v>
      </c>
      <c r="J21" s="618"/>
      <c r="K21" s="618"/>
      <c r="L21" s="618">
        <f>SUM('Apr 30:Jun 30'!O23)</f>
        <v>0</v>
      </c>
      <c r="M21" s="618">
        <f>SUM('Apr 30:Jun 30'!P23)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SUM('Apr 30:Jun 30'!G24)</f>
        <v>0</v>
      </c>
      <c r="G22" s="618">
        <f>SUM('Apr 30:Jun 30'!I24)</f>
        <v>0</v>
      </c>
      <c r="H22" s="618">
        <f>SUM('Apr 30:Jun 30'!J24)</f>
        <v>0</v>
      </c>
      <c r="I22" s="618">
        <f>SUM('Apr 30:Jun 30'!M24)</f>
        <v>0</v>
      </c>
      <c r="J22" s="618"/>
      <c r="K22" s="618"/>
      <c r="L22" s="618">
        <f>SUM('Apr 30:Jun 30'!O24)</f>
        <v>0</v>
      </c>
      <c r="M22" s="618">
        <f>SUM('Apr 30:Jun 30'!P24)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SUM('Apr 30:Jun 30'!G25)</f>
        <v>0</v>
      </c>
      <c r="G23" s="618">
        <f>SUM('Apr 30:Jun 30'!I25)</f>
        <v>0</v>
      </c>
      <c r="H23" s="618">
        <f>SUM('Apr 30:Jun 30'!J25)</f>
        <v>0</v>
      </c>
      <c r="I23" s="618">
        <f>SUM('Apr 30:Jun 30'!M25)</f>
        <v>0</v>
      </c>
      <c r="J23" s="618"/>
      <c r="K23" s="618"/>
      <c r="L23" s="618">
        <f>SUM('Apr 30:Jun 30'!O25)</f>
        <v>0</v>
      </c>
      <c r="M23" s="618">
        <f>SUM('Apr 30:Jun 30'!P25)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SUM('Apr 30:Jun 30'!G26)</f>
        <v>0</v>
      </c>
      <c r="G24" s="618">
        <f>SUM('Apr 30:Jun 30'!I26)</f>
        <v>0</v>
      </c>
      <c r="H24" s="618">
        <f>SUM('Apr 30:Jun 30'!J26)</f>
        <v>0</v>
      </c>
      <c r="I24" s="618">
        <f>SUM('Apr 30:Jun 30'!M26)</f>
        <v>0</v>
      </c>
      <c r="J24" s="618"/>
      <c r="K24" s="618"/>
      <c r="L24" s="618">
        <f>SUM('Apr 30:Jun 30'!O26)</f>
        <v>0</v>
      </c>
      <c r="M24" s="618">
        <f>SUM('Apr 30:Jun 30'!P26)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SUM('Apr 30:Jun 30'!G27)</f>
        <v>0</v>
      </c>
      <c r="G25" s="618">
        <f>SUM('Apr 30:Jun 30'!I27)</f>
        <v>0</v>
      </c>
      <c r="H25" s="618">
        <f>SUM('Apr 30:Jun 30'!J27)</f>
        <v>0</v>
      </c>
      <c r="I25" s="618">
        <f>SUM('Apr 30:Jun 30'!M27)</f>
        <v>0</v>
      </c>
      <c r="J25" s="618"/>
      <c r="K25" s="618"/>
      <c r="L25" s="618">
        <f>SUM('Apr 30:Jun 30'!O27)</f>
        <v>0</v>
      </c>
      <c r="M25" s="618">
        <f>SUM('Apr 30:Jun 30'!P27)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SUM('Apr 30:Jun 30'!G28)</f>
        <v>0</v>
      </c>
      <c r="G26" s="618">
        <f>SUM('Apr 30:Jun 30'!I28)</f>
        <v>0</v>
      </c>
      <c r="H26" s="618">
        <f>SUM('Apr 30:Jun 30'!J28)</f>
        <v>0</v>
      </c>
      <c r="I26" s="618">
        <f>SUM('Apr 30:Jun 30'!M28)</f>
        <v>0</v>
      </c>
      <c r="J26" s="618"/>
      <c r="K26" s="618"/>
      <c r="L26" s="618">
        <f>SUM('Apr 30:Jun 30'!O28)</f>
        <v>0</v>
      </c>
      <c r="M26" s="618">
        <f>SUM('Apr 30:Jun 30'!P28)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SUM('Apr 30:Jun 30'!G29)</f>
        <v>0</v>
      </c>
      <c r="G27" s="618">
        <f>SUM('Apr 30:Jun 30'!I29)</f>
        <v>0</v>
      </c>
      <c r="H27" s="618">
        <f>SUM('Apr 30:Jun 30'!J29)</f>
        <v>0</v>
      </c>
      <c r="I27" s="618">
        <f>SUM('Apr 30:Jun 30'!M29)</f>
        <v>0</v>
      </c>
      <c r="J27" s="618"/>
      <c r="K27" s="618"/>
      <c r="L27" s="618">
        <f>SUM('Apr 30:Jun 30'!O29)</f>
        <v>0</v>
      </c>
      <c r="M27" s="618">
        <f>SUM('Apr 30:Jun 30'!P29)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SUM('Apr 30:Jun 30'!G30)</f>
        <v>0</v>
      </c>
      <c r="G28" s="618">
        <f>SUM('Apr 30:Jun 30'!I30)</f>
        <v>0</v>
      </c>
      <c r="H28" s="618">
        <f>SUM('Apr 30:Jun 30'!J30)</f>
        <v>0</v>
      </c>
      <c r="I28" s="618">
        <f>SUM('Apr 30:Jun 30'!M30)</f>
        <v>0</v>
      </c>
      <c r="J28" s="618"/>
      <c r="K28" s="618"/>
      <c r="L28" s="618">
        <f>SUM('Apr 30:Jun 30'!O30)</f>
        <v>0</v>
      </c>
      <c r="M28" s="618">
        <f>SUM('Apr 30:Jun 30'!P30)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SUM('Apr 30:Jun 30'!G31)</f>
        <v>0</v>
      </c>
      <c r="G29" s="618">
        <f>SUM('Apr 30:Jun 30'!I31)</f>
        <v>0</v>
      </c>
      <c r="H29" s="618">
        <f>SUM('Apr 30:Jun 30'!J31)</f>
        <v>0</v>
      </c>
      <c r="I29" s="618">
        <f>SUM('Apr 30:Jun 30'!M31)</f>
        <v>0</v>
      </c>
      <c r="J29" s="618"/>
      <c r="K29" s="618"/>
      <c r="L29" s="618">
        <f>SUM('Apr 30:Jun 30'!O31)</f>
        <v>0</v>
      </c>
      <c r="M29" s="618">
        <f>SUM('Apr 30:Jun 30'!P31)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SUM('Apr 30:Jun 30'!G32)</f>
        <v>0</v>
      </c>
      <c r="G30" s="618">
        <f>SUM('Apr 30:Jun 30'!I32)</f>
        <v>0</v>
      </c>
      <c r="H30" s="618">
        <f>SUM('Apr 30:Jun 30'!J32)</f>
        <v>0</v>
      </c>
      <c r="I30" s="618">
        <f>SUM('Apr 30:Jun 30'!M32)</f>
        <v>0</v>
      </c>
      <c r="J30" s="618"/>
      <c r="K30" s="618"/>
      <c r="L30" s="618">
        <f>SUM('Apr 30:Jun 30'!O32)</f>
        <v>0</v>
      </c>
      <c r="M30" s="618">
        <f>SUM('Apr 30:Jun 30'!P32)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SUM('Apr 30:Jun 30'!G33)</f>
        <v>0</v>
      </c>
      <c r="G31" s="618">
        <f>SUM('Apr 30:Jun 30'!I33)</f>
        <v>0</v>
      </c>
      <c r="H31" s="618">
        <f>SUM('Apr 30:Jun 30'!J33)</f>
        <v>0</v>
      </c>
      <c r="I31" s="618">
        <f>SUM('Apr 30:Jun 30'!M33)</f>
        <v>0</v>
      </c>
      <c r="J31" s="618"/>
      <c r="K31" s="618"/>
      <c r="L31" s="618">
        <f>SUM('Apr 30:Jun 30'!O33)</f>
        <v>0</v>
      </c>
      <c r="M31" s="618">
        <f>SUM('Apr 30:Jun 30'!P33)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SUM('Apr 30:Jun 30'!G34)</f>
        <v>0</v>
      </c>
      <c r="G32" s="618">
        <f>SUM('Apr 30:Jun 30'!I34)</f>
        <v>0</v>
      </c>
      <c r="H32" s="618">
        <f>SUM('Apr 30:Jun 30'!J34)</f>
        <v>0</v>
      </c>
      <c r="I32" s="618">
        <f>SUM('Apr 30:Jun 30'!M34)</f>
        <v>0</v>
      </c>
      <c r="J32" s="618"/>
      <c r="K32" s="618"/>
      <c r="L32" s="618">
        <f>SUM('Apr 30:Jun 30'!O34)</f>
        <v>0</v>
      </c>
      <c r="M32" s="618">
        <f>SUM('Apr 30:Jun 30'!P34)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SUM('Apr 30:Jun 30'!G35)</f>
        <v>0</v>
      </c>
      <c r="G33" s="618">
        <f>SUM('Apr 30:Jun 30'!I35)</f>
        <v>0</v>
      </c>
      <c r="H33" s="618">
        <f>SUM('Apr 30:Jun 30'!J35)</f>
        <v>0</v>
      </c>
      <c r="I33" s="618">
        <f>SUM('Apr 30:Jun 30'!M35)</f>
        <v>0</v>
      </c>
      <c r="J33" s="618"/>
      <c r="K33" s="618"/>
      <c r="L33" s="618">
        <f>SUM('Apr 30:Jun 30'!O35)</f>
        <v>0</v>
      </c>
      <c r="M33" s="618">
        <f>SUM('Apr 30:Jun 30'!P35)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xrmERzaOC07cV0WZokYSZqgK+hgVffYNkqw0W1OR9Z5SWx7DGAviGnPUbZUnfUslTge/QfWe/wSphpwC2LvWxg==" saltValue="L/y/XjlCZSWM4LrWn2/oig=="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B15E-61C2-41AC-9B5E-5C8BD38E82A6}">
  <sheetPr codeName="Sheet80">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816</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SUM('Jul 30:Sept 30'!G11)</f>
        <v>0</v>
      </c>
      <c r="G9" s="614">
        <f>SUM('Jul 30:Sept 30'!I11)</f>
        <v>0</v>
      </c>
      <c r="H9" s="614">
        <f>SUM('Jul 30:Sept 30'!J11)</f>
        <v>0</v>
      </c>
      <c r="I9" s="614">
        <f>SUM('Jul 30:Sept 30'!M11)</f>
        <v>0</v>
      </c>
      <c r="J9" s="614"/>
      <c r="K9" s="614"/>
      <c r="L9" s="614">
        <f>SUM('Jul 30:Sept 30'!O11)</f>
        <v>0</v>
      </c>
      <c r="M9" s="614">
        <f>SUM('Jul 30:Sept 30'!P11)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SUM('Jul 30:Sept 30'!G12)</f>
        <v>0</v>
      </c>
      <c r="G10" s="618">
        <f>SUM('Jul 30:Sept 30'!I12)</f>
        <v>0</v>
      </c>
      <c r="H10" s="618">
        <f>SUM('Jul 30:Sept 30'!J12)</f>
        <v>0</v>
      </c>
      <c r="I10" s="618">
        <f>SUM('Jul 30:Sept 30'!M12)</f>
        <v>0</v>
      </c>
      <c r="J10" s="618"/>
      <c r="K10" s="618"/>
      <c r="L10" s="618">
        <f>SUM('Jul 30:Sept 30'!O12)</f>
        <v>0</v>
      </c>
      <c r="M10" s="618">
        <f>SUM('Jul 30:Sept 30'!P12)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SUM('Jul 30:Sept 30'!G13)</f>
        <v>0</v>
      </c>
      <c r="G11" s="618">
        <f>SUM('Jul 30:Sept 30'!I13)</f>
        <v>0</v>
      </c>
      <c r="H11" s="618">
        <f>SUM('Jul 30:Sept 30'!J13)</f>
        <v>0</v>
      </c>
      <c r="I11" s="618">
        <f>SUM('Jul 30:Sept 30'!M13)</f>
        <v>0</v>
      </c>
      <c r="J11" s="618"/>
      <c r="K11" s="618"/>
      <c r="L11" s="618">
        <f>SUM('Jul 30:Sept 30'!O13)</f>
        <v>0</v>
      </c>
      <c r="M11" s="618">
        <f>SUM('Jul 30:Sept 30'!P13)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SUM('Jul 30:Sept 30'!G14)</f>
        <v>0</v>
      </c>
      <c r="G12" s="618">
        <f>SUM('Jul 30:Sept 30'!I14)</f>
        <v>0</v>
      </c>
      <c r="H12" s="618">
        <f>SUM('Jul 30:Sept 30'!J14)</f>
        <v>0</v>
      </c>
      <c r="I12" s="618">
        <f>SUM('Jul 30:Sept 30'!M14)</f>
        <v>0</v>
      </c>
      <c r="J12" s="618"/>
      <c r="K12" s="618"/>
      <c r="L12" s="618">
        <f>SUM('Jul 30:Sept 30'!O14)</f>
        <v>0</v>
      </c>
      <c r="M12" s="618">
        <f>SUM('Jul 30:Sept 30'!P14)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SUM('Jul 30:Sept 30'!G15)</f>
        <v>0</v>
      </c>
      <c r="G13" s="618">
        <f>SUM('Jul 30:Sept 30'!I15)</f>
        <v>0</v>
      </c>
      <c r="H13" s="618">
        <f>SUM('Jul 30:Sept 30'!J15)</f>
        <v>0</v>
      </c>
      <c r="I13" s="618">
        <f>SUM('Jul 30:Sept 30'!M15)</f>
        <v>0</v>
      </c>
      <c r="J13" s="618"/>
      <c r="K13" s="618"/>
      <c r="L13" s="618">
        <f>SUM('Jul 30:Sept 30'!O15)</f>
        <v>0</v>
      </c>
      <c r="M13" s="618">
        <f>SUM('Jul 30:Sept 30'!P15)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SUM('Jul 30:Sept 30'!G16)</f>
        <v>0</v>
      </c>
      <c r="G14" s="618">
        <f>SUM('Jul 30:Sept 30'!I16)</f>
        <v>0</v>
      </c>
      <c r="H14" s="618">
        <f>SUM('Jul 30:Sept 30'!J16)</f>
        <v>0</v>
      </c>
      <c r="I14" s="618">
        <f>SUM('Jul 30:Sept 30'!M16)</f>
        <v>0</v>
      </c>
      <c r="J14" s="618"/>
      <c r="K14" s="618"/>
      <c r="L14" s="618">
        <f>SUM('Jul 30:Sept 30'!O16)</f>
        <v>0</v>
      </c>
      <c r="M14" s="618">
        <f>SUM('Jul 30:Sept 30'!P16)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SUM('Jul 30:Sept 30'!G17)</f>
        <v>0</v>
      </c>
      <c r="G15" s="618">
        <f>SUM('Jul 30:Sept 30'!I17)</f>
        <v>0</v>
      </c>
      <c r="H15" s="618">
        <f>SUM('Jul 30:Sept 30'!J17)</f>
        <v>0</v>
      </c>
      <c r="I15" s="618">
        <f>SUM('Jul 30:Sept 30'!M17)</f>
        <v>0</v>
      </c>
      <c r="J15" s="618"/>
      <c r="K15" s="618"/>
      <c r="L15" s="618">
        <f>SUM('Jul 30:Sept 30'!O17)</f>
        <v>0</v>
      </c>
      <c r="M15" s="618">
        <f>SUM('Jul 30:Sept 30'!P17)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SUM('Jul 30:Sept 30'!G18)</f>
        <v>0</v>
      </c>
      <c r="G16" s="618">
        <f>SUM('Jul 30:Sept 30'!I18)</f>
        <v>0</v>
      </c>
      <c r="H16" s="618">
        <f>SUM('Jul 30:Sept 30'!J18)</f>
        <v>0</v>
      </c>
      <c r="I16" s="618">
        <f>SUM('Jul 30:Sept 30'!M18)</f>
        <v>0</v>
      </c>
      <c r="J16" s="618"/>
      <c r="K16" s="618"/>
      <c r="L16" s="618">
        <f>SUM('Jul 30:Sept 30'!O18)</f>
        <v>0</v>
      </c>
      <c r="M16" s="618">
        <f>SUM('Jul 30:Sept 30'!P18)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SUM('Jul 30:Sept 30'!G19)</f>
        <v>0</v>
      </c>
      <c r="G17" s="618">
        <f>SUM('Jul 30:Sept 30'!I19)</f>
        <v>0</v>
      </c>
      <c r="H17" s="618">
        <f>SUM('Jul 30:Sept 30'!J19)</f>
        <v>0</v>
      </c>
      <c r="I17" s="618">
        <f>SUM('Jul 30:Sept 30'!M19)</f>
        <v>0</v>
      </c>
      <c r="J17" s="618"/>
      <c r="K17" s="618"/>
      <c r="L17" s="618">
        <f>SUM('Jul 30:Sept 30'!O19)</f>
        <v>0</v>
      </c>
      <c r="M17" s="618">
        <f>SUM('Jul 30:Sept 30'!P19)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SUM('Jul 30:Sept 30'!G20)</f>
        <v>0</v>
      </c>
      <c r="G18" s="618">
        <f>SUM('Jul 30:Sept 30'!I20)</f>
        <v>0</v>
      </c>
      <c r="H18" s="618">
        <f>SUM('Jul 30:Sept 30'!J20)</f>
        <v>0</v>
      </c>
      <c r="I18" s="618">
        <f>SUM('Jul 30:Sept 30'!M20)</f>
        <v>0</v>
      </c>
      <c r="J18" s="618"/>
      <c r="K18" s="618"/>
      <c r="L18" s="618">
        <f>SUM('Jul 30:Sept 30'!O20)</f>
        <v>0</v>
      </c>
      <c r="M18" s="618">
        <f>SUM('Jul 30:Sept 30'!P20)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SUM('Jul 30:Sept 30'!G21)</f>
        <v>0</v>
      </c>
      <c r="G19" s="618">
        <f>SUM('Jul 30:Sept 30'!I21)</f>
        <v>0</v>
      </c>
      <c r="H19" s="618">
        <f>SUM('Jul 30:Sept 30'!J21)</f>
        <v>0</v>
      </c>
      <c r="I19" s="618">
        <f>SUM('Jul 30:Sept 30'!M21)</f>
        <v>0</v>
      </c>
      <c r="J19" s="618"/>
      <c r="K19" s="618"/>
      <c r="L19" s="618">
        <f>SUM('Jul 30:Sept 30'!O21)</f>
        <v>0</v>
      </c>
      <c r="M19" s="618">
        <f>SUM('Jul 30:Sept 30'!P21)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SUM('Jul 30:Sept 30'!G22)</f>
        <v>0</v>
      </c>
      <c r="G20" s="618">
        <f>SUM('Jul 30:Sept 30'!I22)</f>
        <v>0</v>
      </c>
      <c r="H20" s="618">
        <f>SUM('Jul 30:Sept 30'!J22)</f>
        <v>0</v>
      </c>
      <c r="I20" s="618">
        <f>SUM('Jul 30:Sept 30'!M22)</f>
        <v>0</v>
      </c>
      <c r="J20" s="618"/>
      <c r="K20" s="618"/>
      <c r="L20" s="618">
        <f>SUM('Jul 30:Sept 30'!O22)</f>
        <v>0</v>
      </c>
      <c r="M20" s="618">
        <f>SUM('Jul 30:Sept 30'!P22)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SUM('Jul 30:Sept 30'!G23)</f>
        <v>0</v>
      </c>
      <c r="G21" s="618">
        <f>SUM('Jul 30:Sept 30'!I23)</f>
        <v>0</v>
      </c>
      <c r="H21" s="618">
        <f>SUM('Jul 30:Sept 30'!J23)</f>
        <v>0</v>
      </c>
      <c r="I21" s="618">
        <f>SUM('Jul 30:Sept 30'!M23)</f>
        <v>0</v>
      </c>
      <c r="J21" s="618"/>
      <c r="K21" s="618"/>
      <c r="L21" s="618">
        <f>SUM('Jul 30:Sept 30'!O23)</f>
        <v>0</v>
      </c>
      <c r="M21" s="618">
        <f>SUM('Jul 30:Sept 30'!P23)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SUM('Jul 30:Sept 30'!G24)</f>
        <v>0</v>
      </c>
      <c r="G22" s="618">
        <f>SUM('Jul 30:Sept 30'!I24)</f>
        <v>0</v>
      </c>
      <c r="H22" s="618">
        <f>SUM('Jul 30:Sept 30'!J24)</f>
        <v>0</v>
      </c>
      <c r="I22" s="618">
        <f>SUM('Jul 30:Sept 30'!M24)</f>
        <v>0</v>
      </c>
      <c r="J22" s="618"/>
      <c r="K22" s="618"/>
      <c r="L22" s="618">
        <f>SUM('Jul 30:Sept 30'!O24)</f>
        <v>0</v>
      </c>
      <c r="M22" s="618">
        <f>SUM('Jul 30:Sept 30'!P24)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SUM('Jul 30:Sept 30'!G25)</f>
        <v>0</v>
      </c>
      <c r="G23" s="618">
        <f>SUM('Jul 30:Sept 30'!I25)</f>
        <v>0</v>
      </c>
      <c r="H23" s="618">
        <f>SUM('Jul 30:Sept 30'!J25)</f>
        <v>0</v>
      </c>
      <c r="I23" s="618">
        <f>SUM('Jul 30:Sept 30'!M25)</f>
        <v>0</v>
      </c>
      <c r="J23" s="618"/>
      <c r="K23" s="618"/>
      <c r="L23" s="618">
        <f>SUM('Jul 30:Sept 30'!O25)</f>
        <v>0</v>
      </c>
      <c r="M23" s="618">
        <f>SUM('Jul 30:Sept 30'!P25)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SUM('Jul 30:Sept 30'!G26)</f>
        <v>0</v>
      </c>
      <c r="G24" s="618">
        <f>SUM('Jul 30:Sept 30'!I26)</f>
        <v>0</v>
      </c>
      <c r="H24" s="618">
        <f>SUM('Jul 30:Sept 30'!J26)</f>
        <v>0</v>
      </c>
      <c r="I24" s="618">
        <f>SUM('Jul 30:Sept 30'!M26)</f>
        <v>0</v>
      </c>
      <c r="J24" s="618"/>
      <c r="K24" s="618"/>
      <c r="L24" s="618">
        <f>SUM('Jul 30:Sept 30'!O26)</f>
        <v>0</v>
      </c>
      <c r="M24" s="618">
        <f>SUM('Jul 30:Sept 30'!P26)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SUM('Jul 30:Sept 30'!G27)</f>
        <v>0</v>
      </c>
      <c r="G25" s="618">
        <f>SUM('Jul 30:Sept 30'!I27)</f>
        <v>0</v>
      </c>
      <c r="H25" s="618">
        <f>SUM('Jul 30:Sept 30'!J27)</f>
        <v>0</v>
      </c>
      <c r="I25" s="618">
        <f>SUM('Jul 30:Sept 30'!M27)</f>
        <v>0</v>
      </c>
      <c r="J25" s="618"/>
      <c r="K25" s="618"/>
      <c r="L25" s="618">
        <f>SUM('Jul 30:Sept 30'!O27)</f>
        <v>0</v>
      </c>
      <c r="M25" s="618">
        <f>SUM('Jul 30:Sept 30'!P27)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SUM('Jul 30:Sept 30'!G28)</f>
        <v>0</v>
      </c>
      <c r="G26" s="618">
        <f>SUM('Jul 30:Sept 30'!I28)</f>
        <v>0</v>
      </c>
      <c r="H26" s="618">
        <f>SUM('Jul 30:Sept 30'!J28)</f>
        <v>0</v>
      </c>
      <c r="I26" s="618">
        <f>SUM('Jul 30:Sept 30'!M28)</f>
        <v>0</v>
      </c>
      <c r="J26" s="618"/>
      <c r="K26" s="618"/>
      <c r="L26" s="618">
        <f>SUM('Jul 30:Sept 30'!O28)</f>
        <v>0</v>
      </c>
      <c r="M26" s="618">
        <f>SUM('Jul 30:Sept 30'!P28)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SUM('Jul 30:Sept 30'!G29)</f>
        <v>0</v>
      </c>
      <c r="G27" s="618">
        <f>SUM('Jul 30:Sept 30'!I29)</f>
        <v>0</v>
      </c>
      <c r="H27" s="618">
        <f>SUM('Jul 30:Sept 30'!J29)</f>
        <v>0</v>
      </c>
      <c r="I27" s="618">
        <f>SUM('Jul 30:Sept 30'!M29)</f>
        <v>0</v>
      </c>
      <c r="J27" s="618"/>
      <c r="K27" s="618"/>
      <c r="L27" s="618">
        <f>SUM('Jul 30:Sept 30'!O29)</f>
        <v>0</v>
      </c>
      <c r="M27" s="618">
        <f>SUM('Jul 30:Sept 30'!P29)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SUM('Jul 30:Sept 30'!G30)</f>
        <v>0</v>
      </c>
      <c r="G28" s="618">
        <f>SUM('Jul 30:Sept 30'!I30)</f>
        <v>0</v>
      </c>
      <c r="H28" s="618">
        <f>SUM('Jul 30:Sept 30'!J30)</f>
        <v>0</v>
      </c>
      <c r="I28" s="618">
        <f>SUM('Jul 30:Sept 30'!M30)</f>
        <v>0</v>
      </c>
      <c r="J28" s="618"/>
      <c r="K28" s="618"/>
      <c r="L28" s="618">
        <f>SUM('Jul 30:Sept 30'!O30)</f>
        <v>0</v>
      </c>
      <c r="M28" s="618">
        <f>SUM('Jul 30:Sept 30'!P30)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SUM('Jul 30:Sept 30'!G31)</f>
        <v>0</v>
      </c>
      <c r="G29" s="618">
        <f>SUM('Jul 30:Sept 30'!I31)</f>
        <v>0</v>
      </c>
      <c r="H29" s="618">
        <f>SUM('Jul 30:Sept 30'!J31)</f>
        <v>0</v>
      </c>
      <c r="I29" s="618">
        <f>SUM('Jul 30:Sept 30'!M31)</f>
        <v>0</v>
      </c>
      <c r="J29" s="618"/>
      <c r="K29" s="618"/>
      <c r="L29" s="618">
        <f>SUM('Jul 30:Sept 30'!O31)</f>
        <v>0</v>
      </c>
      <c r="M29" s="618">
        <f>SUM('Jul 30:Sept 30'!P31)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SUM('Jul 30:Sept 30'!G32)</f>
        <v>0</v>
      </c>
      <c r="G30" s="618">
        <f>SUM('Jul 30:Sept 30'!I32)</f>
        <v>0</v>
      </c>
      <c r="H30" s="618">
        <f>SUM('Jul 30:Sept 30'!J32)</f>
        <v>0</v>
      </c>
      <c r="I30" s="618">
        <f>SUM('Jul 30:Sept 30'!M32)</f>
        <v>0</v>
      </c>
      <c r="J30" s="618"/>
      <c r="K30" s="618"/>
      <c r="L30" s="618">
        <f>SUM('Jul 30:Sept 30'!O32)</f>
        <v>0</v>
      </c>
      <c r="M30" s="618">
        <f>SUM('Jul 30:Sept 30'!P32)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SUM('Jul 30:Sept 30'!G33)</f>
        <v>0</v>
      </c>
      <c r="G31" s="618">
        <f>SUM('Jul 30:Sept 30'!I33)</f>
        <v>0</v>
      </c>
      <c r="H31" s="618">
        <f>SUM('Jul 30:Sept 30'!J33)</f>
        <v>0</v>
      </c>
      <c r="I31" s="618">
        <f>SUM('Jul 30:Sept 30'!M33)</f>
        <v>0</v>
      </c>
      <c r="J31" s="618"/>
      <c r="K31" s="618"/>
      <c r="L31" s="618">
        <f>SUM('Jul 30:Sept 30'!O33)</f>
        <v>0</v>
      </c>
      <c r="M31" s="618">
        <f>SUM('Jul 30:Sept 30'!P33)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SUM('Jul 30:Sept 30'!G34)</f>
        <v>0</v>
      </c>
      <c r="G32" s="618">
        <f>SUM('Jul 30:Sept 30'!I34)</f>
        <v>0</v>
      </c>
      <c r="H32" s="618">
        <f>SUM('Jul 30:Sept 30'!J34)</f>
        <v>0</v>
      </c>
      <c r="I32" s="618">
        <f>SUM('Jul 30:Sept 30'!M34)</f>
        <v>0</v>
      </c>
      <c r="J32" s="618"/>
      <c r="K32" s="618"/>
      <c r="L32" s="618">
        <f>SUM('Jul 30:Sept 30'!O34)</f>
        <v>0</v>
      </c>
      <c r="M32" s="618">
        <f>SUM('Jul 30:Sept 30'!P34)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SUM('Jul 30:Sept 30'!G35)</f>
        <v>0</v>
      </c>
      <c r="G33" s="618">
        <f>SUM('Jul 30:Sept 30'!I35)</f>
        <v>0</v>
      </c>
      <c r="H33" s="618">
        <f>SUM('Jul 30:Sept 30'!J35)</f>
        <v>0</v>
      </c>
      <c r="I33" s="618">
        <f>SUM('Jul 30:Sept 30'!M35)</f>
        <v>0</v>
      </c>
      <c r="J33" s="618"/>
      <c r="K33" s="618"/>
      <c r="L33" s="618">
        <f>SUM('Jul 30:Sept 30'!O35)</f>
        <v>0</v>
      </c>
      <c r="M33" s="618">
        <f>SUM('Jul 30:Sept 30'!P35)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Zzbfb5af2TlJ6xJfpV88kzZrg6toSTsxTBno62y7oW8cDvCE5qLdQbivHecpK3/ry/DdtlMWuoevCwaEZnkikg==" saltValue="mAsx7jmcAaNjHjh9bFnvzw=="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EBC6-9064-42CC-ABA1-45FCABB32593}">
  <sheetPr codeName="Sheet81">
    <tabColor indexed="43"/>
  </sheetPr>
  <dimension ref="A1:U40"/>
  <sheetViews>
    <sheetView showGridLines="0" showZeros="0" zoomScale="65" zoomScaleNormal="65" workbookViewId="0">
      <selection activeCell="V25" sqref="V25"/>
    </sheetView>
  </sheetViews>
  <sheetFormatPr defaultColWidth="9.109375" defaultRowHeight="13.2" x14ac:dyDescent="0.25"/>
  <cols>
    <col min="1" max="1" width="39.6640625" style="619" bestFit="1" customWidth="1"/>
    <col min="2" max="2" width="18.77734375" style="619" customWidth="1"/>
    <col min="3" max="3" width="12.109375" style="619" customWidth="1"/>
    <col min="4" max="4" width="14.109375" style="619" customWidth="1"/>
    <col min="5" max="5" width="18.6640625" style="619" customWidth="1"/>
    <col min="6" max="9" width="20.6640625" style="619" customWidth="1"/>
    <col min="10" max="10" width="17.6640625" style="619" customWidth="1"/>
    <col min="11" max="11" width="23.6640625" style="619" customWidth="1"/>
    <col min="12" max="13" width="20.6640625" style="619" customWidth="1"/>
    <col min="14" max="16384" width="9.109375" style="619"/>
  </cols>
  <sheetData>
    <row r="1" spans="1:21" s="608" customFormat="1" ht="21.6" thickTop="1" x14ac:dyDescent="0.25">
      <c r="A1" s="1177" t="s">
        <v>636</v>
      </c>
      <c r="B1" s="1178"/>
      <c r="C1" s="1179"/>
      <c r="D1" s="1179"/>
      <c r="E1" s="1179"/>
      <c r="F1" s="1179"/>
      <c r="G1" s="1179"/>
      <c r="H1" s="1179"/>
      <c r="I1" s="1179"/>
      <c r="J1" s="1179"/>
      <c r="K1" s="1179"/>
      <c r="L1" s="1179"/>
      <c r="M1" s="1180"/>
    </row>
    <row r="2" spans="1:21" s="608" customFormat="1" ht="17.25" customHeight="1" x14ac:dyDescent="0.25">
      <c r="A2" s="1157" t="s">
        <v>291</v>
      </c>
      <c r="B2" s="1158"/>
      <c r="C2" s="1165" t="str">
        <f>'Project Details'!D10</f>
        <v>Piccadilly Gardens Redevelopment</v>
      </c>
      <c r="D2" s="1181"/>
      <c r="E2" s="1181"/>
      <c r="F2" s="1181"/>
      <c r="G2" s="1181"/>
      <c r="H2" s="1181"/>
      <c r="I2" s="1162"/>
      <c r="J2" s="1182" t="s">
        <v>736</v>
      </c>
      <c r="K2" s="1183"/>
      <c r="L2" s="1183"/>
      <c r="M2" s="1184"/>
    </row>
    <row r="3" spans="1:21" s="608" customFormat="1" ht="17.25" customHeight="1" x14ac:dyDescent="0.25">
      <c r="A3" s="1157" t="s">
        <v>638</v>
      </c>
      <c r="B3" s="1158"/>
      <c r="C3" s="1165" t="str">
        <f>'Project Details'!D11</f>
        <v>HLA098</v>
      </c>
      <c r="D3" s="1181"/>
      <c r="E3" s="1181"/>
      <c r="F3" s="1161"/>
      <c r="G3" s="1162"/>
      <c r="H3" s="1163" t="s">
        <v>639</v>
      </c>
      <c r="I3" s="1164"/>
      <c r="J3" s="1185">
        <f>'Project Details'!D13</f>
        <v>15000000</v>
      </c>
      <c r="K3" s="1166"/>
      <c r="L3" s="1166"/>
      <c r="M3" s="1167"/>
    </row>
    <row r="4" spans="1:21" s="608" customFormat="1" ht="17.25" customHeight="1" x14ac:dyDescent="0.25">
      <c r="A4" s="1157" t="s">
        <v>640</v>
      </c>
      <c r="B4" s="1158"/>
      <c r="C4" s="1159" t="str">
        <f>'Project Details'!D16</f>
        <v>Winter 2026 (TBC)</v>
      </c>
      <c r="D4" s="1160"/>
      <c r="E4" s="1160"/>
      <c r="F4" s="1161"/>
      <c r="G4" s="1162"/>
      <c r="H4" s="1163" t="s">
        <v>38</v>
      </c>
      <c r="I4" s="1164"/>
      <c r="J4" s="1165" t="str">
        <f>'Project Details'!D38</f>
        <v>Adam Liu</v>
      </c>
      <c r="K4" s="1166"/>
      <c r="L4" s="1166"/>
      <c r="M4" s="1167"/>
    </row>
    <row r="5" spans="1:21" s="608" customFormat="1" ht="17.25" customHeight="1" thickBot="1" x14ac:dyDescent="0.3">
      <c r="A5" s="1168" t="s">
        <v>36</v>
      </c>
      <c r="B5" s="1169"/>
      <c r="C5" s="1170" t="str">
        <f>'Project Details'!D39</f>
        <v>TBC</v>
      </c>
      <c r="D5" s="1171"/>
      <c r="E5" s="1171"/>
      <c r="F5" s="1172"/>
      <c r="G5" s="1173"/>
      <c r="H5" s="1174" t="s">
        <v>294</v>
      </c>
      <c r="I5" s="1169"/>
      <c r="J5" s="1170" t="str">
        <f>'Project Details'!D42</f>
        <v>TBC</v>
      </c>
      <c r="K5" s="1175"/>
      <c r="L5" s="1175"/>
      <c r="M5" s="1176"/>
    </row>
    <row r="6" spans="1:21" s="608" customFormat="1" ht="26.25" customHeight="1" thickTop="1" thickBot="1" x14ac:dyDescent="0.35">
      <c r="A6" s="36"/>
      <c r="B6" s="36"/>
      <c r="C6" s="36"/>
      <c r="D6" s="36"/>
      <c r="E6" s="36"/>
      <c r="F6" s="36"/>
      <c r="G6" s="36"/>
      <c r="H6" s="36"/>
      <c r="I6" s="36"/>
      <c r="J6" s="36"/>
      <c r="K6" s="36"/>
      <c r="L6" s="36"/>
      <c r="M6" s="36"/>
    </row>
    <row r="7" spans="1:21" s="608" customFormat="1" ht="26.25" customHeight="1" thickTop="1" thickBot="1" x14ac:dyDescent="0.3">
      <c r="A7" s="1149" t="s">
        <v>641</v>
      </c>
      <c r="B7" s="1149" t="s">
        <v>115</v>
      </c>
      <c r="C7" s="1152" t="s">
        <v>105</v>
      </c>
      <c r="D7" s="1152" t="s">
        <v>643</v>
      </c>
      <c r="E7" s="1152" t="s">
        <v>644</v>
      </c>
      <c r="F7" s="1154" t="s">
        <v>817</v>
      </c>
      <c r="G7" s="1155"/>
      <c r="H7" s="1155"/>
      <c r="I7" s="1155"/>
      <c r="J7" s="1155"/>
      <c r="K7" s="1155"/>
      <c r="L7" s="1155"/>
      <c r="M7" s="1156"/>
    </row>
    <row r="8" spans="1:21" s="608" customFormat="1" ht="43.5" customHeight="1" thickTop="1" thickBot="1" x14ac:dyDescent="0.3">
      <c r="A8" s="1150"/>
      <c r="B8" s="1151"/>
      <c r="C8" s="1150"/>
      <c r="D8" s="1150"/>
      <c r="E8" s="1153"/>
      <c r="F8" s="609" t="s">
        <v>647</v>
      </c>
      <c r="G8" s="609" t="s">
        <v>648</v>
      </c>
      <c r="H8" s="609" t="s">
        <v>649</v>
      </c>
      <c r="I8" s="609" t="s">
        <v>650</v>
      </c>
      <c r="J8" s="610" t="s">
        <v>732</v>
      </c>
      <c r="K8" s="610" t="s">
        <v>733</v>
      </c>
      <c r="L8" s="609" t="s">
        <v>111</v>
      </c>
      <c r="M8" s="609" t="s">
        <v>651</v>
      </c>
    </row>
    <row r="9" spans="1:21" s="608" customFormat="1" ht="26.25" customHeight="1" thickTop="1" x14ac:dyDescent="0.25">
      <c r="A9" s="611" t="str">
        <f>'Project Cumulative '!A10</f>
        <v>Dry Mixed Recyclables (DMR - paper, cardboard, metal, plastic glass)</v>
      </c>
      <c r="B9" s="611" t="str">
        <f>'Project Cumulative '!B10</f>
        <v>Construction</v>
      </c>
      <c r="C9" s="612">
        <f>'Project Cumulative '!D10</f>
        <v>150106</v>
      </c>
      <c r="D9" s="613" t="str">
        <f>'Project Cumulative '!E10</f>
        <v>NH</v>
      </c>
      <c r="E9" s="614">
        <f>SUM(F9:I9)+M9</f>
        <v>0</v>
      </c>
      <c r="F9" s="614">
        <f>SUM('Oct 30:Dec 30'!G11)</f>
        <v>0</v>
      </c>
      <c r="G9" s="614">
        <f>SUM('Oct 30:Dec 30'!I11)</f>
        <v>0</v>
      </c>
      <c r="H9" s="614">
        <f>SUM('Oct 30:Dec 30'!J11)</f>
        <v>0</v>
      </c>
      <c r="I9" s="614">
        <f>SUM('Oct 30:Dec 30'!M11)</f>
        <v>0</v>
      </c>
      <c r="J9" s="614"/>
      <c r="K9" s="614"/>
      <c r="L9" s="614">
        <f>SUM('Oct 30:Dec 30'!O11)</f>
        <v>0</v>
      </c>
      <c r="M9" s="614">
        <f>SUM('Oct 30:Dec 30'!P11)</f>
        <v>0</v>
      </c>
    </row>
    <row r="10" spans="1:21" s="608" customFormat="1" ht="26.25" customHeight="1" x14ac:dyDescent="0.25">
      <c r="A10" s="615" t="str">
        <f>'Project Cumulative '!A11</f>
        <v>Construction and demolition wastes - Mixed (uncontaminated)</v>
      </c>
      <c r="B10" s="615" t="str">
        <f>'Project Cumulative '!B11</f>
        <v>Excavation</v>
      </c>
      <c r="C10" s="616">
        <f>'Project Cumulative '!D11</f>
        <v>170904</v>
      </c>
      <c r="D10" s="617" t="str">
        <f>'Project Cumulative '!E11</f>
        <v>NH</v>
      </c>
      <c r="E10" s="618">
        <f t="shared" ref="E10:E33" si="0">SUM(F10:I10)+M10</f>
        <v>0</v>
      </c>
      <c r="F10" s="618">
        <f>SUM('Oct 30:Dec 30'!G12)</f>
        <v>0</v>
      </c>
      <c r="G10" s="618">
        <f>SUM('Oct 30:Dec 30'!I12)</f>
        <v>0</v>
      </c>
      <c r="H10" s="618">
        <f>SUM('Oct 30:Dec 30'!J12)</f>
        <v>0</v>
      </c>
      <c r="I10" s="618">
        <f>SUM('Oct 30:Dec 30'!M12)</f>
        <v>0</v>
      </c>
      <c r="J10" s="618"/>
      <c r="K10" s="618"/>
      <c r="L10" s="618">
        <f>SUM('Oct 30:Dec 30'!O12)</f>
        <v>0</v>
      </c>
      <c r="M10" s="618">
        <f>SUM('Oct 30:Dec 30'!P12)</f>
        <v>0</v>
      </c>
      <c r="U10" s="608" t="str">
        <f>IF(B10="Demolition",G10,"")</f>
        <v/>
      </c>
    </row>
    <row r="11" spans="1:21" s="608" customFormat="1" ht="26.25" customHeight="1" x14ac:dyDescent="0.25">
      <c r="A11" s="615" t="str">
        <f>'Project Cumulative '!A12</f>
        <v>Soil and Stones</v>
      </c>
      <c r="B11" s="615" t="str">
        <f>'Project Cumulative '!B12</f>
        <v>Excavation</v>
      </c>
      <c r="C11" s="616">
        <f>'Project Cumulative '!D12</f>
        <v>170504</v>
      </c>
      <c r="D11" s="617" t="str">
        <f>'Project Cumulative '!E12</f>
        <v>I</v>
      </c>
      <c r="E11" s="618">
        <f t="shared" si="0"/>
        <v>0</v>
      </c>
      <c r="F11" s="618">
        <f>SUM('Oct 30:Dec 30'!G13)</f>
        <v>0</v>
      </c>
      <c r="G11" s="618">
        <f>SUM('Oct 30:Dec 30'!I13)</f>
        <v>0</v>
      </c>
      <c r="H11" s="618">
        <f>SUM('Oct 30:Dec 30'!J13)</f>
        <v>0</v>
      </c>
      <c r="I11" s="618">
        <f>SUM('Oct 30:Dec 30'!M13)</f>
        <v>0</v>
      </c>
      <c r="J11" s="618"/>
      <c r="K11" s="618"/>
      <c r="L11" s="618">
        <f>SUM('Oct 30:Dec 30'!O13)</f>
        <v>0</v>
      </c>
      <c r="M11" s="618">
        <f>SUM('Oct 30:Dec 30'!P13)</f>
        <v>0</v>
      </c>
    </row>
    <row r="12" spans="1:21" ht="26.25" customHeight="1" x14ac:dyDescent="0.25">
      <c r="A12" s="615" t="str">
        <f>'Project Cumulative '!A13</f>
        <v>Bituminous mixtures not containing coal tar</v>
      </c>
      <c r="B12" s="615" t="str">
        <f>'Project Cumulative '!B13</f>
        <v>Excavation</v>
      </c>
      <c r="C12" s="616">
        <f>'Project Cumulative '!D13</f>
        <v>170302</v>
      </c>
      <c r="D12" s="617" t="str">
        <f>'Project Cumulative '!E13</f>
        <v>NH</v>
      </c>
      <c r="E12" s="618">
        <f t="shared" si="0"/>
        <v>0</v>
      </c>
      <c r="F12" s="618">
        <f>SUM('Oct 30:Dec 30'!G14)</f>
        <v>0</v>
      </c>
      <c r="G12" s="618">
        <f>SUM('Oct 30:Dec 30'!I14)</f>
        <v>0</v>
      </c>
      <c r="H12" s="618">
        <f>SUM('Oct 30:Dec 30'!J14)</f>
        <v>0</v>
      </c>
      <c r="I12" s="618">
        <f>SUM('Oct 30:Dec 30'!M14)</f>
        <v>0</v>
      </c>
      <c r="J12" s="618"/>
      <c r="K12" s="618"/>
      <c r="L12" s="618">
        <f>SUM('Oct 30:Dec 30'!O14)</f>
        <v>0</v>
      </c>
      <c r="M12" s="618">
        <f>SUM('Oct 30:Dec 30'!P14)</f>
        <v>0</v>
      </c>
    </row>
    <row r="13" spans="1:21" ht="26.25" customHeight="1" x14ac:dyDescent="0.25">
      <c r="A13" s="615" t="str">
        <f>'Project Cumulative '!A14</f>
        <v>Road sweepings</v>
      </c>
      <c r="B13" s="615" t="str">
        <f>'Project Cumulative '!B14</f>
        <v>Construction</v>
      </c>
      <c r="C13" s="616">
        <f>'Project Cumulative '!D14</f>
        <v>200303</v>
      </c>
      <c r="D13" s="617" t="str">
        <f>'Project Cumulative '!E14</f>
        <v>NH</v>
      </c>
      <c r="E13" s="618">
        <f t="shared" si="0"/>
        <v>0</v>
      </c>
      <c r="F13" s="618">
        <f>SUM('Oct 30:Dec 30'!G15)</f>
        <v>0</v>
      </c>
      <c r="G13" s="618">
        <f>SUM('Oct 30:Dec 30'!I15)</f>
        <v>0</v>
      </c>
      <c r="H13" s="618">
        <f>SUM('Oct 30:Dec 30'!J15)</f>
        <v>0</v>
      </c>
      <c r="I13" s="618">
        <f>SUM('Oct 30:Dec 30'!M15)</f>
        <v>0</v>
      </c>
      <c r="J13" s="618"/>
      <c r="K13" s="618"/>
      <c r="L13" s="618">
        <f>SUM('Oct 30:Dec 30'!O15)</f>
        <v>0</v>
      </c>
      <c r="M13" s="618">
        <f>SUM('Oct 30:Dec 30'!P15)</f>
        <v>0</v>
      </c>
    </row>
    <row r="14" spans="1:21" ht="26.25" customHeight="1" x14ac:dyDescent="0.25">
      <c r="A14" s="615" t="str">
        <f>'Project Cumulative '!A15</f>
        <v>Sewage Treatment - Sludge destined for offsite treatment</v>
      </c>
      <c r="B14" s="615" t="str">
        <f>'Project Cumulative '!B15</f>
        <v>Construction</v>
      </c>
      <c r="C14" s="616">
        <f>'Project Cumulative '!D15</f>
        <v>161001</v>
      </c>
      <c r="D14" s="617" t="str">
        <f>'Project Cumulative '!E15</f>
        <v>H</v>
      </c>
      <c r="E14" s="618">
        <f t="shared" si="0"/>
        <v>0</v>
      </c>
      <c r="F14" s="618">
        <f>SUM('Oct 30:Dec 30'!G16)</f>
        <v>0</v>
      </c>
      <c r="G14" s="618">
        <f>SUM('Oct 30:Dec 30'!I16)</f>
        <v>0</v>
      </c>
      <c r="H14" s="618">
        <f>SUM('Oct 30:Dec 30'!J16)</f>
        <v>0</v>
      </c>
      <c r="I14" s="618">
        <f>SUM('Oct 30:Dec 30'!M16)</f>
        <v>0</v>
      </c>
      <c r="J14" s="618"/>
      <c r="K14" s="618"/>
      <c r="L14" s="618">
        <f>SUM('Oct 30:Dec 30'!O16)</f>
        <v>0</v>
      </c>
      <c r="M14" s="618">
        <f>SUM('Oct 30:Dec 30'!P16)</f>
        <v>0</v>
      </c>
    </row>
    <row r="15" spans="1:21" ht="26.25" customHeight="1" x14ac:dyDescent="0.25">
      <c r="A15" s="615" t="str">
        <f>'Project Cumulative '!A16</f>
        <v>Construction materials containing asbestos</v>
      </c>
      <c r="B15" s="615" t="str">
        <f>'Project Cumulative '!B16</f>
        <v>Demolition</v>
      </c>
      <c r="C15" s="616">
        <f>'Project Cumulative '!D16</f>
        <v>170605</v>
      </c>
      <c r="D15" s="617" t="str">
        <f>'Project Cumulative '!E16</f>
        <v>H</v>
      </c>
      <c r="E15" s="618">
        <f t="shared" si="0"/>
        <v>0</v>
      </c>
      <c r="F15" s="618">
        <f>SUM('Oct 30:Dec 30'!G17)</f>
        <v>0</v>
      </c>
      <c r="G15" s="618">
        <f>SUM('Oct 30:Dec 30'!I17)</f>
        <v>0</v>
      </c>
      <c r="H15" s="618">
        <f>SUM('Oct 30:Dec 30'!J17)</f>
        <v>0</v>
      </c>
      <c r="I15" s="618">
        <f>SUM('Oct 30:Dec 30'!M17)</f>
        <v>0</v>
      </c>
      <c r="J15" s="618"/>
      <c r="K15" s="618"/>
      <c r="L15" s="618">
        <f>SUM('Oct 30:Dec 30'!O17)</f>
        <v>0</v>
      </c>
      <c r="M15" s="618">
        <f>SUM('Oct 30:Dec 30'!P17)</f>
        <v>0</v>
      </c>
    </row>
    <row r="16" spans="1:21" ht="26.25" customHeight="1" x14ac:dyDescent="0.25">
      <c r="A16" s="615" t="str">
        <f>'Project Cumulative '!A17</f>
        <v>Concrete, bricks, tiles and ceramics - Mixed (uncontaminated)</v>
      </c>
      <c r="B16" s="615" t="str">
        <f>'Project Cumulative '!B17</f>
        <v>Demolition</v>
      </c>
      <c r="C16" s="616">
        <f>'Project Cumulative '!D17</f>
        <v>170107</v>
      </c>
      <c r="D16" s="617" t="str">
        <f>'Project Cumulative '!E17</f>
        <v>NH</v>
      </c>
      <c r="E16" s="618">
        <f t="shared" si="0"/>
        <v>0</v>
      </c>
      <c r="F16" s="618">
        <f>SUM('Oct 30:Dec 30'!G18)</f>
        <v>0</v>
      </c>
      <c r="G16" s="618">
        <f>SUM('Oct 30:Dec 30'!I18)</f>
        <v>0</v>
      </c>
      <c r="H16" s="618">
        <f>SUM('Oct 30:Dec 30'!J18)</f>
        <v>0</v>
      </c>
      <c r="I16" s="618">
        <f>SUM('Oct 30:Dec 30'!M18)</f>
        <v>0</v>
      </c>
      <c r="J16" s="618"/>
      <c r="K16" s="618"/>
      <c r="L16" s="618">
        <f>SUM('Oct 30:Dec 30'!O18)</f>
        <v>0</v>
      </c>
      <c r="M16" s="618">
        <f>SUM('Oct 30:Dec 30'!P18)</f>
        <v>0</v>
      </c>
    </row>
    <row r="17" spans="1:13" ht="26.25" customHeight="1" x14ac:dyDescent="0.25">
      <c r="A17" s="615" t="str">
        <f>'Project Cumulative '!A18</f>
        <v>Metal - Iron and steel</v>
      </c>
      <c r="B17" s="615" t="str">
        <f>'Project Cumulative '!B18</f>
        <v>Demolition</v>
      </c>
      <c r="C17" s="616">
        <f>'Project Cumulative '!D18</f>
        <v>170405</v>
      </c>
      <c r="D17" s="617" t="str">
        <f>'Project Cumulative '!E18</f>
        <v>NH</v>
      </c>
      <c r="E17" s="618">
        <f t="shared" si="0"/>
        <v>0</v>
      </c>
      <c r="F17" s="618">
        <f>SUM('Oct 30:Dec 30'!G19)</f>
        <v>0</v>
      </c>
      <c r="G17" s="618">
        <f>SUM('Oct 30:Dec 30'!I19)</f>
        <v>0</v>
      </c>
      <c r="H17" s="618">
        <f>SUM('Oct 30:Dec 30'!J19)</f>
        <v>0</v>
      </c>
      <c r="I17" s="618">
        <f>SUM('Oct 30:Dec 30'!M19)</f>
        <v>0</v>
      </c>
      <c r="J17" s="618"/>
      <c r="K17" s="618"/>
      <c r="L17" s="618">
        <f>SUM('Oct 30:Dec 30'!O19)</f>
        <v>0</v>
      </c>
      <c r="M17" s="618">
        <f>SUM('Oct 30:Dec 30'!P19)</f>
        <v>0</v>
      </c>
    </row>
    <row r="18" spans="1:13" ht="26.25" customHeight="1" x14ac:dyDescent="0.25">
      <c r="A18" s="615">
        <f>'Project Cumulative '!A19</f>
        <v>0</v>
      </c>
      <c r="B18" s="615">
        <f>'Project Cumulative '!B19</f>
        <v>0</v>
      </c>
      <c r="C18" s="616" t="str">
        <f>'Project Cumulative '!D19</f>
        <v/>
      </c>
      <c r="D18" s="617" t="str">
        <f>'Project Cumulative '!E19</f>
        <v/>
      </c>
      <c r="E18" s="618">
        <f t="shared" si="0"/>
        <v>0</v>
      </c>
      <c r="F18" s="618">
        <f>SUM('Oct 30:Dec 30'!G20)</f>
        <v>0</v>
      </c>
      <c r="G18" s="618">
        <f>SUM('Oct 30:Dec 30'!I20)</f>
        <v>0</v>
      </c>
      <c r="H18" s="618">
        <f>SUM('Oct 30:Dec 30'!J20)</f>
        <v>0</v>
      </c>
      <c r="I18" s="618">
        <f>SUM('Oct 30:Dec 30'!M20)</f>
        <v>0</v>
      </c>
      <c r="J18" s="618"/>
      <c r="K18" s="618"/>
      <c r="L18" s="618">
        <f>SUM('Oct 30:Dec 30'!O20)</f>
        <v>0</v>
      </c>
      <c r="M18" s="618">
        <f>SUM('Oct 30:Dec 30'!P20)</f>
        <v>0</v>
      </c>
    </row>
    <row r="19" spans="1:13" ht="26.25" customHeight="1" x14ac:dyDescent="0.25">
      <c r="A19" s="615">
        <f>'Project Cumulative '!A20</f>
        <v>0</v>
      </c>
      <c r="B19" s="615">
        <f>'Project Cumulative '!B20</f>
        <v>0</v>
      </c>
      <c r="C19" s="616" t="str">
        <f>'Project Cumulative '!D20</f>
        <v/>
      </c>
      <c r="D19" s="617" t="str">
        <f>'Project Cumulative '!E20</f>
        <v/>
      </c>
      <c r="E19" s="618">
        <f t="shared" si="0"/>
        <v>0</v>
      </c>
      <c r="F19" s="618">
        <f>SUM('Oct 30:Dec 30'!G21)</f>
        <v>0</v>
      </c>
      <c r="G19" s="618">
        <f>SUM('Oct 30:Dec 30'!I21)</f>
        <v>0</v>
      </c>
      <c r="H19" s="618">
        <f>SUM('Oct 30:Dec 30'!J21)</f>
        <v>0</v>
      </c>
      <c r="I19" s="618">
        <f>SUM('Oct 30:Dec 30'!M21)</f>
        <v>0</v>
      </c>
      <c r="J19" s="618"/>
      <c r="K19" s="618"/>
      <c r="L19" s="618">
        <f>SUM('Oct 30:Dec 30'!O21)</f>
        <v>0</v>
      </c>
      <c r="M19" s="618">
        <f>SUM('Oct 30:Dec 30'!P21)</f>
        <v>0</v>
      </c>
    </row>
    <row r="20" spans="1:13" ht="26.25" customHeight="1" x14ac:dyDescent="0.25">
      <c r="A20" s="615">
        <f>'Project Cumulative '!A21</f>
        <v>0</v>
      </c>
      <c r="B20" s="615">
        <f>'Project Cumulative '!B21</f>
        <v>0</v>
      </c>
      <c r="C20" s="616" t="str">
        <f>'Project Cumulative '!D21</f>
        <v/>
      </c>
      <c r="D20" s="617" t="str">
        <f>'Project Cumulative '!E21</f>
        <v/>
      </c>
      <c r="E20" s="618">
        <f t="shared" si="0"/>
        <v>0</v>
      </c>
      <c r="F20" s="618">
        <f>SUM('Oct 30:Dec 30'!G22)</f>
        <v>0</v>
      </c>
      <c r="G20" s="618">
        <f>SUM('Oct 30:Dec 30'!I22)</f>
        <v>0</v>
      </c>
      <c r="H20" s="618">
        <f>SUM('Oct 30:Dec 30'!J22)</f>
        <v>0</v>
      </c>
      <c r="I20" s="618">
        <f>SUM('Oct 30:Dec 30'!M22)</f>
        <v>0</v>
      </c>
      <c r="J20" s="618"/>
      <c r="K20" s="618"/>
      <c r="L20" s="618">
        <f>SUM('Oct 30:Dec 30'!O22)</f>
        <v>0</v>
      </c>
      <c r="M20" s="618">
        <f>SUM('Oct 30:Dec 30'!P22)</f>
        <v>0</v>
      </c>
    </row>
    <row r="21" spans="1:13" ht="26.25" customHeight="1" x14ac:dyDescent="0.25">
      <c r="A21" s="615">
        <f>'Project Cumulative '!A22</f>
        <v>0</v>
      </c>
      <c r="B21" s="615">
        <f>'Project Cumulative '!B22</f>
        <v>0</v>
      </c>
      <c r="C21" s="616" t="str">
        <f>'Project Cumulative '!D22</f>
        <v/>
      </c>
      <c r="D21" s="617" t="str">
        <f>'Project Cumulative '!E22</f>
        <v/>
      </c>
      <c r="E21" s="618">
        <f t="shared" si="0"/>
        <v>0</v>
      </c>
      <c r="F21" s="618">
        <f>SUM('Oct 30:Dec 30'!G23)</f>
        <v>0</v>
      </c>
      <c r="G21" s="618">
        <f>SUM('Oct 30:Dec 30'!I23)</f>
        <v>0</v>
      </c>
      <c r="H21" s="618">
        <f>SUM('Oct 30:Dec 30'!J23)</f>
        <v>0</v>
      </c>
      <c r="I21" s="618">
        <f>SUM('Oct 30:Dec 30'!M23)</f>
        <v>0</v>
      </c>
      <c r="J21" s="618"/>
      <c r="K21" s="618"/>
      <c r="L21" s="618">
        <f>SUM('Oct 30:Dec 30'!O23)</f>
        <v>0</v>
      </c>
      <c r="M21" s="618">
        <f>SUM('Oct 30:Dec 30'!P23)</f>
        <v>0</v>
      </c>
    </row>
    <row r="22" spans="1:13" ht="26.25" customHeight="1" x14ac:dyDescent="0.25">
      <c r="A22" s="615">
        <f>'Project Cumulative '!A23</f>
        <v>0</v>
      </c>
      <c r="B22" s="615">
        <f>'Project Cumulative '!B23</f>
        <v>0</v>
      </c>
      <c r="C22" s="616" t="str">
        <f>'Project Cumulative '!D23</f>
        <v/>
      </c>
      <c r="D22" s="617" t="str">
        <f>'Project Cumulative '!E23</f>
        <v/>
      </c>
      <c r="E22" s="618">
        <f t="shared" si="0"/>
        <v>0</v>
      </c>
      <c r="F22" s="618">
        <f>SUM('Oct 30:Dec 30'!G24)</f>
        <v>0</v>
      </c>
      <c r="G22" s="618">
        <f>SUM('Oct 30:Dec 30'!I24)</f>
        <v>0</v>
      </c>
      <c r="H22" s="618">
        <f>SUM('Oct 30:Dec 30'!J24)</f>
        <v>0</v>
      </c>
      <c r="I22" s="618">
        <f>SUM('Oct 30:Dec 30'!M24)</f>
        <v>0</v>
      </c>
      <c r="J22" s="618"/>
      <c r="K22" s="618"/>
      <c r="L22" s="618">
        <f>SUM('Oct 30:Dec 30'!O24)</f>
        <v>0</v>
      </c>
      <c r="M22" s="618">
        <f>SUM('Oct 30:Dec 30'!P24)</f>
        <v>0</v>
      </c>
    </row>
    <row r="23" spans="1:13" ht="26.25" customHeight="1" x14ac:dyDescent="0.25">
      <c r="A23" s="615">
        <f>'Project Cumulative '!A24</f>
        <v>0</v>
      </c>
      <c r="B23" s="615">
        <f>'Project Cumulative '!B24</f>
        <v>0</v>
      </c>
      <c r="C23" s="616" t="str">
        <f>'Project Cumulative '!D24</f>
        <v/>
      </c>
      <c r="D23" s="617" t="str">
        <f>'Project Cumulative '!E24</f>
        <v/>
      </c>
      <c r="E23" s="618">
        <f t="shared" si="0"/>
        <v>0</v>
      </c>
      <c r="F23" s="618">
        <f>SUM('Oct 30:Dec 30'!G25)</f>
        <v>0</v>
      </c>
      <c r="G23" s="618">
        <f>SUM('Oct 30:Dec 30'!I25)</f>
        <v>0</v>
      </c>
      <c r="H23" s="618">
        <f>SUM('Oct 30:Dec 30'!J25)</f>
        <v>0</v>
      </c>
      <c r="I23" s="618">
        <f>SUM('Oct 30:Dec 30'!M25)</f>
        <v>0</v>
      </c>
      <c r="J23" s="618"/>
      <c r="K23" s="618"/>
      <c r="L23" s="618">
        <f>SUM('Oct 30:Dec 30'!O25)</f>
        <v>0</v>
      </c>
      <c r="M23" s="618">
        <f>SUM('Oct 30:Dec 30'!P25)</f>
        <v>0</v>
      </c>
    </row>
    <row r="24" spans="1:13" ht="26.25" customHeight="1" x14ac:dyDescent="0.25">
      <c r="A24" s="615">
        <f>'Project Cumulative '!A25</f>
        <v>0</v>
      </c>
      <c r="B24" s="615">
        <f>'Project Cumulative '!B25</f>
        <v>0</v>
      </c>
      <c r="C24" s="616" t="str">
        <f>'Project Cumulative '!D25</f>
        <v/>
      </c>
      <c r="D24" s="617" t="str">
        <f>'Project Cumulative '!E25</f>
        <v/>
      </c>
      <c r="E24" s="618">
        <f t="shared" si="0"/>
        <v>0</v>
      </c>
      <c r="F24" s="618">
        <f>SUM('Oct 30:Dec 30'!G26)</f>
        <v>0</v>
      </c>
      <c r="G24" s="618">
        <f>SUM('Oct 30:Dec 30'!I26)</f>
        <v>0</v>
      </c>
      <c r="H24" s="618">
        <f>SUM('Oct 30:Dec 30'!J26)</f>
        <v>0</v>
      </c>
      <c r="I24" s="618">
        <f>SUM('Oct 30:Dec 30'!M26)</f>
        <v>0</v>
      </c>
      <c r="J24" s="618"/>
      <c r="K24" s="618"/>
      <c r="L24" s="618">
        <f>SUM('Oct 30:Dec 30'!O26)</f>
        <v>0</v>
      </c>
      <c r="M24" s="618">
        <f>SUM('Oct 30:Dec 30'!P26)</f>
        <v>0</v>
      </c>
    </row>
    <row r="25" spans="1:13" ht="26.25" customHeight="1" x14ac:dyDescent="0.25">
      <c r="A25" s="615">
        <f>'Project Cumulative '!A26</f>
        <v>0</v>
      </c>
      <c r="B25" s="615">
        <f>'Project Cumulative '!B26</f>
        <v>0</v>
      </c>
      <c r="C25" s="616" t="str">
        <f>'Project Cumulative '!D26</f>
        <v/>
      </c>
      <c r="D25" s="617" t="str">
        <f>'Project Cumulative '!E26</f>
        <v/>
      </c>
      <c r="E25" s="618">
        <f t="shared" si="0"/>
        <v>0</v>
      </c>
      <c r="F25" s="618">
        <f>SUM('Oct 30:Dec 30'!G27)</f>
        <v>0</v>
      </c>
      <c r="G25" s="618">
        <f>SUM('Oct 30:Dec 30'!I27)</f>
        <v>0</v>
      </c>
      <c r="H25" s="618">
        <f>SUM('Oct 30:Dec 30'!J27)</f>
        <v>0</v>
      </c>
      <c r="I25" s="618">
        <f>SUM('Oct 30:Dec 30'!M27)</f>
        <v>0</v>
      </c>
      <c r="J25" s="618"/>
      <c r="K25" s="618"/>
      <c r="L25" s="618">
        <f>SUM('Oct 30:Dec 30'!O27)</f>
        <v>0</v>
      </c>
      <c r="M25" s="618">
        <f>SUM('Oct 30:Dec 30'!P27)</f>
        <v>0</v>
      </c>
    </row>
    <row r="26" spans="1:13" ht="26.25" customHeight="1" x14ac:dyDescent="0.25">
      <c r="A26" s="615">
        <f>'Project Cumulative '!A27</f>
        <v>0</v>
      </c>
      <c r="B26" s="615">
        <f>'Project Cumulative '!B27</f>
        <v>0</v>
      </c>
      <c r="C26" s="616" t="str">
        <f>'Project Cumulative '!D27</f>
        <v/>
      </c>
      <c r="D26" s="617" t="str">
        <f>'Project Cumulative '!E27</f>
        <v/>
      </c>
      <c r="E26" s="618">
        <f t="shared" si="0"/>
        <v>0</v>
      </c>
      <c r="F26" s="618">
        <f>SUM('Oct 30:Dec 30'!G28)</f>
        <v>0</v>
      </c>
      <c r="G26" s="618">
        <f>SUM('Oct 30:Dec 30'!I28)</f>
        <v>0</v>
      </c>
      <c r="H26" s="618">
        <f>SUM('Oct 30:Dec 30'!J28)</f>
        <v>0</v>
      </c>
      <c r="I26" s="618">
        <f>SUM('Oct 30:Dec 30'!M28)</f>
        <v>0</v>
      </c>
      <c r="J26" s="618"/>
      <c r="K26" s="618"/>
      <c r="L26" s="618">
        <f>SUM('Oct 30:Dec 30'!O28)</f>
        <v>0</v>
      </c>
      <c r="M26" s="618">
        <f>SUM('Oct 30:Dec 30'!P28)</f>
        <v>0</v>
      </c>
    </row>
    <row r="27" spans="1:13" ht="26.25" customHeight="1" x14ac:dyDescent="0.25">
      <c r="A27" s="615">
        <f>'Project Cumulative '!A28</f>
        <v>0</v>
      </c>
      <c r="B27" s="615">
        <f>'Project Cumulative '!B28</f>
        <v>0</v>
      </c>
      <c r="C27" s="616" t="str">
        <f>'Project Cumulative '!D28</f>
        <v/>
      </c>
      <c r="D27" s="617" t="str">
        <f>'Project Cumulative '!E28</f>
        <v/>
      </c>
      <c r="E27" s="618">
        <f t="shared" si="0"/>
        <v>0</v>
      </c>
      <c r="F27" s="618">
        <f>SUM('Oct 30:Dec 30'!G29)</f>
        <v>0</v>
      </c>
      <c r="G27" s="618">
        <f>SUM('Oct 30:Dec 30'!I29)</f>
        <v>0</v>
      </c>
      <c r="H27" s="618">
        <f>SUM('Oct 30:Dec 30'!J29)</f>
        <v>0</v>
      </c>
      <c r="I27" s="618">
        <f>SUM('Oct 30:Dec 30'!M29)</f>
        <v>0</v>
      </c>
      <c r="J27" s="618"/>
      <c r="K27" s="618"/>
      <c r="L27" s="618">
        <f>SUM('Oct 30:Dec 30'!O29)</f>
        <v>0</v>
      </c>
      <c r="M27" s="618">
        <f>SUM('Oct 30:Dec 30'!P29)</f>
        <v>0</v>
      </c>
    </row>
    <row r="28" spans="1:13" ht="26.25" customHeight="1" x14ac:dyDescent="0.25">
      <c r="A28" s="615">
        <f>'Project Cumulative '!A29</f>
        <v>0</v>
      </c>
      <c r="B28" s="615">
        <f>'Project Cumulative '!B29</f>
        <v>0</v>
      </c>
      <c r="C28" s="616" t="str">
        <f>'Project Cumulative '!D29</f>
        <v/>
      </c>
      <c r="D28" s="617" t="str">
        <f>'Project Cumulative '!E29</f>
        <v/>
      </c>
      <c r="E28" s="618">
        <f t="shared" si="0"/>
        <v>0</v>
      </c>
      <c r="F28" s="618">
        <f>SUM('Oct 30:Dec 30'!G30)</f>
        <v>0</v>
      </c>
      <c r="G28" s="618">
        <f>SUM('Oct 30:Dec 30'!I30)</f>
        <v>0</v>
      </c>
      <c r="H28" s="618">
        <f>SUM('Oct 30:Dec 30'!J30)</f>
        <v>0</v>
      </c>
      <c r="I28" s="618">
        <f>SUM('Oct 30:Dec 30'!M30)</f>
        <v>0</v>
      </c>
      <c r="J28" s="618"/>
      <c r="K28" s="618"/>
      <c r="L28" s="618">
        <f>SUM('Oct 30:Dec 30'!O30)</f>
        <v>0</v>
      </c>
      <c r="M28" s="618">
        <f>SUM('Oct 30:Dec 30'!P30)</f>
        <v>0</v>
      </c>
    </row>
    <row r="29" spans="1:13" ht="26.25" customHeight="1" x14ac:dyDescent="0.25">
      <c r="A29" s="615">
        <f>'Project Cumulative '!A30</f>
        <v>0</v>
      </c>
      <c r="B29" s="615">
        <f>'Project Cumulative '!B30</f>
        <v>0</v>
      </c>
      <c r="C29" s="616" t="str">
        <f>'Project Cumulative '!D30</f>
        <v/>
      </c>
      <c r="D29" s="617" t="str">
        <f>'Project Cumulative '!E30</f>
        <v/>
      </c>
      <c r="E29" s="618">
        <f t="shared" si="0"/>
        <v>0</v>
      </c>
      <c r="F29" s="618">
        <f>SUM('Oct 30:Dec 30'!G31)</f>
        <v>0</v>
      </c>
      <c r="G29" s="618">
        <f>SUM('Oct 30:Dec 30'!I31)</f>
        <v>0</v>
      </c>
      <c r="H29" s="618">
        <f>SUM('Oct 30:Dec 30'!J31)</f>
        <v>0</v>
      </c>
      <c r="I29" s="618">
        <f>SUM('Oct 30:Dec 30'!M31)</f>
        <v>0</v>
      </c>
      <c r="J29" s="618"/>
      <c r="K29" s="618"/>
      <c r="L29" s="618">
        <f>SUM('Oct 30:Dec 30'!O31)</f>
        <v>0</v>
      </c>
      <c r="M29" s="618">
        <f>SUM('Oct 30:Dec 30'!P31)</f>
        <v>0</v>
      </c>
    </row>
    <row r="30" spans="1:13" ht="26.25" customHeight="1" x14ac:dyDescent="0.25">
      <c r="A30" s="615">
        <f>'Project Cumulative '!A31</f>
        <v>0</v>
      </c>
      <c r="B30" s="615">
        <f>'Project Cumulative '!B31</f>
        <v>0</v>
      </c>
      <c r="C30" s="616" t="str">
        <f>'Project Cumulative '!D31</f>
        <v/>
      </c>
      <c r="D30" s="617" t="str">
        <f>'Project Cumulative '!E31</f>
        <v/>
      </c>
      <c r="E30" s="618">
        <f t="shared" si="0"/>
        <v>0</v>
      </c>
      <c r="F30" s="618">
        <f>SUM('Oct 30:Dec 30'!G32)</f>
        <v>0</v>
      </c>
      <c r="G30" s="618">
        <f>SUM('Oct 30:Dec 30'!I32)</f>
        <v>0</v>
      </c>
      <c r="H30" s="618">
        <f>SUM('Oct 30:Dec 30'!J32)</f>
        <v>0</v>
      </c>
      <c r="I30" s="618">
        <f>SUM('Oct 30:Dec 30'!M32)</f>
        <v>0</v>
      </c>
      <c r="J30" s="618"/>
      <c r="K30" s="618"/>
      <c r="L30" s="618">
        <f>SUM('Oct 30:Dec 30'!O32)</f>
        <v>0</v>
      </c>
      <c r="M30" s="618">
        <f>SUM('Oct 30:Dec 30'!P32)</f>
        <v>0</v>
      </c>
    </row>
    <row r="31" spans="1:13" ht="26.25" customHeight="1" x14ac:dyDescent="0.25">
      <c r="A31" s="615">
        <f>'Project Cumulative '!A32</f>
        <v>0</v>
      </c>
      <c r="B31" s="615">
        <f>'Project Cumulative '!B32</f>
        <v>0</v>
      </c>
      <c r="C31" s="616" t="str">
        <f>'Project Cumulative '!D32</f>
        <v/>
      </c>
      <c r="D31" s="617" t="str">
        <f>'Project Cumulative '!E32</f>
        <v/>
      </c>
      <c r="E31" s="618">
        <f t="shared" si="0"/>
        <v>0</v>
      </c>
      <c r="F31" s="618">
        <f>SUM('Oct 30:Dec 30'!G33)</f>
        <v>0</v>
      </c>
      <c r="G31" s="618">
        <f>SUM('Oct 30:Dec 30'!I33)</f>
        <v>0</v>
      </c>
      <c r="H31" s="618">
        <f>SUM('Oct 30:Dec 30'!J33)</f>
        <v>0</v>
      </c>
      <c r="I31" s="618">
        <f>SUM('Oct 30:Dec 30'!M33)</f>
        <v>0</v>
      </c>
      <c r="J31" s="618"/>
      <c r="K31" s="618"/>
      <c r="L31" s="618">
        <f>SUM('Oct 30:Dec 30'!O33)</f>
        <v>0</v>
      </c>
      <c r="M31" s="618">
        <f>SUM('Oct 30:Dec 30'!P33)</f>
        <v>0</v>
      </c>
    </row>
    <row r="32" spans="1:13" ht="26.25" customHeight="1" x14ac:dyDescent="0.25">
      <c r="A32" s="615">
        <f>'Project Cumulative '!A33</f>
        <v>0</v>
      </c>
      <c r="B32" s="615">
        <f>'Project Cumulative '!B33</f>
        <v>0</v>
      </c>
      <c r="C32" s="616" t="str">
        <f>'Project Cumulative '!D33</f>
        <v/>
      </c>
      <c r="D32" s="617" t="str">
        <f>'Project Cumulative '!E33</f>
        <v/>
      </c>
      <c r="E32" s="618">
        <f t="shared" si="0"/>
        <v>0</v>
      </c>
      <c r="F32" s="618">
        <f>SUM('Oct 30:Dec 30'!G34)</f>
        <v>0</v>
      </c>
      <c r="G32" s="618">
        <f>SUM('Oct 30:Dec 30'!I34)</f>
        <v>0</v>
      </c>
      <c r="H32" s="618">
        <f>SUM('Oct 30:Dec 30'!J34)</f>
        <v>0</v>
      </c>
      <c r="I32" s="618">
        <f>SUM('Oct 30:Dec 30'!M34)</f>
        <v>0</v>
      </c>
      <c r="J32" s="618"/>
      <c r="K32" s="618"/>
      <c r="L32" s="618">
        <f>SUM('Oct 30:Dec 30'!O34)</f>
        <v>0</v>
      </c>
      <c r="M32" s="618">
        <f>SUM('Oct 30:Dec 30'!P34)</f>
        <v>0</v>
      </c>
    </row>
    <row r="33" spans="1:13" ht="26.25" customHeight="1" x14ac:dyDescent="0.25">
      <c r="A33" s="615">
        <f>'Project Cumulative '!A34</f>
        <v>0</v>
      </c>
      <c r="B33" s="615">
        <f>'Project Cumulative '!B34</f>
        <v>0</v>
      </c>
      <c r="C33" s="616" t="str">
        <f>'Project Cumulative '!D34</f>
        <v/>
      </c>
      <c r="D33" s="617" t="str">
        <f>'Project Cumulative '!E34</f>
        <v/>
      </c>
      <c r="E33" s="618">
        <f t="shared" si="0"/>
        <v>0</v>
      </c>
      <c r="F33" s="618">
        <f>SUM('Oct 30:Dec 30'!G35)</f>
        <v>0</v>
      </c>
      <c r="G33" s="618">
        <f>SUM('Oct 30:Dec 30'!I35)</f>
        <v>0</v>
      </c>
      <c r="H33" s="618">
        <f>SUM('Oct 30:Dec 30'!J35)</f>
        <v>0</v>
      </c>
      <c r="I33" s="618">
        <f>SUM('Oct 30:Dec 30'!M35)</f>
        <v>0</v>
      </c>
      <c r="J33" s="618"/>
      <c r="K33" s="618"/>
      <c r="L33" s="618">
        <f>SUM('Oct 30:Dec 30'!O35)</f>
        <v>0</v>
      </c>
      <c r="M33" s="618">
        <f>SUM('Oct 30:Dec 30'!P35)</f>
        <v>0</v>
      </c>
    </row>
    <row r="34" spans="1:13" ht="26.25" customHeight="1" thickBot="1" x14ac:dyDescent="0.3">
      <c r="A34" s="620" t="s">
        <v>652</v>
      </c>
      <c r="B34" s="620"/>
      <c r="C34" s="621"/>
      <c r="D34" s="621"/>
      <c r="E34" s="622">
        <f t="shared" ref="E34:L34" si="1">SUM(E9:E33)</f>
        <v>0</v>
      </c>
      <c r="F34" s="623">
        <f t="shared" si="1"/>
        <v>0</v>
      </c>
      <c r="G34" s="623">
        <f>SUM(G9:G33)</f>
        <v>0</v>
      </c>
      <c r="H34" s="623">
        <f t="shared" si="1"/>
        <v>0</v>
      </c>
      <c r="I34" s="623">
        <f>SUM(I9:I33)</f>
        <v>0</v>
      </c>
      <c r="J34" s="623"/>
      <c r="K34" s="623"/>
      <c r="L34" s="623">
        <f t="shared" si="1"/>
        <v>0</v>
      </c>
      <c r="M34" s="623">
        <f>SUM(M9:M33)</f>
        <v>0</v>
      </c>
    </row>
    <row r="35" spans="1:13" ht="13.8" thickTop="1" x14ac:dyDescent="0.25"/>
    <row r="39" spans="1:13" x14ac:dyDescent="0.25">
      <c r="E39" s="1146"/>
      <c r="F39" s="1146"/>
      <c r="G39" s="1146"/>
      <c r="H39" s="1147"/>
      <c r="I39" s="1148"/>
    </row>
    <row r="40" spans="1:13" x14ac:dyDescent="0.25">
      <c r="E40" s="1146"/>
      <c r="F40" s="1146"/>
      <c r="G40" s="1146"/>
      <c r="H40" s="1147"/>
      <c r="I40" s="1148"/>
    </row>
  </sheetData>
  <sheetProtection algorithmName="SHA-512" hashValue="f4iiyju34TIfbmaWai0pdbx+db0AV5XadhH3kpNSCCWToRzrX0kd01gpSlTcz2DdpR7EbaOC9+UOUrOwiNKEfQ==" saltValue="MyttT+d0RTUioq//VKVFhw==" spinCount="100000" sheet="1" objects="1" scenarios="1"/>
  <mergeCells count="24">
    <mergeCell ref="E39:H40"/>
    <mergeCell ref="I39:I40"/>
    <mergeCell ref="A7:A8"/>
    <mergeCell ref="B7:B8"/>
    <mergeCell ref="C7:C8"/>
    <mergeCell ref="D7:D8"/>
    <mergeCell ref="E7:E8"/>
    <mergeCell ref="F7:M7"/>
    <mergeCell ref="A4:B4"/>
    <mergeCell ref="C4:G4"/>
    <mergeCell ref="H4:I4"/>
    <mergeCell ref="J4:M4"/>
    <mergeCell ref="A5:B5"/>
    <mergeCell ref="C5:G5"/>
    <mergeCell ref="H5:I5"/>
    <mergeCell ref="J5:M5"/>
    <mergeCell ref="A1:M1"/>
    <mergeCell ref="A2:B2"/>
    <mergeCell ref="C2:I2"/>
    <mergeCell ref="J2:M2"/>
    <mergeCell ref="A3:B3"/>
    <mergeCell ref="C3:G3"/>
    <mergeCell ref="H3:I3"/>
    <mergeCell ref="J3:M3"/>
  </mergeCells>
  <printOptions horizontalCentered="1"/>
  <pageMargins left="0.39370078740157483" right="0.19685039370078741" top="0.59055118110236227" bottom="0.39370078740157483" header="0.51181102362204722" footer="0.51181102362204722"/>
  <pageSetup paperSize="9" scale="50" orientation="landscape" r:id="rId1"/>
  <headerFooter alignWithMargins="0">
    <oddFooter>&amp;LFM-HSS-W01-01&amp;CJanuary 2020&amp;RRev 17.0</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E120-55B3-409B-99B6-951D05B4D763}">
  <sheetPr codeName="Sheet82">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wBSHVdf09iLV8Xj7TLtoS5EBm+UGVMOOpSCqMRN/kYpnOd/wz2s5Q4nQkCDseSr2qaT12QOQJ3c434rT3BPp6g==" saltValue="aGzyyiiyMzBltfpPLaDs9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127A-07EE-4AAD-A9AA-15D726CDADD9}">
  <sheetPr codeName="Sheet8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819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8S+DBS0YAy2bWZRekgAxdQhK+i28pBewgRsdppLxzQVlteS2ERyrTMvNkG/AJc2yGuLW83hRR4M+dTKT/0f/nw==" saltValue="VZ667G9eyJJBiK4Jy2y9J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25BFF-7D79-42D8-8DF8-DE0A2BE170CE}">
  <sheetPr codeName="Sheet84">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820</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hfJbUZjKlHInC1BWdwWh26qKOZtcNMPX/WjReuBNi5PreNg0l0RlMRVWNbzX6NkKBK8K2g58PrBFYhvIw1NfTw==" saltValue="fAc8DjMhSrk6TVbq/XBFh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D30E-404F-450E-ADB4-BEE41BBB5418}">
  <sheetPr codeName="Sheet85">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821</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fZMtlQPBs58aXbFGo23f/ypgExrKLYIRUv01oPIwxfkfZJopZUFEnMRkJtSmzgIvQTX2BLT6PcddxE7M0RliDg==" saltValue="wfOuKEbuYdYnD8STl6XKA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516E-46D0-4006-BAB2-09F9EE24A4BD}">
  <sheetPr codeName="Sheet86">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822</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ecHqF27KP9X2r/xXdndWypvkRPfj5iDxnjZaTXe1lwQ5o3sWB++173GCEbrHg3uhKi89wTr8hlUVjdIF2q2OJg==" saltValue="waIV0jSOY0jOz4BUS/ieR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084EC-0712-4EBA-BDAF-EC569D3A6864}">
  <sheetPr codeName="Sheet87">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823</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RZlp6Ee1DDqBxwscQb7lQ3CTnyJDb91IDm9saGtbrE4t0UJ1un6i4c6n+W9P7utzESagFj7qkj/bv+LAFayOw==" saltValue="z++Mb+ur09RBWgWCVeyBq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C5F3-920C-46B5-83AE-40D22E29A8B8}">
  <sheetPr codeName="Sheet88">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824</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Tm5TsTn3tTHcTieZj833p78eu5d5mnozgpKWZhTJdfSoithItiB6Emr9Xk7IWwHJmNBJE/tzKVPPXaekXhsR5A==" saltValue="1Z3Oxy9H26ZcGci6qtBkl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186DA-D388-40DB-8EB9-7E4313A817F0}">
  <sheetPr codeName="Sheet89">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825</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eO0R7rO2Y6YGKGZx9mPFu+ZgcH143gBt7aj407YmtlOEo66G4jhw1csfRQNjuK6VqBWcOKDF00pGgIKKQU8GXQ==" saltValue="qvaFrkk9yHETj+CSZNhYbQ=="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249DE-E585-4E9D-BE9B-C1B244BC8FF2}">
  <sheetPr codeName="Sheet90">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826</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h9bLjGR6OH8EXKrPQxqkgnRYrDqqRcWR2oC49p1jIWmBEhTXeZYlNmsQ/qnmAuZzEvMa/Dkz1g91BxnjQPHWog==" saltValue="ANS6Py6pjU1eD4TRbKbIG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224C-774D-41F9-AE04-F1F89D4A3EB8}">
  <sheetPr codeName="Sheet91">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827</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rNyjon5JmCKrahW/w6ZRPpLNFzlBkwKLK6/DRcgMqOoi/LcdVoci12ke3MmrFwNtIiZ+UAFm8DQ2hzcg6mlreg==" saltValue="+6bph2tCsF/RFsNJlRqhDg=="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E295-D504-4D8B-9C49-C042C7D3D0E6}">
  <sheetPr codeName="Sheet92">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828</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76clt9RUQBs0IlN4Zn8GwjlKhrOD8Z/ri0mwoq5rQnYQ7KPQErzW8b1QZzzJStqX78VSck2voK0fWm6hhymGcQ==" saltValue="CC1l1RdbH42bTBAeW8aWk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30C0-233E-4E4C-9947-95D7006633CA}">
  <sheetPr codeName="Sheet93">
    <tabColor indexed="47"/>
  </sheetPr>
  <dimension ref="A1:T49"/>
  <sheetViews>
    <sheetView showGridLines="0" showZeros="0" zoomScale="66" zoomScaleNormal="66" workbookViewId="0">
      <selection activeCell="V25" sqref="V25"/>
    </sheetView>
  </sheetViews>
  <sheetFormatPr defaultColWidth="9.109375" defaultRowHeight="13.2" x14ac:dyDescent="0.25"/>
  <cols>
    <col min="1" max="1" width="36.109375" style="259" customWidth="1"/>
    <col min="2" max="2" width="21.33203125" style="259" customWidth="1"/>
    <col min="3" max="3" width="17.33203125" style="259" customWidth="1"/>
    <col min="4" max="4" width="10.33203125" style="259" bestFit="1" customWidth="1"/>
    <col min="5" max="5" width="13.109375" style="259" customWidth="1"/>
    <col min="6" max="6" width="15.109375" style="259" customWidth="1"/>
    <col min="7" max="10" width="20.6640625" style="259" customWidth="1"/>
    <col min="11" max="11" width="10.6640625" style="259" bestFit="1" customWidth="1"/>
    <col min="12" max="12" width="10.6640625" style="259" customWidth="1"/>
    <col min="13" max="13" width="10.44140625" style="259" customWidth="1"/>
    <col min="14" max="14" width="10.6640625" style="259" customWidth="1"/>
    <col min="15" max="15" width="20.33203125" style="259" customWidth="1"/>
    <col min="16" max="16" width="20.77734375" style="259" customWidth="1"/>
    <col min="17" max="17" width="9.109375" style="259"/>
    <col min="18" max="18" width="9.44140625" style="259" hidden="1" customWidth="1"/>
    <col min="19" max="20" width="9.109375" style="259" hidden="1" customWidth="1"/>
    <col min="21" max="16384" width="9.109375" style="259"/>
  </cols>
  <sheetData>
    <row r="1" spans="1:20" ht="21.6" thickTop="1" x14ac:dyDescent="0.25">
      <c r="A1" s="1133" t="s">
        <v>636</v>
      </c>
      <c r="B1" s="1134"/>
      <c r="C1" s="1134"/>
      <c r="D1" s="1228"/>
      <c r="E1" s="1228"/>
      <c r="F1" s="1228"/>
      <c r="G1" s="1228"/>
      <c r="H1" s="1228"/>
      <c r="I1" s="1228"/>
      <c r="J1" s="1228"/>
      <c r="K1" s="1228"/>
      <c r="L1" s="1228"/>
      <c r="M1" s="1228"/>
      <c r="N1" s="1228"/>
      <c r="O1" s="1228"/>
      <c r="P1" s="1229"/>
    </row>
    <row r="2" spans="1:20" ht="16.95" customHeight="1" x14ac:dyDescent="0.3">
      <c r="A2" s="1120" t="s">
        <v>291</v>
      </c>
      <c r="B2" s="1215"/>
      <c r="C2" s="1221" t="str">
        <f>'Project Details'!D10</f>
        <v>Piccadilly Gardens Redevelopment</v>
      </c>
      <c r="D2" s="1137"/>
      <c r="E2" s="1137"/>
      <c r="F2" s="1137"/>
      <c r="G2" s="1137"/>
      <c r="H2" s="1137"/>
      <c r="I2" s="1137"/>
      <c r="J2" s="1138"/>
      <c r="K2" s="1139" t="s">
        <v>736</v>
      </c>
      <c r="L2" s="1139"/>
      <c r="M2" s="1139"/>
      <c r="N2" s="1139"/>
      <c r="O2" s="1139"/>
      <c r="P2" s="1230"/>
    </row>
    <row r="3" spans="1:20" ht="16.95" customHeight="1" x14ac:dyDescent="0.25">
      <c r="A3" s="1120" t="s">
        <v>638</v>
      </c>
      <c r="B3" s="1215"/>
      <c r="C3" s="1221" t="str">
        <f>'Project Details'!D11</f>
        <v>HLA098</v>
      </c>
      <c r="D3" s="1217"/>
      <c r="E3" s="1217"/>
      <c r="F3" s="1217"/>
      <c r="G3" s="1218"/>
      <c r="H3" s="1219"/>
      <c r="I3" s="1124" t="s">
        <v>639</v>
      </c>
      <c r="J3" s="1220"/>
      <c r="K3" s="1234">
        <f>'Project Details'!D13</f>
        <v>15000000</v>
      </c>
      <c r="L3" s="1235"/>
      <c r="M3" s="1235"/>
      <c r="N3" s="1235"/>
      <c r="O3" s="1235"/>
      <c r="P3" s="1236"/>
    </row>
    <row r="4" spans="1:20" ht="16.95" customHeight="1" x14ac:dyDescent="0.25">
      <c r="A4" s="1120" t="s">
        <v>640</v>
      </c>
      <c r="B4" s="1215"/>
      <c r="C4" s="1216" t="str">
        <f>'Project Details'!D16</f>
        <v>Winter 2026 (TBC)</v>
      </c>
      <c r="D4" s="1217"/>
      <c r="E4" s="1217"/>
      <c r="F4" s="1217"/>
      <c r="G4" s="1218"/>
      <c r="H4" s="1219"/>
      <c r="I4" s="1124" t="s">
        <v>38</v>
      </c>
      <c r="J4" s="1220"/>
      <c r="K4" s="1221" t="str">
        <f>'Project Details'!D38</f>
        <v>Adam Liu</v>
      </c>
      <c r="L4" s="1222"/>
      <c r="M4" s="1222"/>
      <c r="N4" s="1222"/>
      <c r="O4" s="1222"/>
      <c r="P4" s="1223"/>
    </row>
    <row r="5" spans="1:20" ht="16.95" customHeight="1" thickBot="1" x14ac:dyDescent="0.3">
      <c r="A5" s="1128" t="s">
        <v>36</v>
      </c>
      <c r="B5" s="1224"/>
      <c r="C5" s="1225" t="str">
        <f>'Project Details'!D39</f>
        <v>TBC</v>
      </c>
      <c r="D5" s="977"/>
      <c r="E5" s="977"/>
      <c r="F5" s="977"/>
      <c r="G5" s="1226"/>
      <c r="H5" s="1132"/>
      <c r="I5" s="1131" t="s">
        <v>294</v>
      </c>
      <c r="J5" s="1224"/>
      <c r="K5" s="1225" t="str">
        <f>'Project Details'!D42</f>
        <v>TBC</v>
      </c>
      <c r="L5" s="1226"/>
      <c r="M5" s="1226"/>
      <c r="N5" s="1226"/>
      <c r="O5" s="1226"/>
      <c r="P5" s="1227"/>
    </row>
    <row r="6" spans="1:20" ht="26.25" customHeight="1" thickTop="1" thickBot="1" x14ac:dyDescent="0.35">
      <c r="A6" s="1204"/>
      <c r="B6" s="1204"/>
      <c r="C6" s="1204"/>
      <c r="D6" s="1204"/>
      <c r="E6" s="1204"/>
      <c r="F6" s="1204"/>
      <c r="G6" s="1204"/>
      <c r="H6" s="1204"/>
      <c r="I6" s="580"/>
      <c r="J6" s="581"/>
      <c r="K6" s="581"/>
      <c r="L6" s="581"/>
      <c r="M6" s="581"/>
      <c r="N6" s="581"/>
      <c r="O6" s="581"/>
      <c r="P6" s="581"/>
    </row>
    <row r="7" spans="1:20" s="469" customFormat="1" ht="21.75" customHeight="1" thickTop="1" thickBot="1" x14ac:dyDescent="0.3">
      <c r="A7" s="1114" t="s">
        <v>641</v>
      </c>
      <c r="B7" s="1114" t="s">
        <v>115</v>
      </c>
      <c r="C7" s="1117" t="s">
        <v>642</v>
      </c>
      <c r="D7" s="1117" t="s">
        <v>105</v>
      </c>
      <c r="E7" s="1117" t="s">
        <v>643</v>
      </c>
      <c r="F7" s="1117" t="s">
        <v>738</v>
      </c>
      <c r="G7" s="1200" t="s">
        <v>829</v>
      </c>
      <c r="H7" s="1202"/>
      <c r="I7" s="1202"/>
      <c r="J7" s="1202"/>
      <c r="K7" s="1202"/>
      <c r="L7" s="1202"/>
      <c r="M7" s="1202"/>
      <c r="N7" s="1202"/>
      <c r="O7" s="1202"/>
      <c r="P7" s="1203"/>
    </row>
    <row r="8" spans="1:20" s="469" customFormat="1" ht="21.75" customHeight="1" thickTop="1" thickBot="1" x14ac:dyDescent="0.3">
      <c r="A8" s="1115"/>
      <c r="B8" s="1115"/>
      <c r="C8" s="1119"/>
      <c r="D8" s="1119"/>
      <c r="E8" s="1119"/>
      <c r="F8" s="1119"/>
      <c r="G8" s="1212" t="s">
        <v>740</v>
      </c>
      <c r="H8" s="1191" t="s">
        <v>741</v>
      </c>
      <c r="I8" s="1193"/>
      <c r="J8" s="1188" t="s">
        <v>742</v>
      </c>
      <c r="K8" s="1191" t="s">
        <v>743</v>
      </c>
      <c r="L8" s="1192"/>
      <c r="M8" s="1192"/>
      <c r="N8" s="1193"/>
      <c r="O8" s="1194" t="s">
        <v>111</v>
      </c>
      <c r="P8" s="1197" t="s">
        <v>651</v>
      </c>
    </row>
    <row r="9" spans="1:20" s="469" customFormat="1" ht="26.7" customHeight="1" thickTop="1" thickBot="1" x14ac:dyDescent="0.3">
      <c r="A9" s="1205"/>
      <c r="B9" s="1205"/>
      <c r="C9" s="1207"/>
      <c r="D9" s="1119"/>
      <c r="E9" s="1205"/>
      <c r="F9" s="1210"/>
      <c r="G9" s="1213"/>
      <c r="H9" s="1200" t="s">
        <v>744</v>
      </c>
      <c r="I9" s="1201"/>
      <c r="J9" s="1189"/>
      <c r="K9" s="1200" t="s">
        <v>745</v>
      </c>
      <c r="L9" s="1202"/>
      <c r="M9" s="1202"/>
      <c r="N9" s="1203"/>
      <c r="O9" s="1195"/>
      <c r="P9" s="1198"/>
    </row>
    <row r="10" spans="1:20" s="469" customFormat="1" ht="26.7" customHeight="1" thickTop="1" thickBot="1" x14ac:dyDescent="0.3">
      <c r="A10" s="1206"/>
      <c r="B10" s="1206"/>
      <c r="C10" s="1208"/>
      <c r="D10" s="1209"/>
      <c r="E10" s="1206"/>
      <c r="F10" s="1211"/>
      <c r="G10" s="1214"/>
      <c r="H10" s="582"/>
      <c r="I10" s="582" t="s">
        <v>746</v>
      </c>
      <c r="J10" s="1190"/>
      <c r="K10" s="583" t="s">
        <v>747</v>
      </c>
      <c r="L10" s="583" t="s">
        <v>748</v>
      </c>
      <c r="M10" s="583" t="s">
        <v>749</v>
      </c>
      <c r="N10" s="583" t="s">
        <v>635</v>
      </c>
      <c r="O10" s="1196"/>
      <c r="P10" s="1199"/>
      <c r="R10" s="1186" t="s">
        <v>750</v>
      </c>
      <c r="S10" s="1187"/>
      <c r="T10" s="584" t="s">
        <v>751</v>
      </c>
    </row>
    <row r="11" spans="1:20" s="469" customFormat="1" ht="26.7" customHeight="1" thickTop="1" x14ac:dyDescent="0.25">
      <c r="A11" s="585" t="str">
        <f>'Project Cumulative '!A10</f>
        <v>Dry Mixed Recyclables (DMR - paper, cardboard, metal, plastic glass)</v>
      </c>
      <c r="B11" s="577" t="str">
        <f>'Project Cumulative '!B10</f>
        <v>Construction</v>
      </c>
      <c r="C11" s="577" t="str">
        <f>'Project Cumulative '!C10</f>
        <v>Galliford Try</v>
      </c>
      <c r="D11" s="473">
        <f>'Project Cumulative '!D10</f>
        <v>150106</v>
      </c>
      <c r="E11" s="586" t="str">
        <f>'Project Cumulative '!E10</f>
        <v>NH</v>
      </c>
      <c r="F11" s="475">
        <f>SUM(SUM(G11:H11)+SUM(J11:K11)+O11)</f>
        <v>0</v>
      </c>
      <c r="G11" s="587"/>
      <c r="H11" s="587"/>
      <c r="I11" s="475">
        <f t="shared" ref="I11:I35" si="0">H11+T11</f>
        <v>0</v>
      </c>
      <c r="J11" s="587"/>
      <c r="K11" s="587"/>
      <c r="L11" s="588"/>
      <c r="M11" s="475" t="str">
        <f t="shared" ref="M11:M35" si="1">IF(K11="","",(S11*K11))</f>
        <v/>
      </c>
      <c r="N11" s="475">
        <f t="shared" ref="N11:N35" si="2">IF(K11="",0,(K11-M11))</f>
        <v>0</v>
      </c>
      <c r="O11" s="587"/>
      <c r="P11" s="475">
        <f t="shared" ref="P11:P35" si="3">IF(A11&gt;0,(N11+O11-T11),"")</f>
        <v>0</v>
      </c>
      <c r="Q11" s="589"/>
      <c r="R11" s="590" t="str">
        <f>IF(K11="","","75")</f>
        <v/>
      </c>
      <c r="S11" s="591" t="str">
        <f>IF(K11="","",(IF($L11&gt;0,L11,75%)))</f>
        <v/>
      </c>
      <c r="T11" s="592" t="str">
        <f t="shared" ref="T11:T35" si="4">IF(OR(D11=170504,D11=170101,D11=170102,D11=170103,D11=170107),O11/2,"0")</f>
        <v>0</v>
      </c>
    </row>
    <row r="12" spans="1:20" s="469" customFormat="1" ht="26.7" customHeight="1" x14ac:dyDescent="0.25">
      <c r="A12" s="593" t="str">
        <f>'Project Cumulative '!A11</f>
        <v>Construction and demolition wastes - Mixed (uncontaminated)</v>
      </c>
      <c r="B12" s="578" t="str">
        <f>'Project Cumulative '!B11</f>
        <v>Excavation</v>
      </c>
      <c r="C12" s="578" t="str">
        <f>'Project Cumulative '!C11</f>
        <v>Galliford Try</v>
      </c>
      <c r="D12" s="478">
        <f>'Project Cumulative '!D11</f>
        <v>170904</v>
      </c>
      <c r="E12" s="594" t="str">
        <f>'Project Cumulative '!E11</f>
        <v>NH</v>
      </c>
      <c r="F12" s="480">
        <f t="shared" ref="F12:F35" si="5">SUM(SUM(G12:H12)+SUM(J12:K12)+O12)</f>
        <v>0</v>
      </c>
      <c r="G12" s="595"/>
      <c r="H12" s="595"/>
      <c r="I12" s="480">
        <f t="shared" si="0"/>
        <v>0</v>
      </c>
      <c r="J12" s="595"/>
      <c r="K12" s="595"/>
      <c r="L12" s="596"/>
      <c r="M12" s="480" t="str">
        <f t="shared" si="1"/>
        <v/>
      </c>
      <c r="N12" s="480">
        <f t="shared" si="2"/>
        <v>0</v>
      </c>
      <c r="O12" s="595"/>
      <c r="P12" s="480">
        <f t="shared" si="3"/>
        <v>0</v>
      </c>
      <c r="Q12" s="589"/>
      <c r="R12" s="590" t="str">
        <f t="shared" ref="R12:R35" si="6">IF(K12="","","75")</f>
        <v/>
      </c>
      <c r="S12" s="591" t="str">
        <f t="shared" ref="S12:S35" si="7">IF(K12="","",(IF($L12&gt;0,L12,75%)))</f>
        <v/>
      </c>
      <c r="T12" s="592" t="str">
        <f t="shared" si="4"/>
        <v>0</v>
      </c>
    </row>
    <row r="13" spans="1:20" s="469" customFormat="1" ht="26.7" customHeight="1" x14ac:dyDescent="0.25">
      <c r="A13" s="593" t="str">
        <f>'Project Cumulative '!A12</f>
        <v>Soil and Stones</v>
      </c>
      <c r="B13" s="578" t="str">
        <f>'Project Cumulative '!B12</f>
        <v>Excavation</v>
      </c>
      <c r="C13" s="578" t="str">
        <f>'Project Cumulative '!C12</f>
        <v>Galliford Try</v>
      </c>
      <c r="D13" s="478">
        <f>'Project Cumulative '!D12</f>
        <v>170504</v>
      </c>
      <c r="E13" s="594" t="str">
        <f>'Project Cumulative '!E12</f>
        <v>I</v>
      </c>
      <c r="F13" s="480">
        <f t="shared" si="5"/>
        <v>0</v>
      </c>
      <c r="G13" s="595"/>
      <c r="H13" s="595"/>
      <c r="I13" s="480">
        <f t="shared" si="0"/>
        <v>0</v>
      </c>
      <c r="J13" s="595"/>
      <c r="K13" s="595"/>
      <c r="L13" s="596"/>
      <c r="M13" s="480" t="str">
        <f t="shared" si="1"/>
        <v/>
      </c>
      <c r="N13" s="480">
        <f t="shared" si="2"/>
        <v>0</v>
      </c>
      <c r="O13" s="595"/>
      <c r="P13" s="480">
        <f t="shared" si="3"/>
        <v>0</v>
      </c>
      <c r="Q13" s="589"/>
      <c r="R13" s="590" t="str">
        <f t="shared" si="6"/>
        <v/>
      </c>
      <c r="S13" s="591" t="str">
        <f>IF(K13="","",(IF($L13&gt;0,L13,75%)))</f>
        <v/>
      </c>
      <c r="T13" s="592">
        <f t="shared" si="4"/>
        <v>0</v>
      </c>
    </row>
    <row r="14" spans="1:20" s="469" customFormat="1" ht="26.7" customHeight="1" x14ac:dyDescent="0.25">
      <c r="A14" s="593" t="str">
        <f>'Project Cumulative '!A13</f>
        <v>Bituminous mixtures not containing coal tar</v>
      </c>
      <c r="B14" s="578" t="str">
        <f>'Project Cumulative '!B13</f>
        <v>Excavation</v>
      </c>
      <c r="C14" s="578" t="str">
        <f>'Project Cumulative '!C13</f>
        <v>Galliford Try</v>
      </c>
      <c r="D14" s="478">
        <f>'Project Cumulative '!D13</f>
        <v>170302</v>
      </c>
      <c r="E14" s="594" t="str">
        <f>'Project Cumulative '!E13</f>
        <v>NH</v>
      </c>
      <c r="F14" s="480">
        <f t="shared" si="5"/>
        <v>0</v>
      </c>
      <c r="G14" s="595"/>
      <c r="H14" s="595"/>
      <c r="I14" s="480">
        <f t="shared" si="0"/>
        <v>0</v>
      </c>
      <c r="J14" s="595"/>
      <c r="K14" s="595"/>
      <c r="L14" s="596"/>
      <c r="M14" s="480" t="str">
        <f t="shared" si="1"/>
        <v/>
      </c>
      <c r="N14" s="480">
        <f t="shared" si="2"/>
        <v>0</v>
      </c>
      <c r="O14" s="595"/>
      <c r="P14" s="480">
        <f t="shared" si="3"/>
        <v>0</v>
      </c>
      <c r="Q14" s="589"/>
      <c r="R14" s="590" t="str">
        <f t="shared" si="6"/>
        <v/>
      </c>
      <c r="S14" s="591" t="str">
        <f t="shared" si="7"/>
        <v/>
      </c>
      <c r="T14" s="592" t="str">
        <f t="shared" si="4"/>
        <v>0</v>
      </c>
    </row>
    <row r="15" spans="1:20" s="469" customFormat="1" ht="26.7" customHeight="1" x14ac:dyDescent="0.25">
      <c r="A15" s="593" t="str">
        <f>'Project Cumulative '!A14</f>
        <v>Road sweepings</v>
      </c>
      <c r="B15" s="578" t="str">
        <f>'Project Cumulative '!B14</f>
        <v>Construction</v>
      </c>
      <c r="C15" s="578" t="str">
        <f>'Project Cumulative '!C14</f>
        <v>Galliford Try</v>
      </c>
      <c r="D15" s="478">
        <f>'Project Cumulative '!D14</f>
        <v>200303</v>
      </c>
      <c r="E15" s="594" t="str">
        <f>'Project Cumulative '!E14</f>
        <v>NH</v>
      </c>
      <c r="F15" s="480">
        <f t="shared" si="5"/>
        <v>0</v>
      </c>
      <c r="G15" s="595"/>
      <c r="H15" s="595"/>
      <c r="I15" s="480">
        <f t="shared" si="0"/>
        <v>0</v>
      </c>
      <c r="J15" s="595"/>
      <c r="K15" s="595"/>
      <c r="L15" s="596"/>
      <c r="M15" s="480" t="str">
        <f t="shared" si="1"/>
        <v/>
      </c>
      <c r="N15" s="480">
        <f t="shared" si="2"/>
        <v>0</v>
      </c>
      <c r="O15" s="595"/>
      <c r="P15" s="480">
        <f t="shared" si="3"/>
        <v>0</v>
      </c>
      <c r="Q15" s="589"/>
      <c r="R15" s="590" t="str">
        <f t="shared" si="6"/>
        <v/>
      </c>
      <c r="S15" s="591" t="str">
        <f t="shared" si="7"/>
        <v/>
      </c>
      <c r="T15" s="592" t="str">
        <f t="shared" si="4"/>
        <v>0</v>
      </c>
    </row>
    <row r="16" spans="1:20" s="469" customFormat="1" ht="26.7" customHeight="1" x14ac:dyDescent="0.25">
      <c r="A16" s="593" t="str">
        <f>'Project Cumulative '!A15</f>
        <v>Sewage Treatment - Sludge destined for offsite treatment</v>
      </c>
      <c r="B16" s="578" t="str">
        <f>'Project Cumulative '!B15</f>
        <v>Construction</v>
      </c>
      <c r="C16" s="578" t="str">
        <f>'Project Cumulative '!C15</f>
        <v>Galliford Try</v>
      </c>
      <c r="D16" s="478">
        <f>'Project Cumulative '!D15</f>
        <v>161001</v>
      </c>
      <c r="E16" s="594" t="str">
        <f>'Project Cumulative '!E15</f>
        <v>H</v>
      </c>
      <c r="F16" s="480">
        <f t="shared" si="5"/>
        <v>0</v>
      </c>
      <c r="G16" s="595"/>
      <c r="H16" s="595"/>
      <c r="I16" s="480">
        <f t="shared" si="0"/>
        <v>0</v>
      </c>
      <c r="J16" s="595"/>
      <c r="K16" s="595"/>
      <c r="L16" s="596"/>
      <c r="M16" s="480" t="str">
        <f t="shared" si="1"/>
        <v/>
      </c>
      <c r="N16" s="480">
        <f t="shared" si="2"/>
        <v>0</v>
      </c>
      <c r="O16" s="595"/>
      <c r="P16" s="480">
        <f t="shared" si="3"/>
        <v>0</v>
      </c>
      <c r="Q16" s="589"/>
      <c r="R16" s="590" t="str">
        <f t="shared" si="6"/>
        <v/>
      </c>
      <c r="S16" s="591" t="str">
        <f t="shared" si="7"/>
        <v/>
      </c>
      <c r="T16" s="592" t="str">
        <f t="shared" si="4"/>
        <v>0</v>
      </c>
    </row>
    <row r="17" spans="1:20" s="469" customFormat="1" ht="26.7" customHeight="1" x14ac:dyDescent="0.25">
      <c r="A17" s="593" t="str">
        <f>'Project Cumulative '!A16</f>
        <v>Construction materials containing asbestos</v>
      </c>
      <c r="B17" s="578" t="str">
        <f>'Project Cumulative '!B16</f>
        <v>Demolition</v>
      </c>
      <c r="C17" s="578" t="str">
        <f>'Project Cumulative '!C16</f>
        <v>Galliford Try</v>
      </c>
      <c r="D17" s="478">
        <f>'Project Cumulative '!D16</f>
        <v>170605</v>
      </c>
      <c r="E17" s="594" t="str">
        <f>'Project Cumulative '!E16</f>
        <v>H</v>
      </c>
      <c r="F17" s="480">
        <f t="shared" si="5"/>
        <v>0</v>
      </c>
      <c r="G17" s="595"/>
      <c r="H17" s="595"/>
      <c r="I17" s="480">
        <f t="shared" si="0"/>
        <v>0</v>
      </c>
      <c r="J17" s="595"/>
      <c r="K17" s="595"/>
      <c r="L17" s="596"/>
      <c r="M17" s="480" t="str">
        <f t="shared" si="1"/>
        <v/>
      </c>
      <c r="N17" s="480">
        <f t="shared" si="2"/>
        <v>0</v>
      </c>
      <c r="O17" s="595"/>
      <c r="P17" s="480">
        <f t="shared" si="3"/>
        <v>0</v>
      </c>
      <c r="R17" s="590" t="str">
        <f t="shared" si="6"/>
        <v/>
      </c>
      <c r="S17" s="591" t="str">
        <f t="shared" si="7"/>
        <v/>
      </c>
      <c r="T17" s="592" t="str">
        <f t="shared" si="4"/>
        <v>0</v>
      </c>
    </row>
    <row r="18" spans="1:20" s="469" customFormat="1" ht="26.7" customHeight="1" x14ac:dyDescent="0.25">
      <c r="A18" s="593" t="str">
        <f>'Project Cumulative '!A17</f>
        <v>Concrete, bricks, tiles and ceramics - Mixed (uncontaminated)</v>
      </c>
      <c r="B18" s="578" t="str">
        <f>'Project Cumulative '!B17</f>
        <v>Demolition</v>
      </c>
      <c r="C18" s="578" t="str">
        <f>'Project Cumulative '!C17</f>
        <v>Galliford Try</v>
      </c>
      <c r="D18" s="478">
        <f>'Project Cumulative '!D17</f>
        <v>170107</v>
      </c>
      <c r="E18" s="594" t="str">
        <f>'Project Cumulative '!E17</f>
        <v>NH</v>
      </c>
      <c r="F18" s="480">
        <f t="shared" si="5"/>
        <v>0</v>
      </c>
      <c r="G18" s="595"/>
      <c r="H18" s="595"/>
      <c r="I18" s="480">
        <f t="shared" si="0"/>
        <v>0</v>
      </c>
      <c r="J18" s="595"/>
      <c r="K18" s="595"/>
      <c r="L18" s="596"/>
      <c r="M18" s="480" t="str">
        <f t="shared" si="1"/>
        <v/>
      </c>
      <c r="N18" s="480">
        <f t="shared" si="2"/>
        <v>0</v>
      </c>
      <c r="O18" s="595"/>
      <c r="P18" s="480">
        <f t="shared" si="3"/>
        <v>0</v>
      </c>
      <c r="R18" s="590" t="str">
        <f t="shared" si="6"/>
        <v/>
      </c>
      <c r="S18" s="591" t="str">
        <f t="shared" si="7"/>
        <v/>
      </c>
      <c r="T18" s="592">
        <f t="shared" si="4"/>
        <v>0</v>
      </c>
    </row>
    <row r="19" spans="1:20" s="469" customFormat="1" ht="26.7" customHeight="1" x14ac:dyDescent="0.25">
      <c r="A19" s="593" t="str">
        <f>'Project Cumulative '!A18</f>
        <v>Metal - Iron and steel</v>
      </c>
      <c r="B19" s="578" t="str">
        <f>'Project Cumulative '!B18</f>
        <v>Demolition</v>
      </c>
      <c r="C19" s="578" t="str">
        <f>'Project Cumulative '!C18</f>
        <v>Galliford Try</v>
      </c>
      <c r="D19" s="478">
        <f>'Project Cumulative '!D18</f>
        <v>170405</v>
      </c>
      <c r="E19" s="594" t="str">
        <f>'Project Cumulative '!E18</f>
        <v>NH</v>
      </c>
      <c r="F19" s="480">
        <f t="shared" si="5"/>
        <v>0</v>
      </c>
      <c r="G19" s="595"/>
      <c r="H19" s="595"/>
      <c r="I19" s="480">
        <f t="shared" si="0"/>
        <v>0</v>
      </c>
      <c r="J19" s="595"/>
      <c r="K19" s="595"/>
      <c r="L19" s="596"/>
      <c r="M19" s="480" t="str">
        <f t="shared" si="1"/>
        <v/>
      </c>
      <c r="N19" s="480">
        <f t="shared" si="2"/>
        <v>0</v>
      </c>
      <c r="O19" s="595"/>
      <c r="P19" s="480">
        <f t="shared" si="3"/>
        <v>0</v>
      </c>
      <c r="R19" s="590" t="str">
        <f t="shared" si="6"/>
        <v/>
      </c>
      <c r="S19" s="591" t="str">
        <f t="shared" si="7"/>
        <v/>
      </c>
      <c r="T19" s="592" t="str">
        <f t="shared" si="4"/>
        <v>0</v>
      </c>
    </row>
    <row r="20" spans="1:20" s="469" customFormat="1" ht="26.7" customHeight="1" x14ac:dyDescent="0.25">
      <c r="A20" s="593">
        <f>'Project Cumulative '!A19</f>
        <v>0</v>
      </c>
      <c r="B20" s="578">
        <f>'Project Cumulative '!B19</f>
        <v>0</v>
      </c>
      <c r="C20" s="578">
        <f>'Project Cumulative '!C19</f>
        <v>0</v>
      </c>
      <c r="D20" s="478" t="str">
        <f>'Project Cumulative '!D19</f>
        <v/>
      </c>
      <c r="E20" s="594" t="str">
        <f>'Project Cumulative '!E19</f>
        <v/>
      </c>
      <c r="F20" s="480">
        <f t="shared" si="5"/>
        <v>0</v>
      </c>
      <c r="G20" s="595"/>
      <c r="H20" s="595"/>
      <c r="I20" s="480">
        <f t="shared" si="0"/>
        <v>0</v>
      </c>
      <c r="J20" s="595"/>
      <c r="K20" s="595"/>
      <c r="L20" s="596"/>
      <c r="M20" s="480" t="str">
        <f t="shared" si="1"/>
        <v/>
      </c>
      <c r="N20" s="480">
        <f t="shared" si="2"/>
        <v>0</v>
      </c>
      <c r="O20" s="595"/>
      <c r="P20" s="480" t="str">
        <f t="shared" si="3"/>
        <v/>
      </c>
      <c r="R20" s="590" t="str">
        <f t="shared" si="6"/>
        <v/>
      </c>
      <c r="S20" s="591" t="str">
        <f t="shared" si="7"/>
        <v/>
      </c>
      <c r="T20" s="592" t="str">
        <f t="shared" si="4"/>
        <v>0</v>
      </c>
    </row>
    <row r="21" spans="1:20" s="469" customFormat="1" ht="26.7" customHeight="1" x14ac:dyDescent="0.25">
      <c r="A21" s="593">
        <f>'Project Cumulative '!A20</f>
        <v>0</v>
      </c>
      <c r="B21" s="578">
        <f>'Project Cumulative '!B20</f>
        <v>0</v>
      </c>
      <c r="C21" s="578">
        <f>'Project Cumulative '!C20</f>
        <v>0</v>
      </c>
      <c r="D21" s="478" t="str">
        <f>'Project Cumulative '!D20</f>
        <v/>
      </c>
      <c r="E21" s="594" t="str">
        <f>'Project Cumulative '!E20</f>
        <v/>
      </c>
      <c r="F21" s="480">
        <f t="shared" si="5"/>
        <v>0</v>
      </c>
      <c r="G21" s="595"/>
      <c r="H21" s="595"/>
      <c r="I21" s="480">
        <f t="shared" si="0"/>
        <v>0</v>
      </c>
      <c r="J21" s="595"/>
      <c r="K21" s="595"/>
      <c r="L21" s="596"/>
      <c r="M21" s="480" t="str">
        <f t="shared" si="1"/>
        <v/>
      </c>
      <c r="N21" s="480">
        <f t="shared" si="2"/>
        <v>0</v>
      </c>
      <c r="O21" s="595"/>
      <c r="P21" s="480" t="str">
        <f t="shared" si="3"/>
        <v/>
      </c>
      <c r="R21" s="590" t="str">
        <f t="shared" si="6"/>
        <v/>
      </c>
      <c r="S21" s="591" t="str">
        <f t="shared" si="7"/>
        <v/>
      </c>
      <c r="T21" s="592" t="str">
        <f t="shared" si="4"/>
        <v>0</v>
      </c>
    </row>
    <row r="22" spans="1:20" s="481" customFormat="1" ht="26.7" customHeight="1" x14ac:dyDescent="0.25">
      <c r="A22" s="593">
        <f>'Project Cumulative '!A21</f>
        <v>0</v>
      </c>
      <c r="B22" s="578">
        <f>'Project Cumulative '!B21</f>
        <v>0</v>
      </c>
      <c r="C22" s="578">
        <f>'Project Cumulative '!C21</f>
        <v>0</v>
      </c>
      <c r="D22" s="478" t="str">
        <f>'Project Cumulative '!D21</f>
        <v/>
      </c>
      <c r="E22" s="594" t="str">
        <f>'Project Cumulative '!E21</f>
        <v/>
      </c>
      <c r="F22" s="480">
        <f t="shared" si="5"/>
        <v>0</v>
      </c>
      <c r="G22" s="595"/>
      <c r="H22" s="595"/>
      <c r="I22" s="480">
        <f t="shared" si="0"/>
        <v>0</v>
      </c>
      <c r="J22" s="595"/>
      <c r="K22" s="595"/>
      <c r="L22" s="596"/>
      <c r="M22" s="480" t="str">
        <f t="shared" si="1"/>
        <v/>
      </c>
      <c r="N22" s="480">
        <f t="shared" si="2"/>
        <v>0</v>
      </c>
      <c r="O22" s="595"/>
      <c r="P22" s="480" t="str">
        <f t="shared" si="3"/>
        <v/>
      </c>
      <c r="R22" s="590" t="str">
        <f t="shared" si="6"/>
        <v/>
      </c>
      <c r="S22" s="591" t="str">
        <f t="shared" si="7"/>
        <v/>
      </c>
      <c r="T22" s="592" t="str">
        <f t="shared" si="4"/>
        <v>0</v>
      </c>
    </row>
    <row r="23" spans="1:20" s="481" customFormat="1" ht="26.7" customHeight="1" x14ac:dyDescent="0.25">
      <c r="A23" s="593">
        <f>'Project Cumulative '!A22</f>
        <v>0</v>
      </c>
      <c r="B23" s="578">
        <f>'Project Cumulative '!B22</f>
        <v>0</v>
      </c>
      <c r="C23" s="578">
        <f>'Project Cumulative '!C22</f>
        <v>0</v>
      </c>
      <c r="D23" s="478" t="str">
        <f>'Project Cumulative '!D22</f>
        <v/>
      </c>
      <c r="E23" s="594" t="str">
        <f>'Project Cumulative '!E22</f>
        <v/>
      </c>
      <c r="F23" s="480">
        <f t="shared" si="5"/>
        <v>0</v>
      </c>
      <c r="G23" s="595"/>
      <c r="H23" s="595"/>
      <c r="I23" s="480">
        <f t="shared" si="0"/>
        <v>0</v>
      </c>
      <c r="J23" s="595"/>
      <c r="K23" s="595"/>
      <c r="L23" s="596"/>
      <c r="M23" s="480" t="str">
        <f t="shared" si="1"/>
        <v/>
      </c>
      <c r="N23" s="480">
        <f t="shared" si="2"/>
        <v>0</v>
      </c>
      <c r="O23" s="595"/>
      <c r="P23" s="480" t="str">
        <f t="shared" si="3"/>
        <v/>
      </c>
      <c r="R23" s="590" t="str">
        <f t="shared" si="6"/>
        <v/>
      </c>
      <c r="S23" s="591" t="str">
        <f t="shared" si="7"/>
        <v/>
      </c>
      <c r="T23" s="592" t="str">
        <f t="shared" si="4"/>
        <v>0</v>
      </c>
    </row>
    <row r="24" spans="1:20" s="481" customFormat="1" ht="26.7" customHeight="1" x14ac:dyDescent="0.25">
      <c r="A24" s="593">
        <f>'Project Cumulative '!A23</f>
        <v>0</v>
      </c>
      <c r="B24" s="578">
        <f>'Project Cumulative '!B23</f>
        <v>0</v>
      </c>
      <c r="C24" s="578">
        <f>'Project Cumulative '!C23</f>
        <v>0</v>
      </c>
      <c r="D24" s="478" t="str">
        <f>'Project Cumulative '!D23</f>
        <v/>
      </c>
      <c r="E24" s="594" t="str">
        <f>'Project Cumulative '!E23</f>
        <v/>
      </c>
      <c r="F24" s="480">
        <f t="shared" si="5"/>
        <v>0</v>
      </c>
      <c r="G24" s="595"/>
      <c r="H24" s="595"/>
      <c r="I24" s="480">
        <f t="shared" si="0"/>
        <v>0</v>
      </c>
      <c r="J24" s="595"/>
      <c r="K24" s="595"/>
      <c r="L24" s="596"/>
      <c r="M24" s="480" t="str">
        <f t="shared" si="1"/>
        <v/>
      </c>
      <c r="N24" s="480">
        <f t="shared" si="2"/>
        <v>0</v>
      </c>
      <c r="O24" s="595"/>
      <c r="P24" s="480" t="str">
        <f t="shared" si="3"/>
        <v/>
      </c>
      <c r="R24" s="590" t="str">
        <f t="shared" si="6"/>
        <v/>
      </c>
      <c r="S24" s="591" t="str">
        <f t="shared" si="7"/>
        <v/>
      </c>
      <c r="T24" s="592" t="str">
        <f t="shared" si="4"/>
        <v>0</v>
      </c>
    </row>
    <row r="25" spans="1:20" s="481" customFormat="1" ht="26.7" customHeight="1" x14ac:dyDescent="0.25">
      <c r="A25" s="593">
        <f>'Project Cumulative '!A24</f>
        <v>0</v>
      </c>
      <c r="B25" s="578">
        <f>'Project Cumulative '!B24</f>
        <v>0</v>
      </c>
      <c r="C25" s="578">
        <f>'Project Cumulative '!C24</f>
        <v>0</v>
      </c>
      <c r="D25" s="478" t="str">
        <f>'Project Cumulative '!D24</f>
        <v/>
      </c>
      <c r="E25" s="594" t="str">
        <f>'Project Cumulative '!E24</f>
        <v/>
      </c>
      <c r="F25" s="480">
        <f t="shared" si="5"/>
        <v>0</v>
      </c>
      <c r="G25" s="595"/>
      <c r="H25" s="595"/>
      <c r="I25" s="480">
        <f t="shared" si="0"/>
        <v>0</v>
      </c>
      <c r="J25" s="595"/>
      <c r="K25" s="595"/>
      <c r="L25" s="596"/>
      <c r="M25" s="480" t="str">
        <f t="shared" si="1"/>
        <v/>
      </c>
      <c r="N25" s="480">
        <f t="shared" si="2"/>
        <v>0</v>
      </c>
      <c r="O25" s="595"/>
      <c r="P25" s="480" t="str">
        <f t="shared" si="3"/>
        <v/>
      </c>
      <c r="R25" s="590" t="str">
        <f t="shared" si="6"/>
        <v/>
      </c>
      <c r="S25" s="591" t="str">
        <f t="shared" si="7"/>
        <v/>
      </c>
      <c r="T25" s="592" t="str">
        <f t="shared" si="4"/>
        <v>0</v>
      </c>
    </row>
    <row r="26" spans="1:20" s="481" customFormat="1" ht="26.7" customHeight="1" x14ac:dyDescent="0.25">
      <c r="A26" s="593">
        <f>'Project Cumulative '!A25</f>
        <v>0</v>
      </c>
      <c r="B26" s="578">
        <f>'Project Cumulative '!B25</f>
        <v>0</v>
      </c>
      <c r="C26" s="578">
        <f>'Project Cumulative '!C25</f>
        <v>0</v>
      </c>
      <c r="D26" s="478" t="str">
        <f>'Project Cumulative '!D25</f>
        <v/>
      </c>
      <c r="E26" s="594" t="str">
        <f>'Project Cumulative '!E25</f>
        <v/>
      </c>
      <c r="F26" s="480">
        <f t="shared" si="5"/>
        <v>0</v>
      </c>
      <c r="G26" s="595"/>
      <c r="H26" s="595"/>
      <c r="I26" s="480">
        <f t="shared" si="0"/>
        <v>0</v>
      </c>
      <c r="J26" s="595"/>
      <c r="K26" s="595"/>
      <c r="L26" s="596"/>
      <c r="M26" s="480" t="str">
        <f t="shared" si="1"/>
        <v/>
      </c>
      <c r="N26" s="480">
        <f t="shared" si="2"/>
        <v>0</v>
      </c>
      <c r="O26" s="595"/>
      <c r="P26" s="480" t="str">
        <f t="shared" si="3"/>
        <v/>
      </c>
      <c r="R26" s="590" t="str">
        <f t="shared" si="6"/>
        <v/>
      </c>
      <c r="S26" s="591" t="str">
        <f t="shared" si="7"/>
        <v/>
      </c>
      <c r="T26" s="592" t="str">
        <f t="shared" si="4"/>
        <v>0</v>
      </c>
    </row>
    <row r="27" spans="1:20" s="481" customFormat="1" ht="26.7" customHeight="1" x14ac:dyDescent="0.25">
      <c r="A27" s="593">
        <f>'Project Cumulative '!A26</f>
        <v>0</v>
      </c>
      <c r="B27" s="578">
        <f>'Project Cumulative '!B26</f>
        <v>0</v>
      </c>
      <c r="C27" s="578">
        <f>'Project Cumulative '!C26</f>
        <v>0</v>
      </c>
      <c r="D27" s="478" t="str">
        <f>'Project Cumulative '!D26</f>
        <v/>
      </c>
      <c r="E27" s="594" t="str">
        <f>'Project Cumulative '!E26</f>
        <v/>
      </c>
      <c r="F27" s="480">
        <f t="shared" si="5"/>
        <v>0</v>
      </c>
      <c r="G27" s="595"/>
      <c r="H27" s="595"/>
      <c r="I27" s="480">
        <f t="shared" si="0"/>
        <v>0</v>
      </c>
      <c r="J27" s="595"/>
      <c r="K27" s="595"/>
      <c r="L27" s="596"/>
      <c r="M27" s="480" t="str">
        <f t="shared" si="1"/>
        <v/>
      </c>
      <c r="N27" s="480">
        <f t="shared" si="2"/>
        <v>0</v>
      </c>
      <c r="O27" s="595"/>
      <c r="P27" s="480" t="str">
        <f t="shared" si="3"/>
        <v/>
      </c>
      <c r="R27" s="590" t="str">
        <f t="shared" si="6"/>
        <v/>
      </c>
      <c r="S27" s="591" t="str">
        <f t="shared" si="7"/>
        <v/>
      </c>
      <c r="T27" s="592" t="str">
        <f t="shared" si="4"/>
        <v>0</v>
      </c>
    </row>
    <row r="28" spans="1:20" s="481" customFormat="1" ht="26.7" customHeight="1" x14ac:dyDescent="0.25">
      <c r="A28" s="593">
        <f>'Project Cumulative '!A27</f>
        <v>0</v>
      </c>
      <c r="B28" s="578">
        <f>'Project Cumulative '!B27</f>
        <v>0</v>
      </c>
      <c r="C28" s="578">
        <f>'Project Cumulative '!C27</f>
        <v>0</v>
      </c>
      <c r="D28" s="478" t="str">
        <f>'Project Cumulative '!D27</f>
        <v/>
      </c>
      <c r="E28" s="594" t="str">
        <f>'Project Cumulative '!E27</f>
        <v/>
      </c>
      <c r="F28" s="480">
        <f t="shared" si="5"/>
        <v>0</v>
      </c>
      <c r="G28" s="595"/>
      <c r="H28" s="595"/>
      <c r="I28" s="480">
        <f t="shared" si="0"/>
        <v>0</v>
      </c>
      <c r="J28" s="595"/>
      <c r="K28" s="595"/>
      <c r="L28" s="596"/>
      <c r="M28" s="480" t="str">
        <f t="shared" si="1"/>
        <v/>
      </c>
      <c r="N28" s="480">
        <f t="shared" si="2"/>
        <v>0</v>
      </c>
      <c r="O28" s="595"/>
      <c r="P28" s="480" t="str">
        <f t="shared" si="3"/>
        <v/>
      </c>
      <c r="R28" s="590" t="str">
        <f t="shared" si="6"/>
        <v/>
      </c>
      <c r="S28" s="591" t="str">
        <f t="shared" si="7"/>
        <v/>
      </c>
      <c r="T28" s="592" t="str">
        <f t="shared" si="4"/>
        <v>0</v>
      </c>
    </row>
    <row r="29" spans="1:20" s="481" customFormat="1" ht="26.7" customHeight="1" x14ac:dyDescent="0.25">
      <c r="A29" s="593">
        <f>'Project Cumulative '!A28</f>
        <v>0</v>
      </c>
      <c r="B29" s="578">
        <f>'Project Cumulative '!B28</f>
        <v>0</v>
      </c>
      <c r="C29" s="578">
        <f>'Project Cumulative '!C28</f>
        <v>0</v>
      </c>
      <c r="D29" s="478" t="str">
        <f>'Project Cumulative '!D28</f>
        <v/>
      </c>
      <c r="E29" s="594" t="str">
        <f>'Project Cumulative '!E28</f>
        <v/>
      </c>
      <c r="F29" s="480">
        <f t="shared" si="5"/>
        <v>0</v>
      </c>
      <c r="G29" s="595"/>
      <c r="H29" s="595"/>
      <c r="I29" s="480">
        <f t="shared" si="0"/>
        <v>0</v>
      </c>
      <c r="J29" s="595"/>
      <c r="K29" s="595"/>
      <c r="L29" s="596"/>
      <c r="M29" s="480" t="str">
        <f t="shared" si="1"/>
        <v/>
      </c>
      <c r="N29" s="480">
        <f t="shared" si="2"/>
        <v>0</v>
      </c>
      <c r="O29" s="595"/>
      <c r="P29" s="480" t="str">
        <f t="shared" si="3"/>
        <v/>
      </c>
      <c r="R29" s="590" t="str">
        <f t="shared" si="6"/>
        <v/>
      </c>
      <c r="S29" s="591" t="str">
        <f t="shared" si="7"/>
        <v/>
      </c>
      <c r="T29" s="592" t="str">
        <f t="shared" si="4"/>
        <v>0</v>
      </c>
    </row>
    <row r="30" spans="1:20" s="481" customFormat="1" ht="26.7" customHeight="1" x14ac:dyDescent="0.25">
      <c r="A30" s="593">
        <f>'Project Cumulative '!A29</f>
        <v>0</v>
      </c>
      <c r="B30" s="578">
        <f>'Project Cumulative '!B29</f>
        <v>0</v>
      </c>
      <c r="C30" s="578">
        <f>'Project Cumulative '!C29</f>
        <v>0</v>
      </c>
      <c r="D30" s="478" t="str">
        <f>'Project Cumulative '!D29</f>
        <v/>
      </c>
      <c r="E30" s="594" t="str">
        <f>'Project Cumulative '!E29</f>
        <v/>
      </c>
      <c r="F30" s="480">
        <f t="shared" si="5"/>
        <v>0</v>
      </c>
      <c r="G30" s="595"/>
      <c r="H30" s="595"/>
      <c r="I30" s="480">
        <f t="shared" si="0"/>
        <v>0</v>
      </c>
      <c r="J30" s="595"/>
      <c r="K30" s="595"/>
      <c r="L30" s="596"/>
      <c r="M30" s="480" t="str">
        <f t="shared" si="1"/>
        <v/>
      </c>
      <c r="N30" s="480">
        <f t="shared" si="2"/>
        <v>0</v>
      </c>
      <c r="O30" s="595"/>
      <c r="P30" s="480" t="str">
        <f t="shared" si="3"/>
        <v/>
      </c>
      <c r="R30" s="590" t="str">
        <f t="shared" si="6"/>
        <v/>
      </c>
      <c r="S30" s="591" t="str">
        <f t="shared" si="7"/>
        <v/>
      </c>
      <c r="T30" s="592" t="str">
        <f t="shared" si="4"/>
        <v>0</v>
      </c>
    </row>
    <row r="31" spans="1:20" s="481" customFormat="1" ht="26.7" customHeight="1" x14ac:dyDescent="0.25">
      <c r="A31" s="593">
        <f>'Project Cumulative '!A30</f>
        <v>0</v>
      </c>
      <c r="B31" s="578">
        <f>'Project Cumulative '!B30</f>
        <v>0</v>
      </c>
      <c r="C31" s="578">
        <f>'Project Cumulative '!C30</f>
        <v>0</v>
      </c>
      <c r="D31" s="478" t="str">
        <f>'Project Cumulative '!D30</f>
        <v/>
      </c>
      <c r="E31" s="594" t="str">
        <f>'Project Cumulative '!E30</f>
        <v/>
      </c>
      <c r="F31" s="480">
        <f t="shared" si="5"/>
        <v>0</v>
      </c>
      <c r="G31" s="595"/>
      <c r="H31" s="595"/>
      <c r="I31" s="480">
        <f t="shared" si="0"/>
        <v>0</v>
      </c>
      <c r="J31" s="595"/>
      <c r="K31" s="595"/>
      <c r="L31" s="596"/>
      <c r="M31" s="480" t="str">
        <f t="shared" si="1"/>
        <v/>
      </c>
      <c r="N31" s="480">
        <f t="shared" si="2"/>
        <v>0</v>
      </c>
      <c r="O31" s="595"/>
      <c r="P31" s="480" t="str">
        <f t="shared" si="3"/>
        <v/>
      </c>
      <c r="R31" s="590" t="str">
        <f t="shared" si="6"/>
        <v/>
      </c>
      <c r="S31" s="591" t="str">
        <f t="shared" si="7"/>
        <v/>
      </c>
      <c r="T31" s="592" t="str">
        <f t="shared" si="4"/>
        <v>0</v>
      </c>
    </row>
    <row r="32" spans="1:20" s="481" customFormat="1" ht="26.7" customHeight="1" x14ac:dyDescent="0.25">
      <c r="A32" s="593">
        <f>'Project Cumulative '!A31</f>
        <v>0</v>
      </c>
      <c r="B32" s="578">
        <f>'Project Cumulative '!B31</f>
        <v>0</v>
      </c>
      <c r="C32" s="578">
        <f>'Project Cumulative '!C31</f>
        <v>0</v>
      </c>
      <c r="D32" s="478" t="str">
        <f>'Project Cumulative '!D31</f>
        <v/>
      </c>
      <c r="E32" s="594" t="str">
        <f>'Project Cumulative '!E31</f>
        <v/>
      </c>
      <c r="F32" s="480">
        <f t="shared" si="5"/>
        <v>0</v>
      </c>
      <c r="G32" s="595"/>
      <c r="H32" s="595"/>
      <c r="I32" s="480">
        <f t="shared" si="0"/>
        <v>0</v>
      </c>
      <c r="J32" s="595"/>
      <c r="K32" s="595"/>
      <c r="L32" s="596"/>
      <c r="M32" s="480" t="str">
        <f t="shared" si="1"/>
        <v/>
      </c>
      <c r="N32" s="480">
        <f t="shared" si="2"/>
        <v>0</v>
      </c>
      <c r="O32" s="595"/>
      <c r="P32" s="480" t="str">
        <f t="shared" si="3"/>
        <v/>
      </c>
      <c r="R32" s="590" t="str">
        <f t="shared" si="6"/>
        <v/>
      </c>
      <c r="S32" s="591" t="str">
        <f t="shared" si="7"/>
        <v/>
      </c>
      <c r="T32" s="592" t="str">
        <f t="shared" si="4"/>
        <v>0</v>
      </c>
    </row>
    <row r="33" spans="1:20" s="481" customFormat="1" ht="26.7" customHeight="1" x14ac:dyDescent="0.25">
      <c r="A33" s="593">
        <f>'Project Cumulative '!A32</f>
        <v>0</v>
      </c>
      <c r="B33" s="578">
        <f>'Project Cumulative '!B32</f>
        <v>0</v>
      </c>
      <c r="C33" s="578">
        <f>'Project Cumulative '!C32</f>
        <v>0</v>
      </c>
      <c r="D33" s="478" t="str">
        <f>'Project Cumulative '!D32</f>
        <v/>
      </c>
      <c r="E33" s="594" t="str">
        <f>'Project Cumulative '!E32</f>
        <v/>
      </c>
      <c r="F33" s="480">
        <f t="shared" si="5"/>
        <v>0</v>
      </c>
      <c r="G33" s="595"/>
      <c r="H33" s="595"/>
      <c r="I33" s="480">
        <f t="shared" si="0"/>
        <v>0</v>
      </c>
      <c r="J33" s="595"/>
      <c r="K33" s="595"/>
      <c r="L33" s="596"/>
      <c r="M33" s="480" t="str">
        <f t="shared" si="1"/>
        <v/>
      </c>
      <c r="N33" s="480">
        <f t="shared" si="2"/>
        <v>0</v>
      </c>
      <c r="O33" s="595"/>
      <c r="P33" s="480" t="str">
        <f t="shared" si="3"/>
        <v/>
      </c>
      <c r="R33" s="590" t="str">
        <f t="shared" si="6"/>
        <v/>
      </c>
      <c r="S33" s="591" t="str">
        <f t="shared" si="7"/>
        <v/>
      </c>
      <c r="T33" s="592" t="str">
        <f t="shared" si="4"/>
        <v>0</v>
      </c>
    </row>
    <row r="34" spans="1:20" s="481" customFormat="1" ht="26.7" customHeight="1" x14ac:dyDescent="0.25">
      <c r="A34" s="593">
        <f>'Project Cumulative '!A33</f>
        <v>0</v>
      </c>
      <c r="B34" s="578">
        <f>'Project Cumulative '!B33</f>
        <v>0</v>
      </c>
      <c r="C34" s="578">
        <f>'Project Cumulative '!C33</f>
        <v>0</v>
      </c>
      <c r="D34" s="478" t="str">
        <f>'Project Cumulative '!D33</f>
        <v/>
      </c>
      <c r="E34" s="594" t="str">
        <f>'Project Cumulative '!E33</f>
        <v/>
      </c>
      <c r="F34" s="480">
        <f t="shared" si="5"/>
        <v>0</v>
      </c>
      <c r="G34" s="595"/>
      <c r="H34" s="595"/>
      <c r="I34" s="480">
        <f t="shared" si="0"/>
        <v>0</v>
      </c>
      <c r="J34" s="595"/>
      <c r="K34" s="595"/>
      <c r="L34" s="596"/>
      <c r="M34" s="480" t="str">
        <f t="shared" si="1"/>
        <v/>
      </c>
      <c r="N34" s="480">
        <f t="shared" si="2"/>
        <v>0</v>
      </c>
      <c r="O34" s="595"/>
      <c r="P34" s="480" t="str">
        <f t="shared" si="3"/>
        <v/>
      </c>
      <c r="R34" s="590" t="str">
        <f t="shared" si="6"/>
        <v/>
      </c>
      <c r="S34" s="591" t="str">
        <f t="shared" si="7"/>
        <v/>
      </c>
      <c r="T34" s="592" t="str">
        <f t="shared" si="4"/>
        <v>0</v>
      </c>
    </row>
    <row r="35" spans="1:20" s="481" customFormat="1" ht="26.7" customHeight="1" thickBot="1" x14ac:dyDescent="0.3">
      <c r="A35" s="593">
        <f>'Project Cumulative '!A34</f>
        <v>0</v>
      </c>
      <c r="B35" s="578">
        <f>'Project Cumulative '!B34</f>
        <v>0</v>
      </c>
      <c r="C35" s="578">
        <f>'Project Cumulative '!C34</f>
        <v>0</v>
      </c>
      <c r="D35" s="478" t="str">
        <f>'Project Cumulative '!D34</f>
        <v/>
      </c>
      <c r="E35" s="594" t="str">
        <f>'Project Cumulative '!E34</f>
        <v/>
      </c>
      <c r="F35" s="480">
        <f t="shared" si="5"/>
        <v>0</v>
      </c>
      <c r="G35" s="595"/>
      <c r="H35" s="595"/>
      <c r="I35" s="480">
        <f t="shared" si="0"/>
        <v>0</v>
      </c>
      <c r="J35" s="595"/>
      <c r="K35" s="595"/>
      <c r="L35" s="596"/>
      <c r="M35" s="480" t="str">
        <f t="shared" si="1"/>
        <v/>
      </c>
      <c r="N35" s="480">
        <f t="shared" si="2"/>
        <v>0</v>
      </c>
      <c r="O35" s="595"/>
      <c r="P35" s="480" t="str">
        <f t="shared" si="3"/>
        <v/>
      </c>
      <c r="R35" s="590" t="str">
        <f t="shared" si="6"/>
        <v/>
      </c>
      <c r="S35" s="591" t="str">
        <f t="shared" si="7"/>
        <v/>
      </c>
      <c r="T35" s="597" t="str">
        <f t="shared" si="4"/>
        <v>0</v>
      </c>
    </row>
    <row r="36" spans="1:20" s="481" customFormat="1" ht="26.7" customHeight="1" thickBot="1" x14ac:dyDescent="0.3">
      <c r="A36" s="482" t="s">
        <v>652</v>
      </c>
      <c r="B36" s="483"/>
      <c r="C36" s="483"/>
      <c r="D36" s="484"/>
      <c r="E36" s="484"/>
      <c r="F36" s="579">
        <f t="shared" ref="F36:K36" si="8">SUM(F11:F35)</f>
        <v>0</v>
      </c>
      <c r="G36" s="486">
        <f t="shared" si="8"/>
        <v>0</v>
      </c>
      <c r="H36" s="486">
        <f t="shared" si="8"/>
        <v>0</v>
      </c>
      <c r="I36" s="486">
        <f t="shared" si="8"/>
        <v>0</v>
      </c>
      <c r="J36" s="486">
        <f t="shared" si="8"/>
        <v>0</v>
      </c>
      <c r="K36" s="486">
        <f t="shared" si="8"/>
        <v>0</v>
      </c>
      <c r="L36" s="598"/>
      <c r="M36" s="486">
        <f>SUM(M11:M35)</f>
        <v>0</v>
      </c>
      <c r="N36" s="486">
        <f>SUM(N11:N35)</f>
        <v>0</v>
      </c>
      <c r="O36" s="486">
        <f>SUM(O11:O35)</f>
        <v>0</v>
      </c>
      <c r="P36" s="486">
        <f>SUM(P11:P35)</f>
        <v>0</v>
      </c>
    </row>
    <row r="37" spans="1:20" s="481" customFormat="1" ht="26.7" customHeight="1" thickTop="1" x14ac:dyDescent="0.25">
      <c r="A37" s="259"/>
      <c r="B37" s="259"/>
      <c r="C37" s="259"/>
      <c r="D37" s="259"/>
      <c r="E37" s="259"/>
      <c r="F37" s="259"/>
      <c r="G37" s="259"/>
      <c r="H37" s="259"/>
      <c r="I37" s="259"/>
      <c r="J37" s="259"/>
      <c r="K37" s="259"/>
      <c r="L37" s="259"/>
      <c r="M37" s="259"/>
      <c r="N37" s="259"/>
      <c r="O37" s="259"/>
    </row>
    <row r="38" spans="1:20" s="481" customFormat="1" ht="26.7" hidden="1" customHeight="1" x14ac:dyDescent="0.25">
      <c r="A38" s="259"/>
      <c r="B38" s="259"/>
      <c r="C38" s="259"/>
      <c r="D38" s="259"/>
      <c r="E38" s="259"/>
      <c r="F38" s="259"/>
      <c r="G38" s="599" t="s">
        <v>752</v>
      </c>
      <c r="H38" s="259"/>
      <c r="I38" s="259"/>
      <c r="J38" s="259"/>
      <c r="K38" s="259"/>
      <c r="L38" s="259"/>
      <c r="M38" s="259"/>
      <c r="N38" s="259"/>
      <c r="O38" s="259"/>
    </row>
    <row r="39" spans="1:20" s="481" customFormat="1" ht="26.7" hidden="1" customHeight="1" x14ac:dyDescent="0.25">
      <c r="A39" s="259"/>
      <c r="B39" s="259"/>
      <c r="C39" s="259"/>
      <c r="D39" s="259"/>
      <c r="E39" s="259"/>
      <c r="F39" s="259"/>
      <c r="G39" s="512"/>
      <c r="H39" s="600" t="s">
        <v>141</v>
      </c>
      <c r="I39" s="600"/>
      <c r="J39" s="600" t="s">
        <v>123</v>
      </c>
      <c r="K39" s="259"/>
      <c r="L39" s="259"/>
      <c r="M39" s="259"/>
      <c r="N39" s="259"/>
      <c r="O39" s="259"/>
    </row>
    <row r="40" spans="1:20" s="481" customFormat="1" ht="26.7" hidden="1" customHeight="1" x14ac:dyDescent="0.25">
      <c r="A40" s="259"/>
      <c r="B40" s="259"/>
      <c r="C40" s="259"/>
      <c r="D40" s="259"/>
      <c r="E40" s="259"/>
      <c r="F40" s="259"/>
      <c r="G40" s="601" t="s">
        <v>753</v>
      </c>
      <c r="H40" s="602">
        <f t="array" ref="H40">(SUM(IF((E11:E35="I"),G11:H35,"0")))</f>
        <v>0</v>
      </c>
      <c r="I40" s="602"/>
      <c r="J40" s="603">
        <f t="array" ref="J40">(SUM(IF((E11:E35="NH"),G11:H35,"0")))</f>
        <v>0</v>
      </c>
      <c r="K40" s="259"/>
      <c r="L40" s="259"/>
      <c r="M40" s="259"/>
      <c r="N40" s="259"/>
      <c r="O40" s="259"/>
    </row>
    <row r="41" spans="1:20" s="481" customFormat="1" ht="26.7" hidden="1" customHeight="1" x14ac:dyDescent="0.25">
      <c r="A41" s="259"/>
      <c r="B41" s="259"/>
      <c r="C41" s="259"/>
      <c r="D41" s="259"/>
      <c r="E41" s="259"/>
      <c r="F41" s="259"/>
      <c r="G41" s="601" t="s">
        <v>753</v>
      </c>
      <c r="H41" s="602">
        <f t="array" ref="H41">(SUM(IF((E11:E35="I"),J11:J35,"0")))</f>
        <v>0</v>
      </c>
      <c r="I41" s="602"/>
      <c r="J41" s="603">
        <f t="array" ref="J41">(SUM(IF((E11:E35="NH"),J11:J35,"0")))</f>
        <v>0</v>
      </c>
      <c r="K41" s="259"/>
      <c r="L41" s="259"/>
      <c r="M41" s="259"/>
      <c r="N41" s="259"/>
      <c r="O41" s="259"/>
    </row>
    <row r="42" spans="1:20" s="481" customFormat="1" ht="26.7" hidden="1" customHeight="1" x14ac:dyDescent="0.25">
      <c r="A42" s="259"/>
      <c r="B42" s="259"/>
      <c r="C42" s="259"/>
      <c r="D42" s="259"/>
      <c r="E42" s="259"/>
      <c r="F42" s="259"/>
      <c r="G42" s="601" t="s">
        <v>753</v>
      </c>
      <c r="H42" s="604">
        <f t="array" ref="H42">(SUM(IF((E11:E35="I"),M11:M35,"0")))</f>
        <v>0</v>
      </c>
      <c r="I42" s="604"/>
      <c r="J42" s="51">
        <f t="array" ref="J42">(SUM(IF((E11:E35="NH"),M11:M35,"0")))</f>
        <v>0</v>
      </c>
      <c r="K42" s="259"/>
      <c r="L42" s="259"/>
      <c r="M42" s="259"/>
      <c r="N42" s="259"/>
      <c r="O42" s="259"/>
    </row>
    <row r="43" spans="1:20" ht="26.7" hidden="1" customHeight="1" x14ac:dyDescent="0.25">
      <c r="G43" s="601" t="s">
        <v>753</v>
      </c>
      <c r="H43" s="604" t="e">
        <f t="array" ref="H43">(SUM(IF((E11:E35="I"),#REF!,"0")))</f>
        <v>#REF!</v>
      </c>
      <c r="I43" s="604"/>
      <c r="J43" s="51" t="e">
        <f t="array" ref="J43">(SUM(IF((E11:E35="NH"),#REF!,"0")))</f>
        <v>#REF!</v>
      </c>
    </row>
    <row r="44" spans="1:20" ht="26.7" hidden="1" customHeight="1" x14ac:dyDescent="0.25">
      <c r="G44" s="600" t="s">
        <v>754</v>
      </c>
      <c r="H44" s="605" t="e">
        <f>SUM(H40:H43)</f>
        <v>#REF!</v>
      </c>
      <c r="I44" s="605"/>
      <c r="J44" s="605" t="e">
        <f>SUM(J40:J43)</f>
        <v>#REF!</v>
      </c>
    </row>
    <row r="45" spans="1:20" ht="26.7" hidden="1" customHeight="1" x14ac:dyDescent="0.25">
      <c r="G45" s="606" t="s">
        <v>132</v>
      </c>
      <c r="H45" s="602">
        <f t="array" ref="H45">(SUM(IF((E11:E35="I"),N11:N35,"0")))</f>
        <v>0</v>
      </c>
      <c r="I45" s="602"/>
      <c r="J45" s="602">
        <f t="array" ref="J45">(SUM(IF((E11:E35="NH"),N11:N35,"0")))</f>
        <v>0</v>
      </c>
    </row>
    <row r="46" spans="1:20" ht="26.7" hidden="1" customHeight="1" x14ac:dyDescent="0.25">
      <c r="G46" s="606" t="s">
        <v>132</v>
      </c>
      <c r="H46" s="602">
        <f t="array" ref="H46">(SUM(IF((E11:E35="I"),O11:O35,"0")))</f>
        <v>0</v>
      </c>
      <c r="I46" s="602"/>
      <c r="J46" s="602">
        <f t="array" ref="J46">(SUM(IF((E11:E35="NH"),O11:O35,"0")))</f>
        <v>0</v>
      </c>
    </row>
    <row r="47" spans="1:20" hidden="1" x14ac:dyDescent="0.25">
      <c r="G47" s="512"/>
      <c r="H47" s="512"/>
      <c r="I47" s="512"/>
      <c r="J47" s="512"/>
    </row>
    <row r="48" spans="1:20" hidden="1" x14ac:dyDescent="0.25">
      <c r="G48" s="600"/>
      <c r="H48" s="512"/>
      <c r="I48" s="512"/>
      <c r="J48" s="512"/>
    </row>
    <row r="49" spans="7:10" hidden="1" x14ac:dyDescent="0.25">
      <c r="G49" s="600" t="s">
        <v>754</v>
      </c>
      <c r="H49" s="607">
        <f>SUM(H45:H46)</f>
        <v>0</v>
      </c>
      <c r="I49" s="607"/>
      <c r="J49" s="607">
        <f>SUM(J45:J46)</f>
        <v>0</v>
      </c>
    </row>
  </sheetData>
  <sheetProtection algorithmName="SHA-512" hashValue="fWfCGEDBaJrp29sDe19UX212iQ6ygD9FwlcfovASlLnkFlmVxGvHI1uDxP13yM3+uthKif+y5YvqsZruz5GG3A==" saltValue="k/0bL7G5Zi/017p6FRbJxw==" spinCount="100000" sheet="1" objects="1" scenarios="1"/>
  <mergeCells count="33">
    <mergeCell ref="R10:S10"/>
    <mergeCell ref="J8:J10"/>
    <mergeCell ref="K8:N8"/>
    <mergeCell ref="O8:O10"/>
    <mergeCell ref="P8:P10"/>
    <mergeCell ref="H9:I9"/>
    <mergeCell ref="K9:N9"/>
    <mergeCell ref="A6:H6"/>
    <mergeCell ref="A7:A10"/>
    <mergeCell ref="B7:B10"/>
    <mergeCell ref="C7:C10"/>
    <mergeCell ref="D7:D10"/>
    <mergeCell ref="E7:E10"/>
    <mergeCell ref="F7:F10"/>
    <mergeCell ref="G7:P7"/>
    <mergeCell ref="G8:G10"/>
    <mergeCell ref="H8:I8"/>
    <mergeCell ref="A4:B4"/>
    <mergeCell ref="C4:H4"/>
    <mergeCell ref="I4:J4"/>
    <mergeCell ref="K4:P4"/>
    <mergeCell ref="A5:B5"/>
    <mergeCell ref="C5:H5"/>
    <mergeCell ref="I5:J5"/>
    <mergeCell ref="K5:P5"/>
    <mergeCell ref="A1:P1"/>
    <mergeCell ref="A2:B2"/>
    <mergeCell ref="C2:J2"/>
    <mergeCell ref="K2:P2"/>
    <mergeCell ref="A3:B3"/>
    <mergeCell ref="C3:H3"/>
    <mergeCell ref="I3:J3"/>
    <mergeCell ref="K3:P3"/>
  </mergeCells>
  <printOptions horizontalCentered="1"/>
  <pageMargins left="0.35433070866141736" right="0.15748031496062992" top="0.59055118110236227" bottom="0.39370078740157483" header="0.51181102362204722" footer="0.51181102362204722"/>
  <pageSetup paperSize="9" scale="50" orientation="landscape" r:id="rId1"/>
  <headerFooter alignWithMargins="0">
    <oddFooter>&amp;LFM-HSS-W01-01&amp;CJanuary 2020&amp;RRev 17.0</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34d50c-c798-4242-82e1-977499ffa49c" xsi:nil="true"/>
    <lcf76f155ced4ddcb4097134ff3c332f xmlns="286764b7-4562-4139-b106-0a039416f6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94786C1CD06F4AB3CAFA1F73453489" ma:contentTypeVersion="19" ma:contentTypeDescription="Create a new document." ma:contentTypeScope="" ma:versionID="b16110090ac601773b1c43e29d1ae782">
  <xsd:schema xmlns:xsd="http://www.w3.org/2001/XMLSchema" xmlns:xs="http://www.w3.org/2001/XMLSchema" xmlns:p="http://schemas.microsoft.com/office/2006/metadata/properties" xmlns:ns2="286764b7-4562-4139-b106-0a039416f612" xmlns:ns3="d034d50c-c798-4242-82e1-977499ffa49c" targetNamespace="http://schemas.microsoft.com/office/2006/metadata/properties" ma:root="true" ma:fieldsID="98bfee64fd6e5be215001219be18bf7d" ns2:_="" ns3:_="">
    <xsd:import namespace="286764b7-4562-4139-b106-0a039416f612"/>
    <xsd:import namespace="d034d50c-c798-4242-82e1-977499ffa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64b7-4562-4139-b106-0a039416f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6c75266-c180-4f59-a616-841578056e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34d50c-c798-4242-82e1-977499ffa49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629dd6-80e7-483e-8851-d15e820a8001}" ma:internalName="TaxCatchAll" ma:showField="CatchAllData" ma:web="d034d50c-c798-4242-82e1-977499ffa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3E88F-CF2A-48A5-BEA3-BBCE27B393CA}">
  <ds:schemaRefs>
    <ds:schemaRef ds:uri="http://schemas.microsoft.com/office/2006/metadata/properties"/>
    <ds:schemaRef ds:uri="http://schemas.microsoft.com/office/infopath/2007/PartnerControls"/>
    <ds:schemaRef ds:uri="5527ea3a-b432-4407-90eb-1ef94bec7803"/>
    <ds:schemaRef ds:uri="cab319e0-6ecb-47f2-a92c-caf4064b923f"/>
    <ds:schemaRef ds:uri="d034d50c-c798-4242-82e1-977499ffa49c"/>
    <ds:schemaRef ds:uri="286764b7-4562-4139-b106-0a039416f612"/>
  </ds:schemaRefs>
</ds:datastoreItem>
</file>

<file path=customXml/itemProps2.xml><?xml version="1.0" encoding="utf-8"?>
<ds:datastoreItem xmlns:ds="http://schemas.openxmlformats.org/officeDocument/2006/customXml" ds:itemID="{499944E2-9E67-4E6A-BA09-C93ACA468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6764b7-4562-4139-b106-0a039416f612"/>
    <ds:schemaRef ds:uri="d034d50c-c798-4242-82e1-977499ffa4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DBE6DA-5514-4FEB-A2BD-89FD581178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93</vt:i4>
      </vt:variant>
      <vt:variant>
        <vt:lpstr>Named Ranges</vt:lpstr>
      </vt:variant>
      <vt:variant>
        <vt:i4>29</vt:i4>
      </vt:variant>
    </vt:vector>
  </HeadingPairs>
  <TitlesOfParts>
    <vt:vector size="122" baseType="lpstr">
      <vt:lpstr>Cover Sheet</vt:lpstr>
      <vt:lpstr>Revision</vt:lpstr>
      <vt:lpstr>Project Details</vt:lpstr>
      <vt:lpstr>Waste Actions</vt:lpstr>
      <vt:lpstr>Conversion Calculator</vt:lpstr>
      <vt:lpstr>Waste Forecast</vt:lpstr>
      <vt:lpstr>Legislative Checks</vt:lpstr>
      <vt:lpstr>Exemption Tracking</vt:lpstr>
      <vt:lpstr>Waste Tracking</vt:lpstr>
      <vt:lpstr>Data Sheet</vt:lpstr>
      <vt:lpstr>Project KPI's</vt:lpstr>
      <vt:lpstr>Reporting</vt:lpstr>
      <vt:lpstr>Project Cumulative </vt:lpstr>
      <vt:lpstr>Q1 2026</vt:lpstr>
      <vt:lpstr>Q2 2026</vt:lpstr>
      <vt:lpstr>Q3 2026</vt:lpstr>
      <vt:lpstr>Q4 2026</vt:lpstr>
      <vt:lpstr>Jan 26</vt:lpstr>
      <vt:lpstr>Feb 26</vt:lpstr>
      <vt:lpstr>Mar 26</vt:lpstr>
      <vt:lpstr>Apr 26</vt:lpstr>
      <vt:lpstr>May 26</vt:lpstr>
      <vt:lpstr>Jun 26</vt:lpstr>
      <vt:lpstr>Jul 26</vt:lpstr>
      <vt:lpstr>Aug 26</vt:lpstr>
      <vt:lpstr>Sept 26</vt:lpstr>
      <vt:lpstr>Oct 26</vt:lpstr>
      <vt:lpstr>Nov 26</vt:lpstr>
      <vt:lpstr>Dec 26</vt:lpstr>
      <vt:lpstr>Q1 2027</vt:lpstr>
      <vt:lpstr>Q2 2027</vt:lpstr>
      <vt:lpstr>Q3 2027</vt:lpstr>
      <vt:lpstr>Q4 2027</vt:lpstr>
      <vt:lpstr>Jan 27</vt:lpstr>
      <vt:lpstr>Feb 27</vt:lpstr>
      <vt:lpstr>Mar 27</vt:lpstr>
      <vt:lpstr>Apr 27</vt:lpstr>
      <vt:lpstr>May 27</vt:lpstr>
      <vt:lpstr>Jun 27</vt:lpstr>
      <vt:lpstr>Jul 27</vt:lpstr>
      <vt:lpstr>Aug 27</vt:lpstr>
      <vt:lpstr>Sept 27</vt:lpstr>
      <vt:lpstr>Oct 27</vt:lpstr>
      <vt:lpstr>Nov 27</vt:lpstr>
      <vt:lpstr>Dec 27</vt:lpstr>
      <vt:lpstr>Q1 2028</vt:lpstr>
      <vt:lpstr>Q2 2028</vt:lpstr>
      <vt:lpstr>Q3 2028</vt:lpstr>
      <vt:lpstr>Q4 2028</vt:lpstr>
      <vt:lpstr>Jan 28</vt:lpstr>
      <vt:lpstr>Feb 28</vt:lpstr>
      <vt:lpstr>Mar 28</vt:lpstr>
      <vt:lpstr>Apr 28</vt:lpstr>
      <vt:lpstr>May 28</vt:lpstr>
      <vt:lpstr>Jun 28</vt:lpstr>
      <vt:lpstr>Jul 28</vt:lpstr>
      <vt:lpstr>Aug 28</vt:lpstr>
      <vt:lpstr>Sept 28</vt:lpstr>
      <vt:lpstr>Oct 28</vt:lpstr>
      <vt:lpstr>Nov 28</vt:lpstr>
      <vt:lpstr>Dec 28</vt:lpstr>
      <vt:lpstr>Q1 2029</vt:lpstr>
      <vt:lpstr>Q2 2029</vt:lpstr>
      <vt:lpstr>Q3 2029</vt:lpstr>
      <vt:lpstr>Q4 2029</vt:lpstr>
      <vt:lpstr>Jan 29</vt:lpstr>
      <vt:lpstr>Feb 29</vt:lpstr>
      <vt:lpstr>Mar 29</vt:lpstr>
      <vt:lpstr>Apr 29</vt:lpstr>
      <vt:lpstr>May 29</vt:lpstr>
      <vt:lpstr>Jun 29</vt:lpstr>
      <vt:lpstr>Jul 29</vt:lpstr>
      <vt:lpstr>Aug 29</vt:lpstr>
      <vt:lpstr>Sept 29</vt:lpstr>
      <vt:lpstr>Oct 29</vt:lpstr>
      <vt:lpstr>Nov 29</vt:lpstr>
      <vt:lpstr>Dec 29</vt:lpstr>
      <vt:lpstr>Q1 2030</vt:lpstr>
      <vt:lpstr>Q2 2030</vt:lpstr>
      <vt:lpstr>Q3 2030</vt:lpstr>
      <vt:lpstr>Q4 2030</vt:lpstr>
      <vt:lpstr>Jan 30</vt:lpstr>
      <vt:lpstr>Feb 30</vt:lpstr>
      <vt:lpstr>Mar 30</vt:lpstr>
      <vt:lpstr>Apr 30</vt:lpstr>
      <vt:lpstr>May 30</vt:lpstr>
      <vt:lpstr>Jun 30</vt:lpstr>
      <vt:lpstr>Jul 30</vt:lpstr>
      <vt:lpstr>Aug 30</vt:lpstr>
      <vt:lpstr>Sept 30</vt:lpstr>
      <vt:lpstr>Oct 30</vt:lpstr>
      <vt:lpstr>Nov 30</vt:lpstr>
      <vt:lpstr>Dec 30</vt:lpstr>
      <vt:lpstr>Container_Size</vt:lpstr>
      <vt:lpstr>Container_Volume</vt:lpstr>
      <vt:lpstr>Copy_Permit</vt:lpstr>
      <vt:lpstr>Division</vt:lpstr>
      <vt:lpstr>EWC</vt:lpstr>
      <vt:lpstr>Exemption_Desc</vt:lpstr>
      <vt:lpstr>Exemption_Type</vt:lpstr>
      <vt:lpstr>Forecast_Waste1</vt:lpstr>
      <vt:lpstr>KPI</vt:lpstr>
      <vt:lpstr>KPI_2</vt:lpstr>
      <vt:lpstr>KPI_3</vt:lpstr>
      <vt:lpstr>KPI_4</vt:lpstr>
      <vt:lpstr>Material_Stream</vt:lpstr>
      <vt:lpstr>Permit_Type</vt:lpstr>
      <vt:lpstr>'Project Cumulative '!Print_Area</vt:lpstr>
      <vt:lpstr>'Project Details'!Print_Area</vt:lpstr>
      <vt:lpstr>'Project KPI''s'!Print_Area</vt:lpstr>
      <vt:lpstr>Reporting!Print_Area</vt:lpstr>
      <vt:lpstr>Revision!Print_Area</vt:lpstr>
      <vt:lpstr>'Waste Forecast'!Print_Area</vt:lpstr>
      <vt:lpstr>'Waste Tracking'!Print_Area</vt:lpstr>
      <vt:lpstr>Reporta</vt:lpstr>
      <vt:lpstr>Waste_Actions</vt:lpstr>
      <vt:lpstr>Waste_Activity</vt:lpstr>
      <vt:lpstr>Waste_Options</vt:lpstr>
      <vt:lpstr>Waste_Report1</vt:lpstr>
      <vt:lpstr>Waste_Report2</vt:lpstr>
      <vt:lpstr>Waste_Type</vt:lpstr>
      <vt:lpstr>WM_Facility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Marsh (Galliford Try)</dc:creator>
  <cp:keywords/>
  <dc:description/>
  <cp:lastModifiedBy>Kat McMaster</cp:lastModifiedBy>
  <cp:revision/>
  <cp:lastPrinted>2026-06-29T12:42:50Z</cp:lastPrinted>
  <dcterms:created xsi:type="dcterms:W3CDTF">2025-10-27T18:09:56Z</dcterms:created>
  <dcterms:modified xsi:type="dcterms:W3CDTF">2026-08-12T14:09:19Z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0x010100EE94786C1CD06F4AB3CAFA1F73453489</vt:lpwstr>
  </property>
  <property fmtid="{D5CDD505-2E9C-101B-9397-08002B2CF9AE}" pid="3" name="Order">
    <vt:r8>2980800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y fmtid="{D5CDD505-2E9C-101B-9397-08002B2CF9AE}" pid="8" name="OfficeTags">
    <vt:lpwstr/>
  </property>
  <property fmtid="{D5CDD505-2E9C-101B-9397-08002B2CF9AE}" pid="9" name="OrganisationalTags">
    <vt:lpwstr/>
  </property>
  <property fmtid="{D5CDD505-2E9C-101B-9397-08002B2CF9AE}" pid="10" name="ViewOnPage">
    <vt:lpwstr/>
  </property>
  <property fmtid="{D5CDD505-2E9C-101B-9397-08002B2CF9AE}" pid="11" name="TopicTags">
    <vt:lpwstr/>
  </property>
  <property fmtid="{D5CDD505-2E9C-101B-9397-08002B2CF9AE}" pid="12" name="AuthorIds_UIVersion_1025">
    <vt:lpwstr>21</vt:lpwstr>
  </property>
</Properties>
</file>