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Wythenshawe Site\"/>
    </mc:Choice>
  </mc:AlternateContent>
  <xr:revisionPtr revIDLastSave="0" documentId="13_ncr:1_{0EB8C1C8-1F3F-41A8-B1A4-B479C9D8012D}" xr6:coauthVersionLast="47" xr6:coauthVersionMax="47" xr10:uidLastSave="{00000000-0000-0000-0000-000000000000}"/>
  <bookViews>
    <workbookView xWindow="28680" yWindow="-120" windowWidth="29040" windowHeight="15840" xr2:uid="{47324870-52D5-4C98-915B-494A51C4348E}"/>
  </bookViews>
  <sheets>
    <sheet name="Current Needs 2025" sheetId="1" r:id="rId1"/>
    <sheet name="2027 Opening Forecast" sheetId="2" r:id="rId2"/>
    <sheet name="2035 Foreca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" l="1"/>
  <c r="K10" i="1"/>
  <c r="I10" i="1"/>
  <c r="I6" i="1" s="1"/>
  <c r="G10" i="1"/>
  <c r="G6" i="1" s="1"/>
  <c r="E10" i="1"/>
  <c r="F6" i="1" s="1"/>
  <c r="C10" i="1"/>
  <c r="C6" i="1" s="1"/>
  <c r="D5" i="3"/>
  <c r="E5" i="3"/>
  <c r="F5" i="3"/>
  <c r="G5" i="3"/>
  <c r="H5" i="3"/>
  <c r="I5" i="3"/>
  <c r="J5" i="3"/>
  <c r="K5" i="3"/>
  <c r="L5" i="3"/>
  <c r="C5" i="3"/>
  <c r="E5" i="2"/>
  <c r="F5" i="2"/>
  <c r="G5" i="2"/>
  <c r="H5" i="2"/>
  <c r="I5" i="2"/>
  <c r="J5" i="2"/>
  <c r="K5" i="2"/>
  <c r="L5" i="2"/>
  <c r="D5" i="2"/>
  <c r="C5" i="2"/>
  <c r="C28" i="3"/>
  <c r="C29" i="3" s="1"/>
  <c r="C30" i="3" s="1"/>
  <c r="C31" i="3" s="1"/>
  <c r="C32" i="3" s="1"/>
  <c r="C33" i="3" s="1"/>
  <c r="C34" i="3" s="1"/>
  <c r="C35" i="3" s="1"/>
  <c r="C36" i="3" s="1"/>
  <c r="K10" i="3" s="1"/>
  <c r="B28" i="3"/>
  <c r="B29" i="3" s="1"/>
  <c r="B30" i="3" s="1"/>
  <c r="B31" i="3" s="1"/>
  <c r="B32" i="3" s="1"/>
  <c r="B33" i="3" s="1"/>
  <c r="B34" i="3" s="1"/>
  <c r="B35" i="3" s="1"/>
  <c r="B36" i="3" s="1"/>
  <c r="C28" i="2"/>
  <c r="C10" i="2" s="1"/>
  <c r="C12" i="2" s="1"/>
  <c r="D5" i="1"/>
  <c r="E5" i="1"/>
  <c r="F5" i="1"/>
  <c r="F12" i="1" s="1"/>
  <c r="G5" i="1"/>
  <c r="G12" i="1" s="1"/>
  <c r="H5" i="1"/>
  <c r="H12" i="1" s="1"/>
  <c r="I5" i="1"/>
  <c r="I12" i="1" s="1"/>
  <c r="J5" i="1"/>
  <c r="J12" i="1" s="1"/>
  <c r="K5" i="1"/>
  <c r="K12" i="1" s="1"/>
  <c r="L5" i="1"/>
  <c r="L12" i="1" s="1"/>
  <c r="C5" i="1"/>
  <c r="C12" i="1" s="1"/>
  <c r="L12" i="3" l="1"/>
  <c r="K12" i="3"/>
  <c r="C10" i="3"/>
  <c r="E10" i="3"/>
  <c r="G10" i="3"/>
  <c r="I10" i="3"/>
  <c r="F12" i="2"/>
  <c r="D12" i="2"/>
  <c r="I10" i="2"/>
  <c r="E12" i="2"/>
  <c r="K10" i="2"/>
  <c r="L6" i="2" s="1"/>
  <c r="L8" i="2" s="1"/>
  <c r="L11" i="2" s="1"/>
  <c r="G10" i="2"/>
  <c r="H6" i="2" s="1"/>
  <c r="H8" i="2" s="1"/>
  <c r="H11" i="2" s="1"/>
  <c r="D12" i="1"/>
  <c r="E12" i="1"/>
  <c r="E6" i="2"/>
  <c r="E8" i="2" s="1"/>
  <c r="E11" i="2" s="1"/>
  <c r="L6" i="3"/>
  <c r="L8" i="3" s="1"/>
  <c r="L11" i="3" s="1"/>
  <c r="D6" i="2"/>
  <c r="D8" i="2" s="1"/>
  <c r="D11" i="2" s="1"/>
  <c r="B28" i="2"/>
  <c r="B29" i="2" s="1"/>
  <c r="B30" i="2" s="1"/>
  <c r="B31" i="2" s="1"/>
  <c r="B32" i="2" s="1"/>
  <c r="B33" i="2" s="1"/>
  <c r="B34" i="2" s="1"/>
  <c r="B35" i="2" s="1"/>
  <c r="B36" i="2" s="1"/>
  <c r="F6" i="2"/>
  <c r="F8" i="2" s="1"/>
  <c r="F11" i="2" s="1"/>
  <c r="C6" i="2"/>
  <c r="C8" i="2" s="1"/>
  <c r="C11" i="2" s="1"/>
  <c r="H6" i="1"/>
  <c r="H8" i="1" s="1"/>
  <c r="H11" i="1" s="1"/>
  <c r="J6" i="1"/>
  <c r="J8" i="1" s="1"/>
  <c r="J11" i="1" s="1"/>
  <c r="K6" i="1"/>
  <c r="K8" i="1" s="1"/>
  <c r="K11" i="1" s="1"/>
  <c r="D6" i="1"/>
  <c r="D8" i="1" s="1"/>
  <c r="D11" i="1" s="1"/>
  <c r="L6" i="1"/>
  <c r="L8" i="1" s="1"/>
  <c r="L11" i="1" s="1"/>
  <c r="E6" i="1"/>
  <c r="E8" i="1" s="1"/>
  <c r="E11" i="1" s="1"/>
  <c r="I8" i="1"/>
  <c r="I11" i="1" s="1"/>
  <c r="F8" i="1"/>
  <c r="F11" i="1" s="1"/>
  <c r="C8" i="1"/>
  <c r="C11" i="1" s="1"/>
  <c r="G8" i="1"/>
  <c r="G11" i="1" s="1"/>
  <c r="J12" i="3" l="1"/>
  <c r="I12" i="3"/>
  <c r="G12" i="3"/>
  <c r="H12" i="3"/>
  <c r="F12" i="3"/>
  <c r="E12" i="3"/>
  <c r="D12" i="3"/>
  <c r="C12" i="3"/>
  <c r="L12" i="2"/>
  <c r="K12" i="2"/>
  <c r="J12" i="2"/>
  <c r="I12" i="2"/>
  <c r="H12" i="2"/>
  <c r="G12" i="2"/>
  <c r="J6" i="2"/>
  <c r="J8" i="2" s="1"/>
  <c r="J11" i="2" s="1"/>
  <c r="G6" i="2"/>
  <c r="G8" i="2" s="1"/>
  <c r="G11" i="2" s="1"/>
  <c r="K6" i="3"/>
  <c r="K8" i="3" s="1"/>
  <c r="K11" i="3" s="1"/>
  <c r="D6" i="3"/>
  <c r="D8" i="3" s="1"/>
  <c r="D11" i="3" s="1"/>
  <c r="C6" i="3"/>
  <c r="C8" i="3" s="1"/>
  <c r="C11" i="3" s="1"/>
  <c r="J6" i="3"/>
  <c r="J8" i="3" s="1"/>
  <c r="J11" i="3" s="1"/>
  <c r="I6" i="3"/>
  <c r="I8" i="3" s="1"/>
  <c r="I11" i="3" s="1"/>
  <c r="H6" i="3"/>
  <c r="H8" i="3" s="1"/>
  <c r="H11" i="3" s="1"/>
  <c r="G6" i="3"/>
  <c r="G8" i="3" s="1"/>
  <c r="G11" i="3" s="1"/>
  <c r="E6" i="3"/>
  <c r="E8" i="3" s="1"/>
  <c r="E11" i="3" s="1"/>
  <c r="F6" i="3"/>
  <c r="F8" i="3" s="1"/>
  <c r="F11" i="3" s="1"/>
  <c r="I6" i="2"/>
  <c r="I8" i="2" s="1"/>
  <c r="I11" i="2" s="1"/>
  <c r="K6" i="2"/>
  <c r="K8" i="2" s="1"/>
  <c r="K11" i="2" s="1"/>
</calcChain>
</file>

<file path=xl/sharedStrings.xml><?xml version="1.0" encoding="utf-8"?>
<sst xmlns="http://schemas.openxmlformats.org/spreadsheetml/2006/main" count="102" uniqueCount="39">
  <si>
    <t>Mon</t>
  </si>
  <si>
    <t>Tues</t>
  </si>
  <si>
    <t>Wed</t>
  </si>
  <si>
    <t>Thurs</t>
  </si>
  <si>
    <t>Fri</t>
  </si>
  <si>
    <t>AM (9-12noon)</t>
  </si>
  <si>
    <t>PM (2-5pm)</t>
  </si>
  <si>
    <t>Staff</t>
  </si>
  <si>
    <t>Patients</t>
  </si>
  <si>
    <t>Based on:</t>
  </si>
  <si>
    <t>Assumptions:</t>
  </si>
  <si>
    <t xml:space="preserve">Parking demand </t>
  </si>
  <si>
    <t>Max Staff on site</t>
  </si>
  <si>
    <t>Broadly 2/3 of Staff arrive by/need access to car</t>
  </si>
  <si>
    <t xml:space="preserve">Patients as assumed to be on site for 30min a for a Face to Face Appoinment </t>
  </si>
  <si>
    <t>AM and PM Split % (Estimate)</t>
  </si>
  <si>
    <t xml:space="preserve">Ambluant patient parking needs at anytime during this shift </t>
  </si>
  <si>
    <t>Total on-site patient attendances (F2F appts) for the day</t>
  </si>
  <si>
    <t>On site patient attendees only (taking account of DNA's).</t>
  </si>
  <si>
    <t>Staff Roll: (Non-Clinical, Clinical and ARRS/PCN)@March 2025</t>
  </si>
  <si>
    <t>TYPICAL TOTAL PARKING REQUIREMENT FOR SHIFT</t>
  </si>
  <si>
    <t xml:space="preserve">Patients on site at anytime </t>
  </si>
  <si>
    <t xml:space="preserve">Disabled Parking/Ambulance Requirement (estimate) </t>
  </si>
  <si>
    <t>Assumed Typical Modal Split: Car 30%, Walk 50%, Bus 10%, Other 10%</t>
  </si>
  <si>
    <t>List Size Growth Forcast</t>
  </si>
  <si>
    <t>Known Growth</t>
  </si>
  <si>
    <t>AVERAGE PA</t>
  </si>
  <si>
    <t>NMMP: Car Parking and Vehicle Movement  (2027 - Opening Date)</t>
  </si>
  <si>
    <r>
      <t>Known/</t>
    </r>
    <r>
      <rPr>
        <sz val="11"/>
        <color rgb="FFFF0000"/>
        <rFont val="Aptos Narrow"/>
        <family val="2"/>
        <scheme val="minor"/>
      </rPr>
      <t>Forecast</t>
    </r>
    <r>
      <rPr>
        <sz val="11"/>
        <color theme="1"/>
        <rFont val="Aptos Narrow"/>
        <family val="2"/>
        <scheme val="minor"/>
      </rPr>
      <t xml:space="preserve"> List Size</t>
    </r>
  </si>
  <si>
    <t>Staff Growth ?? - assumed 25</t>
  </si>
  <si>
    <t>Staff Growth ?? - 30</t>
  </si>
  <si>
    <t xml:space="preserve">Patients on site at any one time </t>
  </si>
  <si>
    <t>Total on-site patient attendances (F2F appts) for the day + 20 'other' patient visits</t>
  </si>
  <si>
    <t>NMMP: Car Parking and Vehicle Movement  (2035 - Forcast)</t>
  </si>
  <si>
    <t>NMMP: Car Parking and Vehicle Movements  (2025)</t>
  </si>
  <si>
    <t>TYPICAL NUMBER OF VISITORS BY CAR PER SHIFT</t>
  </si>
  <si>
    <t>14.3% Growth in List Size (based on past 5 years)</t>
  </si>
  <si>
    <t>14.3% Growth in List size (based on past 5 years)</t>
  </si>
  <si>
    <t>Based on patient face-to-face appointment data – 8 week average (6th Jan – 28th Feb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</si>
</sst>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FF0000"/>
      <name val="Aptos Narrow"/>
      <family val="2"/>
      <scheme val="minor"/>
    </font>
    <font>
      <sz val="11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15" xfId="0" applyFont="1" applyBorder="1" applyAlignment="1">
      <alignment vertical="center" wrapText="1"/>
    </xf>
    <xf numFmtId="0" fontId="0" fillId="0" borderId="0" xfId="0" applyFont="1"/>
    <xf numFmtId="0" fontId="4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1" fontId="2" fillId="0" borderId="19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vertical="center" wrapText="1"/>
    </xf>
    <xf numFmtId="1" fontId="4" fillId="0" borderId="0" xfId="0" applyNumberFormat="1" applyFont="1"/>
    <xf numFmtId="0" fontId="5" fillId="2" borderId="16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1" fontId="1" fillId="0" borderId="20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B594-C1FF-4BC1-9080-A7AA07D48818}">
  <sheetPr>
    <pageSetUpPr fitToPage="1"/>
  </sheetPr>
  <dimension ref="A1:L28"/>
  <sheetViews>
    <sheetView tabSelected="1" zoomScale="130" zoomScaleNormal="130" workbookViewId="0">
      <selection activeCell="B10" sqref="B10"/>
    </sheetView>
  </sheetViews>
  <sheetFormatPr defaultRowHeight="15" x14ac:dyDescent="0.25"/>
  <cols>
    <col min="1" max="1" width="14" customWidth="1"/>
    <col min="2" max="2" width="32.5703125" customWidth="1"/>
    <col min="5" max="5" width="10.140625" customWidth="1"/>
    <col min="7" max="7" width="10.28515625" customWidth="1"/>
    <col min="9" max="9" width="10.85546875" customWidth="1"/>
    <col min="11" max="11" width="10.42578125" customWidth="1"/>
  </cols>
  <sheetData>
    <row r="1" spans="1:12" ht="27" customHeight="1" thickBot="1" x14ac:dyDescent="0.3">
      <c r="A1" s="11" t="s">
        <v>34</v>
      </c>
    </row>
    <row r="2" spans="1:12" ht="16.5" thickTop="1" thickBot="1" x14ac:dyDescent="0.3">
      <c r="A2" s="1"/>
      <c r="B2" s="2"/>
      <c r="C2" s="50" t="s">
        <v>0</v>
      </c>
      <c r="D2" s="50"/>
      <c r="E2" s="50" t="s">
        <v>1</v>
      </c>
      <c r="F2" s="50"/>
      <c r="G2" s="50" t="s">
        <v>2</v>
      </c>
      <c r="H2" s="50"/>
      <c r="I2" s="50" t="s">
        <v>3</v>
      </c>
      <c r="J2" s="50"/>
      <c r="K2" s="50" t="s">
        <v>4</v>
      </c>
      <c r="L2" s="50"/>
    </row>
    <row r="3" spans="1:12" ht="31.5" thickTop="1" thickBot="1" x14ac:dyDescent="0.3">
      <c r="A3" s="3"/>
      <c r="B3" s="4"/>
      <c r="C3" s="39" t="s">
        <v>5</v>
      </c>
      <c r="D3" s="39" t="s">
        <v>6</v>
      </c>
      <c r="E3" s="39" t="s">
        <v>5</v>
      </c>
      <c r="F3" s="39" t="s">
        <v>6</v>
      </c>
      <c r="G3" s="39" t="s">
        <v>5</v>
      </c>
      <c r="H3" s="39" t="s">
        <v>6</v>
      </c>
      <c r="I3" s="39" t="s">
        <v>5</v>
      </c>
      <c r="J3" s="39" t="s">
        <v>6</v>
      </c>
      <c r="K3" s="39" t="s">
        <v>5</v>
      </c>
      <c r="L3" s="39" t="s">
        <v>6</v>
      </c>
    </row>
    <row r="4" spans="1:12" ht="27" customHeight="1" thickTop="1" thickBot="1" x14ac:dyDescent="0.3">
      <c r="A4" s="48" t="s">
        <v>7</v>
      </c>
      <c r="B4" s="20" t="s">
        <v>12</v>
      </c>
      <c r="C4" s="43">
        <v>21</v>
      </c>
      <c r="D4" s="44">
        <v>21</v>
      </c>
      <c r="E4" s="43">
        <v>21</v>
      </c>
      <c r="F4" s="44">
        <v>21</v>
      </c>
      <c r="G4" s="43">
        <v>21</v>
      </c>
      <c r="H4" s="44">
        <v>21</v>
      </c>
      <c r="I4" s="43">
        <v>21</v>
      </c>
      <c r="J4" s="45">
        <v>21</v>
      </c>
      <c r="K4" s="46">
        <v>21</v>
      </c>
      <c r="L4" s="47">
        <v>21</v>
      </c>
    </row>
    <row r="5" spans="1:12" ht="29.25" customHeight="1" thickTop="1" thickBot="1" x14ac:dyDescent="0.3">
      <c r="A5" s="49"/>
      <c r="B5" s="12" t="s">
        <v>11</v>
      </c>
      <c r="C5" s="7">
        <f t="shared" ref="C5:L5" si="0">C4/1.5</f>
        <v>14</v>
      </c>
      <c r="D5" s="8">
        <f t="shared" si="0"/>
        <v>14</v>
      </c>
      <c r="E5" s="7">
        <f t="shared" si="0"/>
        <v>14</v>
      </c>
      <c r="F5" s="8">
        <f t="shared" si="0"/>
        <v>14</v>
      </c>
      <c r="G5" s="7">
        <f t="shared" si="0"/>
        <v>14</v>
      </c>
      <c r="H5" s="8">
        <f t="shared" si="0"/>
        <v>14</v>
      </c>
      <c r="I5" s="7">
        <f t="shared" si="0"/>
        <v>14</v>
      </c>
      <c r="J5" s="15">
        <f t="shared" si="0"/>
        <v>14</v>
      </c>
      <c r="K5" s="28">
        <f t="shared" si="0"/>
        <v>14</v>
      </c>
      <c r="L5" s="29">
        <f t="shared" si="0"/>
        <v>14</v>
      </c>
    </row>
    <row r="6" spans="1:12" ht="32.25" customHeight="1" thickTop="1" x14ac:dyDescent="0.25">
      <c r="A6" s="53" t="s">
        <v>8</v>
      </c>
      <c r="B6" s="21" t="s">
        <v>31</v>
      </c>
      <c r="C6" s="22">
        <f>($C$10/100*C7)/5</f>
        <v>9.3800000000000008</v>
      </c>
      <c r="D6" s="22">
        <f>($C$10/100*D7)/6</f>
        <v>3.35</v>
      </c>
      <c r="E6" s="22">
        <f>($E$10/100*E7)/6</f>
        <v>4.5833333333333339</v>
      </c>
      <c r="F6" s="22">
        <f>($E$10/100*F7)/6</f>
        <v>4.5833333333333339</v>
      </c>
      <c r="G6" s="22">
        <f>($G$10/100*G7)/6</f>
        <v>5.833333333333333</v>
      </c>
      <c r="H6" s="22">
        <f>($G$10/100*H7)/6</f>
        <v>2.5</v>
      </c>
      <c r="I6" s="22">
        <f>($I$10/100*I7)/6</f>
        <v>5.4000000000000012</v>
      </c>
      <c r="J6" s="22">
        <f>($I$10/100*J7)/6</f>
        <v>3.6</v>
      </c>
      <c r="K6" s="22">
        <f>($K$10/100*K7)/6</f>
        <v>4.083333333333333</v>
      </c>
      <c r="L6" s="22">
        <f>($K$10/100*L7)/6</f>
        <v>4.083333333333333</v>
      </c>
    </row>
    <row r="7" spans="1:12" s="14" customFormat="1" ht="32.25" customHeight="1" x14ac:dyDescent="0.25">
      <c r="A7" s="53"/>
      <c r="B7" s="21" t="s">
        <v>15</v>
      </c>
      <c r="C7" s="23">
        <v>70</v>
      </c>
      <c r="D7" s="23">
        <v>30</v>
      </c>
      <c r="E7" s="23">
        <v>50</v>
      </c>
      <c r="F7" s="24">
        <v>50</v>
      </c>
      <c r="G7" s="23">
        <v>70</v>
      </c>
      <c r="H7" s="24">
        <v>30</v>
      </c>
      <c r="I7" s="23">
        <v>60</v>
      </c>
      <c r="J7" s="24">
        <v>40</v>
      </c>
      <c r="K7" s="23">
        <v>50</v>
      </c>
      <c r="L7" s="24">
        <v>50</v>
      </c>
    </row>
    <row r="8" spans="1:12" ht="41.25" customHeight="1" x14ac:dyDescent="0.25">
      <c r="A8" s="54"/>
      <c r="B8" s="5" t="s">
        <v>16</v>
      </c>
      <c r="C8" s="9">
        <f t="shared" ref="C8:L8" si="1">ROUNDUP(C6/3,0)</f>
        <v>4</v>
      </c>
      <c r="D8" s="10">
        <f t="shared" si="1"/>
        <v>2</v>
      </c>
      <c r="E8" s="9">
        <f t="shared" si="1"/>
        <v>2</v>
      </c>
      <c r="F8" s="10">
        <f t="shared" si="1"/>
        <v>2</v>
      </c>
      <c r="G8" s="9">
        <f t="shared" si="1"/>
        <v>2</v>
      </c>
      <c r="H8" s="10">
        <f t="shared" si="1"/>
        <v>1</v>
      </c>
      <c r="I8" s="9">
        <f t="shared" si="1"/>
        <v>2</v>
      </c>
      <c r="J8" s="10">
        <f t="shared" si="1"/>
        <v>2</v>
      </c>
      <c r="K8" s="9">
        <f t="shared" si="1"/>
        <v>2</v>
      </c>
      <c r="L8" s="10">
        <f t="shared" si="1"/>
        <v>2</v>
      </c>
    </row>
    <row r="9" spans="1:12" ht="42" customHeight="1" x14ac:dyDescent="0.25">
      <c r="A9" s="55"/>
      <c r="B9" s="16" t="s">
        <v>22</v>
      </c>
      <c r="C9" s="17">
        <v>2</v>
      </c>
      <c r="D9" s="18">
        <v>2</v>
      </c>
      <c r="E9" s="17">
        <v>2</v>
      </c>
      <c r="F9" s="18">
        <v>2</v>
      </c>
      <c r="G9" s="17">
        <v>2</v>
      </c>
      <c r="H9" s="18">
        <v>2</v>
      </c>
      <c r="I9" s="17">
        <v>2</v>
      </c>
      <c r="J9" s="18">
        <v>2</v>
      </c>
      <c r="K9" s="17">
        <v>2</v>
      </c>
      <c r="L9" s="18">
        <v>2</v>
      </c>
    </row>
    <row r="10" spans="1:12" ht="45.75" thickBot="1" x14ac:dyDescent="0.3">
      <c r="A10" s="55"/>
      <c r="B10" s="25" t="s">
        <v>32</v>
      </c>
      <c r="C10" s="51">
        <f>ROUNDUP(375/8,0)+20</f>
        <v>67</v>
      </c>
      <c r="D10" s="52"/>
      <c r="E10" s="51">
        <f>ROUNDUP(274/8,0)+20</f>
        <v>55</v>
      </c>
      <c r="F10" s="52"/>
      <c r="G10" s="51">
        <f>ROUNDUP(238/8,0)+20</f>
        <v>50</v>
      </c>
      <c r="H10" s="52"/>
      <c r="I10" s="51">
        <f>ROUNDUP(271/8,0)+20</f>
        <v>54</v>
      </c>
      <c r="J10" s="52"/>
      <c r="K10" s="51">
        <f>ROUNDUP(229/8,0)+20</f>
        <v>49</v>
      </c>
      <c r="L10" s="52"/>
    </row>
    <row r="11" spans="1:12" ht="31.5" customHeight="1" thickTop="1" thickBot="1" x14ac:dyDescent="0.3">
      <c r="A11" s="56" t="s">
        <v>20</v>
      </c>
      <c r="B11" s="57"/>
      <c r="C11" s="37">
        <f t="shared" ref="C11:L11" si="2">SUM(C5,C8,C9)</f>
        <v>20</v>
      </c>
      <c r="D11" s="35">
        <f t="shared" si="2"/>
        <v>18</v>
      </c>
      <c r="E11" s="36">
        <f t="shared" si="2"/>
        <v>18</v>
      </c>
      <c r="F11" s="35">
        <f t="shared" si="2"/>
        <v>18</v>
      </c>
      <c r="G11" s="36">
        <f t="shared" si="2"/>
        <v>18</v>
      </c>
      <c r="H11" s="33">
        <f t="shared" si="2"/>
        <v>17</v>
      </c>
      <c r="I11" s="36">
        <f t="shared" si="2"/>
        <v>18</v>
      </c>
      <c r="J11" s="35">
        <f t="shared" si="2"/>
        <v>18</v>
      </c>
      <c r="K11" s="34">
        <f t="shared" si="2"/>
        <v>18</v>
      </c>
      <c r="L11" s="35">
        <f t="shared" si="2"/>
        <v>18</v>
      </c>
    </row>
    <row r="12" spans="1:12" ht="31.5" customHeight="1" thickTop="1" thickBot="1" x14ac:dyDescent="0.3">
      <c r="A12" s="56" t="s">
        <v>35</v>
      </c>
      <c r="B12" s="57"/>
      <c r="C12" s="32">
        <f>($C$10/100*C7)+C5</f>
        <v>60.900000000000006</v>
      </c>
      <c r="D12" s="42">
        <f>($C$10/100*D7)+D5</f>
        <v>34.1</v>
      </c>
      <c r="E12" s="37">
        <f>($E$10/100*E7)+E5</f>
        <v>41.5</v>
      </c>
      <c r="F12" s="42">
        <f t="shared" ref="F12" si="3">($E$10/100*F7)+F5</f>
        <v>41.5</v>
      </c>
      <c r="G12" s="37">
        <f>($G$10/100*G7)+G5</f>
        <v>49</v>
      </c>
      <c r="H12" s="42">
        <f t="shared" ref="H12" si="4">($G$10/100*H7)+H5</f>
        <v>29</v>
      </c>
      <c r="I12" s="37">
        <f>($I$10/100*I7)+I5</f>
        <v>46.400000000000006</v>
      </c>
      <c r="J12" s="42">
        <f t="shared" ref="J12" si="5">($I$10/100*J7)+J5</f>
        <v>35.6</v>
      </c>
      <c r="K12" s="37">
        <f>($K$10/100*K7)+K5</f>
        <v>38.5</v>
      </c>
      <c r="L12" s="42">
        <f>($K$10/100*L7)+L5</f>
        <v>38.5</v>
      </c>
    </row>
    <row r="13" spans="1:12" ht="15.75" thickTop="1" x14ac:dyDescent="0.25"/>
    <row r="14" spans="1:12" x14ac:dyDescent="0.25">
      <c r="A14" s="6" t="s">
        <v>9</v>
      </c>
    </row>
    <row r="15" spans="1:12" x14ac:dyDescent="0.25">
      <c r="A15" s="13" t="s">
        <v>13</v>
      </c>
    </row>
    <row r="16" spans="1:12" x14ac:dyDescent="0.25">
      <c r="A16" t="s">
        <v>38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14</v>
      </c>
    </row>
    <row r="20" spans="1:1" x14ac:dyDescent="0.25">
      <c r="A20" t="s">
        <v>23</v>
      </c>
    </row>
    <row r="22" spans="1:1" ht="22.5" customHeight="1" x14ac:dyDescent="0.25"/>
    <row r="28" spans="1:1" ht="27.75" customHeight="1" x14ac:dyDescent="0.25"/>
  </sheetData>
  <mergeCells count="14">
    <mergeCell ref="A6:A10"/>
    <mergeCell ref="A11:B11"/>
    <mergeCell ref="A12:B12"/>
    <mergeCell ref="K2:L2"/>
    <mergeCell ref="C10:D10"/>
    <mergeCell ref="E10:F10"/>
    <mergeCell ref="G10:H10"/>
    <mergeCell ref="I10:J10"/>
    <mergeCell ref="K10:L10"/>
    <mergeCell ref="A4:A5"/>
    <mergeCell ref="C2:D2"/>
    <mergeCell ref="E2:F2"/>
    <mergeCell ref="G2:H2"/>
    <mergeCell ref="I2:J2"/>
  </mergeCells>
  <pageMargins left="0.7" right="0.7" top="0.75" bottom="0.75" header="0.3" footer="0.3"/>
  <pageSetup paperSize="9" scale="9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6C11-6E0C-419A-9088-B6BEB1950018}">
  <sheetPr>
    <pageSetUpPr fitToPage="1"/>
  </sheetPr>
  <dimension ref="A1:L36"/>
  <sheetViews>
    <sheetView zoomScale="130" zoomScaleNormal="130" workbookViewId="0">
      <selection activeCell="B6" sqref="A6:XFD6"/>
    </sheetView>
  </sheetViews>
  <sheetFormatPr defaultRowHeight="15" x14ac:dyDescent="0.25"/>
  <cols>
    <col min="1" max="1" width="13.140625" customWidth="1"/>
    <col min="2" max="2" width="31.7109375" customWidth="1"/>
    <col min="3" max="3" width="10.140625" customWidth="1"/>
  </cols>
  <sheetData>
    <row r="1" spans="1:12" ht="15.75" thickBot="1" x14ac:dyDescent="0.3">
      <c r="A1" s="11" t="s">
        <v>27</v>
      </c>
    </row>
    <row r="2" spans="1:12" ht="16.5" thickTop="1" thickBot="1" x14ac:dyDescent="0.3">
      <c r="A2" s="1"/>
      <c r="B2" s="2"/>
      <c r="C2" s="50" t="s">
        <v>0</v>
      </c>
      <c r="D2" s="50"/>
      <c r="E2" s="50" t="s">
        <v>1</v>
      </c>
      <c r="F2" s="50"/>
      <c r="G2" s="50" t="s">
        <v>2</v>
      </c>
      <c r="H2" s="50"/>
      <c r="I2" s="50" t="s">
        <v>3</v>
      </c>
      <c r="J2" s="50"/>
      <c r="K2" s="50" t="s">
        <v>4</v>
      </c>
      <c r="L2" s="50"/>
    </row>
    <row r="3" spans="1:12" ht="31.5" thickTop="1" thickBot="1" x14ac:dyDescent="0.3">
      <c r="A3" s="3"/>
      <c r="B3" s="4"/>
      <c r="C3" s="39" t="s">
        <v>5</v>
      </c>
      <c r="D3" s="39" t="s">
        <v>6</v>
      </c>
      <c r="E3" s="39" t="s">
        <v>5</v>
      </c>
      <c r="F3" s="39" t="s">
        <v>6</v>
      </c>
      <c r="G3" s="39" t="s">
        <v>5</v>
      </c>
      <c r="H3" s="39" t="s">
        <v>6</v>
      </c>
      <c r="I3" s="39" t="s">
        <v>5</v>
      </c>
      <c r="J3" s="39" t="s">
        <v>6</v>
      </c>
      <c r="K3" s="39" t="s">
        <v>5</v>
      </c>
      <c r="L3" s="39" t="s">
        <v>6</v>
      </c>
    </row>
    <row r="4" spans="1:12" ht="16.5" thickTop="1" thickBot="1" x14ac:dyDescent="0.3">
      <c r="A4" s="48" t="s">
        <v>7</v>
      </c>
      <c r="B4" s="20" t="s">
        <v>12</v>
      </c>
      <c r="C4" s="27">
        <v>25</v>
      </c>
      <c r="D4" s="27">
        <v>25</v>
      </c>
      <c r="E4" s="27">
        <v>25</v>
      </c>
      <c r="F4" s="27">
        <v>25</v>
      </c>
      <c r="G4" s="27">
        <v>25</v>
      </c>
      <c r="H4" s="27">
        <v>25</v>
      </c>
      <c r="I4" s="27">
        <v>25</v>
      </c>
      <c r="J4" s="27">
        <v>25</v>
      </c>
      <c r="K4" s="27">
        <v>25</v>
      </c>
      <c r="L4" s="27">
        <v>25</v>
      </c>
    </row>
    <row r="5" spans="1:12" ht="35.25" customHeight="1" thickTop="1" thickBot="1" x14ac:dyDescent="0.3">
      <c r="A5" s="49"/>
      <c r="B5" s="12" t="s">
        <v>11</v>
      </c>
      <c r="C5" s="28">
        <f>ROUNDUP(C4/1.5,0)</f>
        <v>17</v>
      </c>
      <c r="D5" s="30">
        <f>ROUNDUP(D4/1.5,0)</f>
        <v>17</v>
      </c>
      <c r="E5" s="28">
        <f t="shared" ref="E5:L5" si="0">ROUNDUP(E4/1.5,0)</f>
        <v>17</v>
      </c>
      <c r="F5" s="29">
        <f t="shared" si="0"/>
        <v>17</v>
      </c>
      <c r="G5" s="31">
        <f t="shared" si="0"/>
        <v>17</v>
      </c>
      <c r="H5" s="30">
        <f t="shared" si="0"/>
        <v>17</v>
      </c>
      <c r="I5" s="28">
        <f t="shared" si="0"/>
        <v>17</v>
      </c>
      <c r="J5" s="29">
        <f t="shared" si="0"/>
        <v>17</v>
      </c>
      <c r="K5" s="31">
        <f t="shared" si="0"/>
        <v>17</v>
      </c>
      <c r="L5" s="29">
        <f t="shared" si="0"/>
        <v>17</v>
      </c>
    </row>
    <row r="6" spans="1:12" ht="15.75" thickTop="1" x14ac:dyDescent="0.25">
      <c r="A6" s="53" t="s">
        <v>8</v>
      </c>
      <c r="B6" s="21" t="s">
        <v>21</v>
      </c>
      <c r="C6" s="23">
        <f>($C$10/100*C7)/6</f>
        <v>9.8666666666666671</v>
      </c>
      <c r="D6" s="23">
        <f>($C$10/100*D7)/6</f>
        <v>2.4666666666666668</v>
      </c>
      <c r="E6" s="23">
        <f>($E$10/100*E7)/6</f>
        <v>5</v>
      </c>
      <c r="F6" s="23">
        <f>($E$10/100*F7)/6</f>
        <v>5</v>
      </c>
      <c r="G6" s="23">
        <f>($G$10/100*G7)/6</f>
        <v>6.416666666666667</v>
      </c>
      <c r="H6" s="23">
        <f>($G$10/100*H7)/6</f>
        <v>2.75</v>
      </c>
      <c r="I6" s="23">
        <f>($I$10/100*I7)/6</f>
        <v>5.8999999999999995</v>
      </c>
      <c r="J6" s="23">
        <f>($I$10/100*J7)/6</f>
        <v>3.9333333333333331</v>
      </c>
      <c r="K6" s="23">
        <f>($K$10/100*K7)/6</f>
        <v>4.416666666666667</v>
      </c>
      <c r="L6" s="23">
        <f>($K$10/100*L7)/6</f>
        <v>4.416666666666667</v>
      </c>
    </row>
    <row r="7" spans="1:12" x14ac:dyDescent="0.25">
      <c r="A7" s="53"/>
      <c r="B7" s="21" t="s">
        <v>15</v>
      </c>
      <c r="C7" s="23">
        <v>80</v>
      </c>
      <c r="D7" s="23">
        <v>20</v>
      </c>
      <c r="E7" s="23">
        <v>50</v>
      </c>
      <c r="F7" s="24">
        <v>50</v>
      </c>
      <c r="G7" s="23">
        <v>70</v>
      </c>
      <c r="H7" s="24">
        <v>30</v>
      </c>
      <c r="I7" s="23">
        <v>60</v>
      </c>
      <c r="J7" s="24">
        <v>40</v>
      </c>
      <c r="K7" s="23">
        <v>50</v>
      </c>
      <c r="L7" s="24">
        <v>50</v>
      </c>
    </row>
    <row r="8" spans="1:12" ht="45" customHeight="1" x14ac:dyDescent="0.25">
      <c r="A8" s="54"/>
      <c r="B8" s="5" t="s">
        <v>16</v>
      </c>
      <c r="C8" s="9">
        <f t="shared" ref="C8:L8" si="1">ROUNDUP(C6/3,0)</f>
        <v>4</v>
      </c>
      <c r="D8" s="10">
        <f t="shared" si="1"/>
        <v>1</v>
      </c>
      <c r="E8" s="9">
        <f t="shared" si="1"/>
        <v>2</v>
      </c>
      <c r="F8" s="10">
        <f t="shared" si="1"/>
        <v>2</v>
      </c>
      <c r="G8" s="9">
        <f t="shared" si="1"/>
        <v>3</v>
      </c>
      <c r="H8" s="10">
        <f t="shared" si="1"/>
        <v>1</v>
      </c>
      <c r="I8" s="9">
        <f t="shared" si="1"/>
        <v>2</v>
      </c>
      <c r="J8" s="10">
        <f t="shared" si="1"/>
        <v>2</v>
      </c>
      <c r="K8" s="9">
        <f t="shared" si="1"/>
        <v>2</v>
      </c>
      <c r="L8" s="10">
        <f t="shared" si="1"/>
        <v>2</v>
      </c>
    </row>
    <row r="9" spans="1:12" ht="42.75" customHeight="1" x14ac:dyDescent="0.25">
      <c r="A9" s="55"/>
      <c r="B9" s="16" t="s">
        <v>22</v>
      </c>
      <c r="C9" s="17">
        <v>3</v>
      </c>
      <c r="D9" s="18">
        <v>3</v>
      </c>
      <c r="E9" s="17">
        <v>3</v>
      </c>
      <c r="F9" s="18">
        <v>3</v>
      </c>
      <c r="G9" s="17">
        <v>3</v>
      </c>
      <c r="H9" s="18">
        <v>3</v>
      </c>
      <c r="I9" s="17">
        <v>3</v>
      </c>
      <c r="J9" s="18">
        <v>3</v>
      </c>
      <c r="K9" s="17">
        <v>3</v>
      </c>
      <c r="L9" s="18">
        <v>3</v>
      </c>
    </row>
    <row r="10" spans="1:12" ht="45.75" thickBot="1" x14ac:dyDescent="0.3">
      <c r="A10" s="55"/>
      <c r="B10" s="25" t="s">
        <v>17</v>
      </c>
      <c r="C10" s="51">
        <f>ROUNDUP((375/8)/100*(100+$C$28),0)+20</f>
        <v>74</v>
      </c>
      <c r="D10" s="52"/>
      <c r="E10" s="51">
        <f>ROUNDUP((274/8)/100*(100+$C$28),0)+20</f>
        <v>60</v>
      </c>
      <c r="F10" s="52"/>
      <c r="G10" s="51">
        <f>ROUNDUP((238/8)/100*(100+$C$28),0)+20</f>
        <v>55</v>
      </c>
      <c r="H10" s="52"/>
      <c r="I10" s="51">
        <f>ROUNDUP((271/8)/100*(100+$C$28),0)+20</f>
        <v>59</v>
      </c>
      <c r="J10" s="52"/>
      <c r="K10" s="51">
        <f>ROUNDUP((229/8)/100*(100+$C$28),0)+20</f>
        <v>53</v>
      </c>
      <c r="L10" s="52"/>
    </row>
    <row r="11" spans="1:12" ht="33.75" customHeight="1" thickTop="1" thickBot="1" x14ac:dyDescent="0.3">
      <c r="A11" s="56" t="s">
        <v>20</v>
      </c>
      <c r="B11" s="57"/>
      <c r="C11" s="32">
        <f t="shared" ref="C11:L11" si="2">SUM(C5,C8,C9)</f>
        <v>24</v>
      </c>
      <c r="D11" s="33">
        <f t="shared" si="2"/>
        <v>21</v>
      </c>
      <c r="E11" s="36">
        <f t="shared" si="2"/>
        <v>22</v>
      </c>
      <c r="F11" s="35">
        <f t="shared" si="2"/>
        <v>22</v>
      </c>
      <c r="G11" s="34">
        <f t="shared" si="2"/>
        <v>23</v>
      </c>
      <c r="H11" s="33">
        <f t="shared" si="2"/>
        <v>21</v>
      </c>
      <c r="I11" s="36">
        <f t="shared" si="2"/>
        <v>22</v>
      </c>
      <c r="J11" s="35">
        <f t="shared" si="2"/>
        <v>22</v>
      </c>
      <c r="K11" s="34">
        <f t="shared" si="2"/>
        <v>22</v>
      </c>
      <c r="L11" s="35">
        <f t="shared" si="2"/>
        <v>22</v>
      </c>
    </row>
    <row r="12" spans="1:12" ht="32.25" customHeight="1" thickTop="1" thickBot="1" x14ac:dyDescent="0.3">
      <c r="A12" s="56" t="s">
        <v>35</v>
      </c>
      <c r="B12" s="57"/>
      <c r="C12" s="32">
        <f>($C$10/100*C7)+C5</f>
        <v>76.2</v>
      </c>
      <c r="D12" s="42">
        <f>($C$10/100*D7)+D5</f>
        <v>31.8</v>
      </c>
      <c r="E12" s="37">
        <f>($E$10/100*E7)+E5</f>
        <v>47</v>
      </c>
      <c r="F12" s="42">
        <f t="shared" ref="F12" si="3">($E$10/100*F7)+F5</f>
        <v>47</v>
      </c>
      <c r="G12" s="37">
        <f>($G$10/100*G7)+G5</f>
        <v>55.5</v>
      </c>
      <c r="H12" s="42">
        <f t="shared" ref="H12" si="4">($G$10/100*H7)+H5</f>
        <v>33.5</v>
      </c>
      <c r="I12" s="37">
        <f>($I$10/100*I7)+I5</f>
        <v>52.4</v>
      </c>
      <c r="J12" s="42">
        <f t="shared" ref="J12" si="5">($I$10/100*J7)+J5</f>
        <v>40.599999999999994</v>
      </c>
      <c r="K12" s="37">
        <f>($K$10/100*K7)+K5</f>
        <v>43.5</v>
      </c>
      <c r="L12" s="42">
        <f>($K$10/100*L7)+L5</f>
        <v>43.5</v>
      </c>
    </row>
    <row r="13" spans="1:12" ht="21.75" customHeight="1" thickTop="1" x14ac:dyDescent="0.25">
      <c r="A13" s="40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x14ac:dyDescent="0.25">
      <c r="A14" s="6" t="s">
        <v>10</v>
      </c>
    </row>
    <row r="16" spans="1:12" x14ac:dyDescent="0.25">
      <c r="A16" t="s">
        <v>37</v>
      </c>
    </row>
    <row r="17" spans="1:4" x14ac:dyDescent="0.25">
      <c r="A17" t="s">
        <v>29</v>
      </c>
    </row>
    <row r="19" spans="1:4" hidden="1" x14ac:dyDescent="0.25"/>
    <row r="20" spans="1:4" hidden="1" x14ac:dyDescent="0.25">
      <c r="A20" t="s">
        <v>24</v>
      </c>
    </row>
    <row r="21" spans="1:4" hidden="1" x14ac:dyDescent="0.25"/>
    <row r="22" spans="1:4" hidden="1" x14ac:dyDescent="0.25">
      <c r="A22">
        <v>2021</v>
      </c>
      <c r="B22" t="s">
        <v>28</v>
      </c>
      <c r="C22" t="s">
        <v>25</v>
      </c>
    </row>
    <row r="23" spans="1:4" hidden="1" x14ac:dyDescent="0.25">
      <c r="A23">
        <v>2022</v>
      </c>
      <c r="B23">
        <v>3366</v>
      </c>
      <c r="C23">
        <v>15.3</v>
      </c>
    </row>
    <row r="24" spans="1:4" hidden="1" x14ac:dyDescent="0.25">
      <c r="A24">
        <v>2023</v>
      </c>
      <c r="B24">
        <v>3882</v>
      </c>
      <c r="C24">
        <v>15.8</v>
      </c>
    </row>
    <row r="25" spans="1:4" hidden="1" x14ac:dyDescent="0.25">
      <c r="A25">
        <v>2024</v>
      </c>
      <c r="B25">
        <v>4495</v>
      </c>
      <c r="C25">
        <v>12.4</v>
      </c>
    </row>
    <row r="26" spans="1:4" hidden="1" x14ac:dyDescent="0.25">
      <c r="A26">
        <v>2025</v>
      </c>
      <c r="B26">
        <v>5054</v>
      </c>
      <c r="C26">
        <v>13.7</v>
      </c>
    </row>
    <row r="27" spans="1:4" hidden="1" x14ac:dyDescent="0.25">
      <c r="A27">
        <v>2026</v>
      </c>
      <c r="B27" s="14">
        <v>5746</v>
      </c>
    </row>
    <row r="28" spans="1:4" hidden="1" x14ac:dyDescent="0.25">
      <c r="A28">
        <v>2027</v>
      </c>
      <c r="B28" s="26">
        <f>B27/100*(100+$C$28)</f>
        <v>6567.6779999999999</v>
      </c>
      <c r="C28" s="6">
        <f>AVERAGE(C23:C27)</f>
        <v>14.3</v>
      </c>
      <c r="D28" s="6" t="s">
        <v>26</v>
      </c>
    </row>
    <row r="29" spans="1:4" hidden="1" x14ac:dyDescent="0.25">
      <c r="A29">
        <v>2028</v>
      </c>
      <c r="B29" s="26">
        <f t="shared" ref="B29:B36" si="6">B28/100*(100+$C$28)</f>
        <v>7506.8559539999987</v>
      </c>
    </row>
    <row r="30" spans="1:4" hidden="1" x14ac:dyDescent="0.25">
      <c r="A30">
        <v>2029</v>
      </c>
      <c r="B30" s="26">
        <f t="shared" si="6"/>
        <v>8580.3363554219977</v>
      </c>
    </row>
    <row r="31" spans="1:4" hidden="1" x14ac:dyDescent="0.25">
      <c r="A31">
        <v>2030</v>
      </c>
      <c r="B31" s="26">
        <f t="shared" si="6"/>
        <v>9807.3244542473421</v>
      </c>
    </row>
    <row r="32" spans="1:4" hidden="1" x14ac:dyDescent="0.25">
      <c r="A32">
        <v>2031</v>
      </c>
      <c r="B32" s="26">
        <f t="shared" si="6"/>
        <v>11209.771851204712</v>
      </c>
    </row>
    <row r="33" spans="1:2" hidden="1" x14ac:dyDescent="0.25">
      <c r="A33">
        <v>2032</v>
      </c>
      <c r="B33" s="26">
        <f t="shared" si="6"/>
        <v>12812.769225926986</v>
      </c>
    </row>
    <row r="34" spans="1:2" hidden="1" x14ac:dyDescent="0.25">
      <c r="A34">
        <v>2033</v>
      </c>
      <c r="B34" s="26">
        <f t="shared" si="6"/>
        <v>14644.995225234543</v>
      </c>
    </row>
    <row r="35" spans="1:2" hidden="1" x14ac:dyDescent="0.25">
      <c r="A35">
        <v>2034</v>
      </c>
      <c r="B35" s="26">
        <f t="shared" si="6"/>
        <v>16739.229542443085</v>
      </c>
    </row>
    <row r="36" spans="1:2" hidden="1" x14ac:dyDescent="0.25">
      <c r="A36">
        <v>2035</v>
      </c>
      <c r="B36" s="26">
        <f t="shared" si="6"/>
        <v>19132.939367012445</v>
      </c>
    </row>
  </sheetData>
  <mergeCells count="14">
    <mergeCell ref="I2:J2"/>
    <mergeCell ref="K2:L2"/>
    <mergeCell ref="C2:D2"/>
    <mergeCell ref="E2:F2"/>
    <mergeCell ref="G2:H2"/>
    <mergeCell ref="A12:B12"/>
    <mergeCell ref="I10:J10"/>
    <mergeCell ref="K10:L10"/>
    <mergeCell ref="A11:B11"/>
    <mergeCell ref="A4:A5"/>
    <mergeCell ref="A6:A10"/>
    <mergeCell ref="C10:D10"/>
    <mergeCell ref="E10:F10"/>
    <mergeCell ref="G10:H10"/>
  </mergeCells>
  <pageMargins left="0.7" right="0.7" top="0.75" bottom="0.75" header="0.3" footer="0.3"/>
  <pageSetup paperSize="9"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B943-40A2-4234-9227-70043F5C3DB6}">
  <sheetPr>
    <pageSetUpPr fitToPage="1"/>
  </sheetPr>
  <dimension ref="A1:L36"/>
  <sheetViews>
    <sheetView zoomScale="140" zoomScaleNormal="140" workbookViewId="0">
      <selection activeCell="N6" sqref="N6"/>
    </sheetView>
  </sheetViews>
  <sheetFormatPr defaultRowHeight="15" x14ac:dyDescent="0.25"/>
  <cols>
    <col min="1" max="1" width="21.7109375" customWidth="1"/>
    <col min="2" max="2" width="27.42578125" customWidth="1"/>
  </cols>
  <sheetData>
    <row r="1" spans="1:12" ht="15.75" thickBot="1" x14ac:dyDescent="0.3">
      <c r="A1" s="11" t="s">
        <v>33</v>
      </c>
    </row>
    <row r="2" spans="1:12" ht="16.5" thickTop="1" thickBot="1" x14ac:dyDescent="0.3">
      <c r="A2" s="1"/>
      <c r="B2" s="2"/>
      <c r="C2" s="50" t="s">
        <v>0</v>
      </c>
      <c r="D2" s="50"/>
      <c r="E2" s="50" t="s">
        <v>1</v>
      </c>
      <c r="F2" s="50"/>
      <c r="G2" s="50" t="s">
        <v>2</v>
      </c>
      <c r="H2" s="50"/>
      <c r="I2" s="50" t="s">
        <v>3</v>
      </c>
      <c r="J2" s="50"/>
      <c r="K2" s="50" t="s">
        <v>4</v>
      </c>
      <c r="L2" s="50"/>
    </row>
    <row r="3" spans="1:12" ht="31.5" thickTop="1" thickBot="1" x14ac:dyDescent="0.3">
      <c r="A3" s="3"/>
      <c r="B3" s="4"/>
      <c r="C3" s="39" t="s">
        <v>5</v>
      </c>
      <c r="D3" s="39" t="s">
        <v>6</v>
      </c>
      <c r="E3" s="39" t="s">
        <v>5</v>
      </c>
      <c r="F3" s="39" t="s">
        <v>6</v>
      </c>
      <c r="G3" s="39" t="s">
        <v>5</v>
      </c>
      <c r="H3" s="39" t="s">
        <v>6</v>
      </c>
      <c r="I3" s="39" t="s">
        <v>5</v>
      </c>
      <c r="J3" s="39" t="s">
        <v>6</v>
      </c>
      <c r="K3" s="39" t="s">
        <v>5</v>
      </c>
      <c r="L3" s="39" t="s">
        <v>6</v>
      </c>
    </row>
    <row r="4" spans="1:12" ht="32.25" customHeight="1" thickTop="1" thickBot="1" x14ac:dyDescent="0.3">
      <c r="A4" s="48" t="s">
        <v>7</v>
      </c>
      <c r="B4" s="20" t="s">
        <v>12</v>
      </c>
      <c r="C4" s="27">
        <v>30</v>
      </c>
      <c r="D4" s="27">
        <v>30</v>
      </c>
      <c r="E4" s="19">
        <v>30</v>
      </c>
      <c r="F4" s="19">
        <v>30</v>
      </c>
      <c r="G4" s="19">
        <v>30</v>
      </c>
      <c r="H4" s="19">
        <v>30</v>
      </c>
      <c r="I4" s="27">
        <v>30</v>
      </c>
      <c r="J4" s="27">
        <v>30</v>
      </c>
      <c r="K4" s="27">
        <v>30</v>
      </c>
      <c r="L4" s="27">
        <v>30</v>
      </c>
    </row>
    <row r="5" spans="1:12" ht="36.75" customHeight="1" thickTop="1" thickBot="1" x14ac:dyDescent="0.3">
      <c r="A5" s="49"/>
      <c r="B5" s="12" t="s">
        <v>11</v>
      </c>
      <c r="C5" s="28">
        <f>ROUNDUP(C4/1.5,0)</f>
        <v>20</v>
      </c>
      <c r="D5" s="29">
        <f t="shared" ref="D5:L5" si="0">ROUNDUP(D4/1.5,0)</f>
        <v>20</v>
      </c>
      <c r="E5" s="38">
        <f t="shared" si="0"/>
        <v>20</v>
      </c>
      <c r="F5" s="38">
        <f t="shared" si="0"/>
        <v>20</v>
      </c>
      <c r="G5" s="7">
        <f t="shared" si="0"/>
        <v>20</v>
      </c>
      <c r="H5" s="8">
        <f t="shared" si="0"/>
        <v>20</v>
      </c>
      <c r="I5" s="28">
        <f t="shared" si="0"/>
        <v>20</v>
      </c>
      <c r="J5" s="29">
        <f t="shared" si="0"/>
        <v>20</v>
      </c>
      <c r="K5" s="28">
        <f t="shared" si="0"/>
        <v>20</v>
      </c>
      <c r="L5" s="29">
        <f t="shared" si="0"/>
        <v>20</v>
      </c>
    </row>
    <row r="6" spans="1:12" ht="15.75" thickTop="1" x14ac:dyDescent="0.25">
      <c r="A6" s="53" t="s">
        <v>8</v>
      </c>
      <c r="B6" s="21" t="s">
        <v>21</v>
      </c>
      <c r="C6" s="22">
        <f>($C$10/100*C7)/6</f>
        <v>17.066666666666666</v>
      </c>
      <c r="D6" s="22">
        <f>($C$10/100*D7)/6</f>
        <v>4.2666666666666666</v>
      </c>
      <c r="E6" s="22">
        <f>($E$10/100*E7)/6</f>
        <v>8.25</v>
      </c>
      <c r="F6" s="22">
        <f>($E$10/100*F7)/6</f>
        <v>8.25</v>
      </c>
      <c r="G6" s="22">
        <f>($G$10/100*G7)/6</f>
        <v>10.383333333333335</v>
      </c>
      <c r="H6" s="22">
        <f>($G$10/100*H7)/6</f>
        <v>4.45</v>
      </c>
      <c r="I6" s="22">
        <f>($I$10/100*I7)/6</f>
        <v>9.7999999999999989</v>
      </c>
      <c r="J6" s="22">
        <f>($I$10/100*J7)/6</f>
        <v>6.5333333333333341</v>
      </c>
      <c r="K6" s="22">
        <f>($K$10/100*K7)/6</f>
        <v>7.166666666666667</v>
      </c>
      <c r="L6" s="22">
        <f>($K$10/100*L7)/6</f>
        <v>7.166666666666667</v>
      </c>
    </row>
    <row r="7" spans="1:12" ht="30" x14ac:dyDescent="0.25">
      <c r="A7" s="53"/>
      <c r="B7" s="21" t="s">
        <v>15</v>
      </c>
      <c r="C7" s="23">
        <v>80</v>
      </c>
      <c r="D7" s="23">
        <v>20</v>
      </c>
      <c r="E7" s="23">
        <v>50</v>
      </c>
      <c r="F7" s="24">
        <v>50</v>
      </c>
      <c r="G7" s="23">
        <v>70</v>
      </c>
      <c r="H7" s="24">
        <v>30</v>
      </c>
      <c r="I7" s="23">
        <v>60</v>
      </c>
      <c r="J7" s="24">
        <v>40</v>
      </c>
      <c r="K7" s="23">
        <v>50</v>
      </c>
      <c r="L7" s="24">
        <v>50</v>
      </c>
    </row>
    <row r="8" spans="1:12" ht="57.75" customHeight="1" x14ac:dyDescent="0.25">
      <c r="A8" s="54"/>
      <c r="B8" s="5" t="s">
        <v>16</v>
      </c>
      <c r="C8" s="9">
        <f t="shared" ref="C8:L8" si="1">ROUNDUP(C6/3,0)</f>
        <v>6</v>
      </c>
      <c r="D8" s="10">
        <f t="shared" si="1"/>
        <v>2</v>
      </c>
      <c r="E8" s="9">
        <f t="shared" si="1"/>
        <v>3</v>
      </c>
      <c r="F8" s="10">
        <f t="shared" si="1"/>
        <v>3</v>
      </c>
      <c r="G8" s="9">
        <f t="shared" si="1"/>
        <v>4</v>
      </c>
      <c r="H8" s="10">
        <f t="shared" si="1"/>
        <v>2</v>
      </c>
      <c r="I8" s="9">
        <f t="shared" si="1"/>
        <v>4</v>
      </c>
      <c r="J8" s="10">
        <f t="shared" si="1"/>
        <v>3</v>
      </c>
      <c r="K8" s="9">
        <f t="shared" si="1"/>
        <v>3</v>
      </c>
      <c r="L8" s="10">
        <f t="shared" si="1"/>
        <v>3</v>
      </c>
    </row>
    <row r="9" spans="1:12" ht="56.25" customHeight="1" x14ac:dyDescent="0.25">
      <c r="A9" s="55"/>
      <c r="B9" s="16" t="s">
        <v>22</v>
      </c>
      <c r="C9" s="17">
        <v>3</v>
      </c>
      <c r="D9" s="18">
        <v>3</v>
      </c>
      <c r="E9" s="17">
        <v>3</v>
      </c>
      <c r="F9" s="18">
        <v>3</v>
      </c>
      <c r="G9" s="17">
        <v>3</v>
      </c>
      <c r="H9" s="18">
        <v>3</v>
      </c>
      <c r="I9" s="17">
        <v>3</v>
      </c>
      <c r="J9" s="18">
        <v>3</v>
      </c>
      <c r="K9" s="17">
        <v>3</v>
      </c>
      <c r="L9" s="18">
        <v>3</v>
      </c>
    </row>
    <row r="10" spans="1:12" ht="45.75" thickBot="1" x14ac:dyDescent="0.3">
      <c r="A10" s="55"/>
      <c r="B10" s="25" t="s">
        <v>17</v>
      </c>
      <c r="C10" s="51">
        <f>ROUNDUP((375/8)/100*(100+$C$36),0)+20</f>
        <v>128</v>
      </c>
      <c r="D10" s="52"/>
      <c r="E10" s="51">
        <f>ROUNDUP((274/8)/100*(100+$C$36),0)+20</f>
        <v>99</v>
      </c>
      <c r="F10" s="52"/>
      <c r="G10" s="51">
        <f>ROUNDUP((238/8)/100*(100+$C$36),0)+20</f>
        <v>89</v>
      </c>
      <c r="H10" s="52"/>
      <c r="I10" s="51">
        <f>ROUNDUP((271/8)/100*(100+$C$36),0)+20</f>
        <v>98</v>
      </c>
      <c r="J10" s="52"/>
      <c r="K10" s="51">
        <f>ROUNDUP((229/8)/100*(100+$C$36),0)+20</f>
        <v>86</v>
      </c>
      <c r="L10" s="52"/>
    </row>
    <row r="11" spans="1:12" ht="33.75" customHeight="1" thickTop="1" thickBot="1" x14ac:dyDescent="0.3">
      <c r="A11" s="58" t="s">
        <v>20</v>
      </c>
      <c r="B11" s="58"/>
      <c r="C11" s="37">
        <f t="shared" ref="C11:L11" si="2">SUM(C5,C8,C9)</f>
        <v>29</v>
      </c>
      <c r="D11" s="35">
        <f t="shared" si="2"/>
        <v>25</v>
      </c>
      <c r="E11" s="36">
        <f t="shared" si="2"/>
        <v>26</v>
      </c>
      <c r="F11" s="35">
        <f t="shared" si="2"/>
        <v>26</v>
      </c>
      <c r="G11" s="36">
        <f t="shared" si="2"/>
        <v>27</v>
      </c>
      <c r="H11" s="35">
        <f t="shared" si="2"/>
        <v>25</v>
      </c>
      <c r="I11" s="36">
        <f t="shared" si="2"/>
        <v>27</v>
      </c>
      <c r="J11" s="35">
        <f t="shared" si="2"/>
        <v>26</v>
      </c>
      <c r="K11" s="36">
        <f t="shared" si="2"/>
        <v>26</v>
      </c>
      <c r="L11" s="35">
        <f t="shared" si="2"/>
        <v>26</v>
      </c>
    </row>
    <row r="12" spans="1:12" ht="33" customHeight="1" thickTop="1" thickBot="1" x14ac:dyDescent="0.3">
      <c r="A12" s="56" t="s">
        <v>35</v>
      </c>
      <c r="B12" s="57"/>
      <c r="C12" s="37">
        <f>($C$10/100*C7)+C5</f>
        <v>122.4</v>
      </c>
      <c r="D12" s="42">
        <f>($C$10/100*D7)+D5</f>
        <v>45.6</v>
      </c>
      <c r="E12" s="37">
        <f>($E$10/100*E7)+E5</f>
        <v>69.5</v>
      </c>
      <c r="F12" s="42">
        <f t="shared" ref="F12" si="3">($E$10/100*F7)+F5</f>
        <v>69.5</v>
      </c>
      <c r="G12" s="37">
        <f>($G$10/100*G7)+G5</f>
        <v>82.300000000000011</v>
      </c>
      <c r="H12" s="42">
        <f t="shared" ref="H12" si="4">($G$10/100*H7)+H5</f>
        <v>46.7</v>
      </c>
      <c r="I12" s="37">
        <f>($I$10/100*I7)+I5</f>
        <v>78.8</v>
      </c>
      <c r="J12" s="42">
        <f t="shared" ref="J12" si="5">($I$10/100*J7)+J5</f>
        <v>59.2</v>
      </c>
      <c r="K12" s="37">
        <f>($K$10/100*K7)+K5</f>
        <v>63</v>
      </c>
      <c r="L12" s="42">
        <f>($K$10/100*L7)+L5</f>
        <v>63</v>
      </c>
    </row>
    <row r="13" spans="1:12" ht="15.75" thickTop="1" x14ac:dyDescent="0.25"/>
    <row r="14" spans="1:12" x14ac:dyDescent="0.25">
      <c r="A14" s="6" t="s">
        <v>10</v>
      </c>
    </row>
    <row r="16" spans="1:12" x14ac:dyDescent="0.25">
      <c r="A16" t="s">
        <v>36</v>
      </c>
    </row>
    <row r="17" spans="1:4" x14ac:dyDescent="0.25">
      <c r="A17" t="s">
        <v>30</v>
      </c>
    </row>
    <row r="20" spans="1:4" hidden="1" x14ac:dyDescent="0.25">
      <c r="A20" t="s">
        <v>24</v>
      </c>
    </row>
    <row r="21" spans="1:4" hidden="1" x14ac:dyDescent="0.25"/>
    <row r="22" spans="1:4" hidden="1" x14ac:dyDescent="0.25">
      <c r="A22">
        <v>2021</v>
      </c>
      <c r="B22" t="s">
        <v>28</v>
      </c>
      <c r="C22" t="s">
        <v>25</v>
      </c>
    </row>
    <row r="23" spans="1:4" hidden="1" x14ac:dyDescent="0.25">
      <c r="A23">
        <v>2022</v>
      </c>
      <c r="B23">
        <v>3366</v>
      </c>
      <c r="C23">
        <v>15.3</v>
      </c>
    </row>
    <row r="24" spans="1:4" hidden="1" x14ac:dyDescent="0.25">
      <c r="A24">
        <v>2023</v>
      </c>
      <c r="B24">
        <v>3882</v>
      </c>
      <c r="C24">
        <v>15.8</v>
      </c>
    </row>
    <row r="25" spans="1:4" hidden="1" x14ac:dyDescent="0.25">
      <c r="A25">
        <v>2024</v>
      </c>
      <c r="B25">
        <v>4495</v>
      </c>
      <c r="C25">
        <v>12.4</v>
      </c>
    </row>
    <row r="26" spans="1:4" hidden="1" x14ac:dyDescent="0.25">
      <c r="A26">
        <v>2025</v>
      </c>
      <c r="B26">
        <v>5054</v>
      </c>
      <c r="C26">
        <v>13.7</v>
      </c>
    </row>
    <row r="27" spans="1:4" hidden="1" x14ac:dyDescent="0.25">
      <c r="A27">
        <v>2026</v>
      </c>
      <c r="B27" s="14">
        <v>5746</v>
      </c>
    </row>
    <row r="28" spans="1:4" hidden="1" x14ac:dyDescent="0.25">
      <c r="A28">
        <v>2027</v>
      </c>
      <c r="B28" s="26">
        <f>B27/100*(100+$C$28)</f>
        <v>6567.6779999999999</v>
      </c>
      <c r="C28" s="6">
        <f>AVERAGE(C23:C27)</f>
        <v>14.3</v>
      </c>
      <c r="D28" s="6" t="s">
        <v>26</v>
      </c>
    </row>
    <row r="29" spans="1:4" hidden="1" x14ac:dyDescent="0.25">
      <c r="A29">
        <v>2028</v>
      </c>
      <c r="B29" s="26">
        <f t="shared" ref="B29:B36" si="6">B28/100*(100+$C$28)</f>
        <v>7506.8559539999987</v>
      </c>
      <c r="C29">
        <f>C28+14.3</f>
        <v>28.6</v>
      </c>
    </row>
    <row r="30" spans="1:4" hidden="1" x14ac:dyDescent="0.25">
      <c r="A30">
        <v>2029</v>
      </c>
      <c r="B30" s="26">
        <f t="shared" si="6"/>
        <v>8580.3363554219977</v>
      </c>
      <c r="C30">
        <f t="shared" ref="C30:C36" si="7">C29+14.3</f>
        <v>42.900000000000006</v>
      </c>
    </row>
    <row r="31" spans="1:4" hidden="1" x14ac:dyDescent="0.25">
      <c r="A31">
        <v>2030</v>
      </c>
      <c r="B31" s="26">
        <f t="shared" si="6"/>
        <v>9807.3244542473421</v>
      </c>
      <c r="C31">
        <f t="shared" si="7"/>
        <v>57.2</v>
      </c>
    </row>
    <row r="32" spans="1:4" hidden="1" x14ac:dyDescent="0.25">
      <c r="A32">
        <v>2031</v>
      </c>
      <c r="B32" s="26">
        <f t="shared" si="6"/>
        <v>11209.771851204712</v>
      </c>
      <c r="C32">
        <f t="shared" si="7"/>
        <v>71.5</v>
      </c>
    </row>
    <row r="33" spans="1:3" hidden="1" x14ac:dyDescent="0.25">
      <c r="A33">
        <v>2032</v>
      </c>
      <c r="B33" s="26">
        <f t="shared" si="6"/>
        <v>12812.769225926986</v>
      </c>
      <c r="C33">
        <f t="shared" si="7"/>
        <v>85.8</v>
      </c>
    </row>
    <row r="34" spans="1:3" hidden="1" x14ac:dyDescent="0.25">
      <c r="A34">
        <v>2033</v>
      </c>
      <c r="B34" s="26">
        <f t="shared" si="6"/>
        <v>14644.995225234543</v>
      </c>
      <c r="C34">
        <f t="shared" si="7"/>
        <v>100.1</v>
      </c>
    </row>
    <row r="35" spans="1:3" hidden="1" x14ac:dyDescent="0.25">
      <c r="A35">
        <v>2034</v>
      </c>
      <c r="B35" s="26">
        <f t="shared" si="6"/>
        <v>16739.229542443085</v>
      </c>
      <c r="C35">
        <f t="shared" si="7"/>
        <v>114.39999999999999</v>
      </c>
    </row>
    <row r="36" spans="1:3" hidden="1" x14ac:dyDescent="0.25">
      <c r="A36">
        <v>2035</v>
      </c>
      <c r="B36" s="26">
        <f t="shared" si="6"/>
        <v>19132.939367012445</v>
      </c>
      <c r="C36">
        <f t="shared" si="7"/>
        <v>128.69999999999999</v>
      </c>
    </row>
  </sheetData>
  <mergeCells count="14">
    <mergeCell ref="A4:A5"/>
    <mergeCell ref="G10:H10"/>
    <mergeCell ref="I10:J10"/>
    <mergeCell ref="K10:L10"/>
    <mergeCell ref="C2:D2"/>
    <mergeCell ref="E2:F2"/>
    <mergeCell ref="G2:H2"/>
    <mergeCell ref="I2:J2"/>
    <mergeCell ref="K2:L2"/>
    <mergeCell ref="A11:B11"/>
    <mergeCell ref="A12:B12"/>
    <mergeCell ref="A6:A10"/>
    <mergeCell ref="C10:D10"/>
    <mergeCell ref="E10:F10"/>
  </mergeCells>
  <pageMargins left="0.7" right="0.7" top="0.75" bottom="0.75" header="0.3" footer="0.3"/>
  <pageSetup paperSize="9" scale="9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Current Needs 2025</vt:lpstr>
      <vt:lpstr>2027 Opening Forecast</vt:lpstr>
      <vt:lpstr>2035 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Vendy</dc:creator>
  <cp:lastModifiedBy>FRANKS, Barbara (NORTHERN MOOR MEDICAL PRACTICE)</cp:lastModifiedBy>
  <cp:lastPrinted>2025-03-17T12:28:46Z</cp:lastPrinted>
  <dcterms:created xsi:type="dcterms:W3CDTF">2025-03-06T12:25:31Z</dcterms:created>
  <dcterms:modified xsi:type="dcterms:W3CDTF">2025-03-17T13:08:43Z</dcterms:modified>
</cp:coreProperties>
</file>