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updateLinks="never" codeName="ThisWorkbook" hidePivotFieldList="1"/>
  <mc:AlternateContent xmlns:mc="http://schemas.openxmlformats.org/markup-compatibility/2006">
    <mc:Choice Requires="x15">
      <x15ac:absPath xmlns:x15ac="http://schemas.microsoft.com/office/spreadsheetml/2010/11/ac" url="https://ashtonhale-my.sharepoint.com/personal/cait_odowd_ashtonhale_co_uk/Documents/Projects/Upper Brook St/McLaren/DOC/DOC 52b/"/>
    </mc:Choice>
  </mc:AlternateContent>
  <xr:revisionPtr revIDLastSave="0" documentId="8_{C5C9EF9B-8659-4044-979C-2767B6F17F64}" xr6:coauthVersionLast="47" xr6:coauthVersionMax="47" xr10:uidLastSave="{00000000-0000-0000-0000-000000000000}"/>
  <bookViews>
    <workbookView xWindow="-110" yWindow="-110" windowWidth="19420" windowHeight="10300" tabRatio="741" firstSheet="1" activeTab="5" xr2:uid="{00000000-000D-0000-FFFF-FFFF00000000}"/>
  </bookViews>
  <sheets>
    <sheet name="Introduction" sheetId="101" state="hidden" r:id="rId1"/>
    <sheet name="Start" sheetId="96" r:id="rId2"/>
    <sheet name="Instructions" sheetId="89" state="hidden" r:id="rId3"/>
    <sheet name="Main Menu" sheetId="78" r:id="rId4"/>
    <sheet name="Results" sheetId="79" r:id="rId5"/>
    <sheet name="Headline Results" sheetId="73" r:id="rId6"/>
    <sheet name="Detailed Results" sheetId="36" state="hidden" r:id="rId7"/>
    <sheet name="Trading Summary" sheetId="72" state="hidden" r:id="rId8"/>
    <sheet name="A-1 Site Habitat Baseline" sheetId="11" r:id="rId9"/>
    <sheet name="A-2 Site Habitat Creation" sheetId="46" r:id="rId10"/>
    <sheet name="A-3 Site Habitat Enhancement" sheetId="32" state="hidden" r:id="rId11"/>
    <sheet name="D-1 Off Site Habitat Baseline" sheetId="59" state="hidden" r:id="rId12"/>
    <sheet name="D-2 Off Site Habitat Creation" sheetId="71" state="hidden" r:id="rId13"/>
    <sheet name="D-3 Off Site Habitat Enhancment" sheetId="50" state="hidden" r:id="rId14"/>
    <sheet name="B-1 Site Hedge Baseline" sheetId="52" state="hidden" r:id="rId15"/>
    <sheet name="B-2 Site Hedge Creation" sheetId="42" r:id="rId16"/>
    <sheet name="B-3 Site Hedge Enhancement" sheetId="53" state="hidden" r:id="rId17"/>
    <sheet name="E-1 Off Site Hedge Baseline" sheetId="55" state="hidden" r:id="rId18"/>
    <sheet name="E-2 Off Site Hedge Creation" sheetId="58" state="hidden" r:id="rId19"/>
    <sheet name="E-3 Off Site Hedge Enhancement" sheetId="57" state="hidden" r:id="rId20"/>
    <sheet name="C-1 Site River Baseline" sheetId="63" state="hidden" r:id="rId21"/>
    <sheet name="C-2 Site River Creation" sheetId="64" state="hidden" r:id="rId22"/>
    <sheet name="C-3 Site River Enhancement" sheetId="65" state="hidden" r:id="rId23"/>
    <sheet name="F-1 Off Site River Baseline" sheetId="67" state="hidden" r:id="rId24"/>
    <sheet name="F-2 Off Site River Creation" sheetId="68" state="hidden" r:id="rId25"/>
    <sheet name="F-3 Off Site River Enhancement" sheetId="69" state="hidden" r:id="rId26"/>
    <sheet name="G-1 All Habitats" sheetId="29" state="hidden" r:id="rId27"/>
    <sheet name="G-2 Habitat groups" sheetId="22" state="hidden" r:id="rId28"/>
    <sheet name="G-3 Multipliers" sheetId="28" state="hidden" r:id="rId29"/>
    <sheet name="G-4 Temporal multipliers" sheetId="20" state="hidden" r:id="rId30"/>
    <sheet name="G-5 Enhancement Temporal" sheetId="33" state="hidden" r:id="rId31"/>
    <sheet name="G-6 Hedgerow Data" sheetId="39" state="hidden" r:id="rId32"/>
    <sheet name="G-7 Rivers Data" sheetId="66" state="hidden" r:id="rId33"/>
    <sheet name="G-8 Condition Look up" sheetId="99" state="hidden" r:id="rId34"/>
    <sheet name="G-9 Translation Phase 1" sheetId="103" state="hidden" r:id="rId35"/>
    <sheet name="Technical Data" sheetId="95" state="hidden" r:id="rId36"/>
    <sheet name="Lists" sheetId="61" state="hidden" r:id="rId37"/>
  </sheets>
  <externalReferences>
    <externalReference r:id="rId38"/>
    <externalReference r:id="rId39"/>
    <externalReference r:id="rId40"/>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6" i="46"/>
  <c r="X15"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5" i="46"/>
  <c r="R16" i="46"/>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5" i="46" l="1"/>
  <c r="W16" i="46"/>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V15" i="46" s="1"/>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V16" i="46" s="1"/>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W12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L150" i="2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L155" i="22" l="1"/>
  <c r="J146" i="22"/>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9" i="78" s="1"/>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X31" i="57" l="1"/>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S16" i="46" s="1"/>
  <c r="T16" i="46" s="1"/>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S15" i="46" s="1"/>
  <c r="T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X65" i="57" l="1"/>
  <c r="AA65" i="57"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B65" i="57"/>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AF65" i="57" l="1"/>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F78" i="22"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K48" i="36"/>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89" i="22"/>
  <c r="I49" i="22"/>
  <c r="I33" i="22"/>
  <c r="I24" i="22"/>
  <c r="I92" i="22"/>
  <c r="I71" i="22"/>
  <c r="I40" i="22"/>
  <c r="AC15" i="11"/>
  <c r="AC13" i="11"/>
  <c r="Q13" i="11" s="1"/>
  <c r="AC12" i="11"/>
  <c r="Q12" i="11" s="1"/>
  <c r="F29" i="22" s="1"/>
  <c r="X13" i="11" l="1"/>
  <c r="F70" i="22"/>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AL45" i="32" s="1"/>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AL49" i="32" s="1"/>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AL78" i="32" s="1"/>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54" i="32" l="1"/>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D24" i="36" s="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54" i="22" s="1"/>
  <c r="F28" i="22" l="1"/>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<sst xmlns="http://schemas.openxmlformats.org/spreadsheetml/2006/main" count="6899" uniqueCount="1558">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</sst>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28" fillId="12" borderId="0" xfId="0" applyFont="1" applyFill="1" applyAlignment="1">
      <alignment horizontal="left"/>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3" fillId="5" borderId="56" xfId="0" applyFont="1" applyFill="1" applyBorder="1" applyAlignment="1">
      <alignment horizontal="center" vertical="center" wrapText="1"/>
    </xf>
    <xf numFmtId="0" fontId="23" fillId="5" borderId="50"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quotePrefix="1"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4" borderId="16"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15" fillId="5" borderId="54"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47" fillId="5" borderId="54" xfId="0" applyFont="1" applyFill="1" applyBorder="1" applyAlignment="1">
      <alignment horizontal="center"/>
    </xf>
    <xf numFmtId="0" fontId="32" fillId="5" borderId="8"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2" fontId="32" fillId="22" borderId="17" xfId="0" applyNumberFormat="1" applyFont="1" applyFill="1" applyBorder="1" applyAlignment="1">
      <alignment horizontal="center"/>
    </xf>
    <xf numFmtId="2" fontId="32" fillId="22" borderId="19" xfId="0" applyNumberFormat="1" applyFont="1" applyFill="1" applyBorder="1" applyAlignment="1">
      <alignment horizontal="center"/>
    </xf>
    <xf numFmtId="2" fontId="32" fillId="22" borderId="18" xfId="0" applyNumberFormat="1" applyFont="1" applyFill="1" applyBorder="1" applyAlignment="1">
      <alignment horizontal="center"/>
    </xf>
    <xf numFmtId="2" fontId="32" fillId="22" borderId="22" xfId="0" applyNumberFormat="1"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33" fillId="5" borderId="30" xfId="0" applyFont="1" applyFill="1" applyBorder="1" applyAlignment="1">
      <alignment horizontal="center"/>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0" fontId="33" fillId="12" borderId="0" xfId="0" applyFont="1" applyFill="1" applyAlignment="1">
      <alignment horizontal="left"/>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36" fillId="11" borderId="47" xfId="0" applyFont="1" applyFill="1" applyBorder="1" applyAlignment="1">
      <alignment horizontal="center" vertical="center"/>
    </xf>
    <xf numFmtId="0" fontId="36"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36" fillId="11" borderId="35"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6" fillId="5" borderId="54" xfId="0" applyFont="1" applyFill="1" applyBorder="1" applyAlignment="1">
      <alignment horizontal="center" vertical="center" wrapText="1"/>
    </xf>
    <xf numFmtId="0" fontId="36" fillId="5" borderId="29"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36" fillId="5" borderId="23" xfId="0" applyFont="1" applyFill="1" applyBorder="1" applyAlignment="1">
      <alignment horizontal="center" vertical="center" wrapText="1"/>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5.1999999999999998E-3</c:v>
                </c:pt>
                <c:pt idx="1">
                  <c:v>0</c:v>
                </c:pt>
                <c:pt idx="2">
                  <c:v>0.44330000000000003</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1.04E-2</c:v>
                </c:pt>
                <c:pt idx="1">
                  <c:v>0</c:v>
                </c:pt>
                <c:pt idx="2">
                  <c:v>5.7999999999999996E-3</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8.0000000000000004E-4</c:v>
                </c:pt>
                <c:pt idx="2">
                  <c:v>0</c:v>
                </c:pt>
                <c:pt idx="3">
                  <c:v>0</c:v>
                </c:pt>
                <c:pt idx="4">
                  <c:v>0</c:v>
                </c:pt>
                <c:pt idx="5">
                  <c:v>0.44769999999999999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c:v>
                </c:pt>
                <c:pt idx="2">
                  <c:v>0</c:v>
                </c:pt>
                <c:pt idx="3">
                  <c:v>0</c:v>
                </c:pt>
                <c:pt idx="4">
                  <c:v>0</c:v>
                </c:pt>
                <c:pt idx="5">
                  <c:v>0.63162479999999999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1.6000000000000001E-3</c:v>
                </c:pt>
                <c:pt idx="2">
                  <c:v>0</c:v>
                </c:pt>
                <c:pt idx="3">
                  <c:v>0</c:v>
                </c:pt>
                <c:pt idx="4">
                  <c:v>0</c:v>
                </c:pt>
                <c:pt idx="5">
                  <c:v>1.4599999999999998E-2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c:v>
                </c:pt>
                <c:pt idx="2">
                  <c:v>0</c:v>
                </c:pt>
                <c:pt idx="3">
                  <c:v>0</c:v>
                </c:pt>
                <c:pt idx="4">
                  <c:v>0</c:v>
                </c:pt>
                <c:pt idx="5">
                  <c:v>0.67600177752251378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c:v>
                </c:pt>
                <c:pt idx="3">
                  <c:v>2.8999999999999998E-3</c:v>
                </c:pt>
                <c:pt idx="4">
                  <c:v>0.44040000000000001</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1.6000000000000001E-3</c:v>
                </c:pt>
                <c:pt idx="2">
                  <c:v>0</c:v>
                </c:pt>
                <c:pt idx="3">
                  <c:v>0</c:v>
                </c:pt>
                <c:pt idx="4">
                  <c:v>0</c:v>
                </c:pt>
                <c:pt idx="5">
                  <c:v>1.4599999999999998E-2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c:v>
                </c:pt>
                <c:pt idx="2">
                  <c:v>0</c:v>
                </c:pt>
                <c:pt idx="3">
                  <c:v>0</c:v>
                </c:pt>
                <c:pt idx="4">
                  <c:v>0</c:v>
                </c:pt>
                <c:pt idx="5">
                  <c:v>0.67600177752251378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-1.6000000000000001E-3</c:v>
                </c:pt>
                <c:pt idx="2">
                  <c:v>0</c:v>
                </c:pt>
                <c:pt idx="3">
                  <c:v>0</c:v>
                </c:pt>
                <c:pt idx="4">
                  <c:v>0</c:v>
                </c:pt>
                <c:pt idx="5">
                  <c:v>0.66140177752251383</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8.0000000000000004E-4</c:v>
                </c:pt>
                <c:pt idx="2">
                  <c:v>0</c:v>
                </c:pt>
                <c:pt idx="3">
                  <c:v>0</c:v>
                </c:pt>
                <c:pt idx="4">
                  <c:v>0</c:v>
                </c:pt>
                <c:pt idx="5">
                  <c:v>0.44769999999999999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c:v>
                </c:pt>
                <c:pt idx="2">
                  <c:v>0</c:v>
                </c:pt>
                <c:pt idx="3">
                  <c:v>0</c:v>
                </c:pt>
                <c:pt idx="4">
                  <c:v>0</c:v>
                </c:pt>
                <c:pt idx="5">
                  <c:v>0.63162479999999999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-8.0000000000000004E-4</c:v>
                </c:pt>
                <c:pt idx="2">
                  <c:v>0</c:v>
                </c:pt>
                <c:pt idx="3">
                  <c:v>0</c:v>
                </c:pt>
                <c:pt idx="4">
                  <c:v>0</c:v>
                </c:pt>
                <c:pt idx="5">
                  <c:v>0.1839248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4.4931606250000006E-2</c:v>
                </c:pt>
                <c:pt idx="10">
                  <c:v>0</c:v>
                </c:pt>
                <c:pt idx="11">
                  <c:v>0</c:v>
                </c:pt>
                <c:pt idx="12">
                  <c:v>0</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4.4931606250000006E-2</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c:v>
                </c:pt>
                <c:pt idx="5">
                  <c:v>0</c:v>
                </c:pt>
                <c:pt idx="6">
                  <c:v>0</c:v>
                </c:pt>
                <c:pt idx="7">
                  <c:v>0</c:v>
                </c:pt>
                <c:pt idx="8">
                  <c:v>0</c:v>
                </c:pt>
                <c:pt idx="9">
                  <c:v>4.4931606250000006E-2</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2.5000000000000001E-2</c:v>
                </c:pt>
                <c:pt idx="10">
                  <c:v>0</c:v>
                </c:pt>
                <c:pt idx="11">
                  <c:v>0</c:v>
                </c:pt>
                <c:pt idx="12">
                  <c:v>0</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2.5000000000000001E-2</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c:v>
                </c:pt>
                <c:pt idx="5">
                  <c:v>0</c:v>
                </c:pt>
                <c:pt idx="6">
                  <c:v>0</c:v>
                </c:pt>
                <c:pt idx="7">
                  <c:v>0</c:v>
                </c:pt>
                <c:pt idx="8">
                  <c:v>0</c:v>
                </c:pt>
                <c:pt idx="9">
                  <c:v>2.5000000000000001E-2</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GB"/>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590550</xdr:colOff>
          <xdr:row>10</xdr:row>
          <xdr:rowOff>203200</xdr:rowOff>
        </xdr:from>
        <xdr:to>
          <xdr:col>14</xdr:col>
          <xdr:colOff>323850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147027" y="1600425"/>
          <a:ext cx="7236947" cy="456005"/>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29882" y="870120"/>
          <a:ext cx="7165228" cy="737924"/>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3825" y="839074"/>
          <a:ext cx="7015389" cy="770651"/>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12091" y="877570"/>
          <a:ext cx="5732780" cy="765436"/>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26465"/>
          <a:ext cx="6946900" cy="76797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7625" y="1049655"/>
          <a:ext cx="6242050" cy="770516"/>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40970" y="922020"/>
          <a:ext cx="6653530" cy="75908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198120" y="935990"/>
          <a:ext cx="5482590" cy="77178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2881" y="956310"/>
          <a:ext cx="6074409" cy="75527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06375" y="997585"/>
          <a:ext cx="5071109" cy="76035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387350" y="886460"/>
          <a:ext cx="5189220"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67640" y="909320"/>
          <a:ext cx="6247130" cy="755276"/>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19710" y="996950"/>
          <a:ext cx="4296410" cy="76289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6727"/>
          <a:ext cx="4986192" cy="76832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196850" y="782320"/>
          <a:ext cx="5309870" cy="77559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21971" y="1199034"/>
          <a:ext cx="5506985"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43415" y="888999"/>
          <a:ext cx="5302250" cy="76755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889000"/>
          <a:ext cx="4850130" cy="770516"/>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4219" y="1212013"/>
          <a:ext cx="4478285" cy="750712"/>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defaultColWidth="9.1796875" defaultRowHeight="14.5" customHeight="1" zeroHeight="1" x14ac:dyDescent="0.35"/>
  <cols>
    <col min="1" max="2" width="9.1796875" style="9" customWidth="1"/>
    <col min="3" max="3" width="7" style="9" customWidth="1"/>
    <col min="4" max="6" width="9.1796875" style="9" customWidth="1"/>
    <col min="7" max="7" width="12.1796875" style="9" customWidth="1"/>
    <col min="8" max="8" width="5.7265625" style="9" customWidth="1"/>
    <col min="9" max="9" width="9.1796875" style="9" customWidth="1"/>
    <col min="10" max="10" width="34.54296875" style="9" customWidth="1"/>
    <col min="11" max="11" width="13.7265625" style="9" bestFit="1" customWidth="1"/>
    <col min="12" max="12" width="19.26953125" style="9" customWidth="1"/>
    <col min="13" max="14" width="9.1796875" style="9" customWidth="1"/>
    <col min="15" max="16384" width="9.1796875" style="9"/>
  </cols>
  <sheetData>
    <row r="1" spans="1:7" ht="30" customHeight="1" x14ac:dyDescent="0.5">
      <c r="A1" s="8"/>
      <c r="B1" s="8"/>
      <c r="C1" s="8"/>
      <c r="D1" s="8"/>
      <c r="E1" s="8"/>
      <c r="F1" s="8"/>
      <c r="G1" s="8"/>
    </row>
    <row r="2" spans="1:7" ht="16.5" customHeight="1" x14ac:dyDescent="0.35"/>
    <row r="3" spans="1:7" ht="16.5" customHeight="1" x14ac:dyDescent="0.35"/>
    <row r="4" spans="1:7" ht="16.5" customHeight="1" x14ac:dyDescent="0.35"/>
    <row r="5" spans="1:7" ht="16.5" customHeight="1" x14ac:dyDescent="0.35"/>
    <row r="6" spans="1:7" ht="16.5" customHeight="1" x14ac:dyDescent="0.35"/>
    <row r="7" spans="1:7" ht="16.5" customHeight="1" x14ac:dyDescent="0.35"/>
    <row r="8" spans="1:7" ht="16.5" customHeight="1" x14ac:dyDescent="0.35"/>
    <row r="9" spans="1:7" ht="16.5" customHeight="1" x14ac:dyDescent="0.35"/>
    <row r="10" spans="1:7" ht="16.5" customHeight="1" x14ac:dyDescent="0.35"/>
    <row r="11" spans="1:7" ht="16.5" customHeight="1" x14ac:dyDescent="0.35"/>
    <row r="12" spans="1:7" ht="16.5" customHeight="1" x14ac:dyDescent="0.35"/>
    <row r="13" spans="1:7" ht="16.5" customHeight="1" x14ac:dyDescent="0.35"/>
    <row r="14" spans="1:7" ht="16.5" customHeight="1" x14ac:dyDescent="0.35"/>
    <row r="15" spans="1:7" ht="16.5" customHeight="1" x14ac:dyDescent="0.35"/>
    <row r="16" spans="1:7" ht="16.5" customHeight="1" x14ac:dyDescent="0.35"/>
    <row r="17" spans="10:10" ht="16.5" customHeight="1" x14ac:dyDescent="0.35"/>
    <row r="18" spans="10:10" ht="16.5" customHeight="1" x14ac:dyDescent="0.35"/>
    <row r="19" spans="10:10" ht="16.5" customHeight="1" x14ac:dyDescent="0.35"/>
    <row r="20" spans="10:10" ht="16.5" customHeight="1" x14ac:dyDescent="0.35"/>
    <row r="21" spans="10:10" ht="16.5" customHeight="1" x14ac:dyDescent="0.35"/>
    <row r="22" spans="10:10" ht="16.5" customHeight="1" x14ac:dyDescent="0.35"/>
    <row r="23" spans="10:10" ht="16.5" customHeight="1" x14ac:dyDescent="0.35"/>
    <row r="24" spans="10:10" ht="16.5" customHeight="1" x14ac:dyDescent="0.35"/>
    <row r="25" spans="10:10" ht="16.5" customHeight="1" x14ac:dyDescent="0.35">
      <c r="J25" s="10"/>
    </row>
    <row r="26" spans="10:10" ht="16.5" customHeight="1" x14ac:dyDescent="0.35"/>
    <row r="27" spans="10:10" ht="16.5" customHeight="1" x14ac:dyDescent="0.35"/>
    <row r="28" spans="10:10" ht="16.5" customHeight="1" x14ac:dyDescent="0.35"/>
    <row r="29" spans="10:10" ht="16.5" customHeight="1" x14ac:dyDescent="0.35"/>
    <row r="30" spans="10:10" ht="16.5" customHeight="1" x14ac:dyDescent="0.35"/>
    <row r="31" spans="10:10" ht="16.5" customHeight="1" x14ac:dyDescent="0.35"/>
    <row r="32" spans="10:10" ht="16.5" customHeight="1" x14ac:dyDescent="0.35"/>
    <row r="33" ht="16.5" customHeight="1" x14ac:dyDescent="0.35"/>
    <row r="34" ht="16.5" customHeight="1" x14ac:dyDescent="0.35"/>
    <row r="35" ht="16.5" customHeight="1" x14ac:dyDescent="0.35"/>
    <row r="36" ht="16.5" customHeight="1" x14ac:dyDescent="0.35"/>
    <row r="37" ht="16.5" customHeight="1" x14ac:dyDescent="0.35"/>
    <row r="38" ht="16.5" customHeight="1" x14ac:dyDescent="0.35"/>
    <row r="39" ht="16.5" customHeight="1" x14ac:dyDescent="0.35"/>
    <row r="40" ht="16.5" customHeight="1" x14ac:dyDescent="0.35"/>
    <row r="41" ht="16.5" customHeight="1" x14ac:dyDescent="0.35"/>
    <row r="42" ht="16.5" customHeight="1" x14ac:dyDescent="0.35"/>
    <row r="43" ht="16.5" customHeight="1" x14ac:dyDescent="0.35"/>
    <row r="44" ht="16.5" customHeight="1" x14ac:dyDescent="0.35"/>
    <row r="45" ht="16.5" customHeight="1" x14ac:dyDescent="0.35"/>
    <row r="46" ht="16.5" customHeight="1" x14ac:dyDescent="0.35"/>
    <row r="47" ht="16.5" customHeight="1" x14ac:dyDescent="0.35"/>
    <row r="48" ht="16.5" customHeight="1" x14ac:dyDescent="0.35"/>
    <row r="49" ht="16.5" customHeight="1" x14ac:dyDescent="0.35"/>
    <row r="50" ht="16.5" customHeight="1" x14ac:dyDescent="0.35"/>
    <row r="51" ht="16.5" customHeight="1" x14ac:dyDescent="0.35"/>
    <row r="52" ht="16.5" customHeight="1" x14ac:dyDescent="0.35"/>
    <row r="53" ht="16.5" customHeight="1" x14ac:dyDescent="0.35"/>
    <row r="54" ht="16.5" customHeight="1" x14ac:dyDescent="0.35"/>
    <row r="55" ht="16.5" customHeight="1" x14ac:dyDescent="0.35"/>
    <row r="56" ht="16.5" customHeight="1" x14ac:dyDescent="0.35"/>
    <row r="57" ht="16.5" customHeight="1" x14ac:dyDescent="0.35"/>
    <row r="58" ht="16.5" customHeight="1" x14ac:dyDescent="0.35"/>
    <row r="59" ht="16.5" customHeight="1" x14ac:dyDescent="0.35"/>
    <row r="60" ht="16.5" customHeight="1" x14ac:dyDescent="0.35"/>
    <row r="61" ht="16.5" customHeight="1" x14ac:dyDescent="0.35"/>
    <row r="62" ht="16.5" customHeight="1" x14ac:dyDescent="0.35"/>
    <row r="63" ht="16.5" customHeight="1" x14ac:dyDescent="0.35"/>
    <row r="64" ht="16.5" customHeight="1" x14ac:dyDescent="0.35"/>
    <row r="65" ht="16.5" customHeight="1" x14ac:dyDescent="0.35"/>
    <row r="66" ht="16.5" customHeight="1" x14ac:dyDescent="0.35"/>
    <row r="67" ht="16.5" customHeight="1" x14ac:dyDescent="0.35"/>
    <row r="68" ht="16.5" customHeight="1" x14ac:dyDescent="0.35"/>
    <row r="69" ht="16.5" customHeight="1" x14ac:dyDescent="0.35"/>
    <row r="70" ht="16.5" customHeight="1" x14ac:dyDescent="0.35"/>
    <row r="71" ht="16.5" customHeight="1" x14ac:dyDescent="0.35"/>
    <row r="72" ht="16.5" customHeight="1" x14ac:dyDescent="0.35"/>
    <row r="73" ht="16.5" customHeight="1" x14ac:dyDescent="0.35"/>
    <row r="74" ht="16.5" customHeight="1" x14ac:dyDescent="0.35"/>
    <row r="75" ht="16.5" customHeight="1" x14ac:dyDescent="0.35"/>
    <row r="76" ht="16.5" customHeight="1" x14ac:dyDescent="0.35"/>
    <row r="77" ht="16.5" customHeight="1" x14ac:dyDescent="0.35"/>
    <row r="78" ht="16.5" customHeight="1" x14ac:dyDescent="0.35"/>
    <row r="79" ht="16.5" customHeight="1" x14ac:dyDescent="0.35"/>
    <row r="80" ht="16.5" customHeight="1" x14ac:dyDescent="0.35"/>
    <row r="81" ht="16.5" customHeight="1" x14ac:dyDescent="0.35"/>
    <row r="82" ht="16.5" customHeight="1" x14ac:dyDescent="0.35"/>
    <row r="83" ht="16.5" customHeight="1" x14ac:dyDescent="0.35"/>
    <row r="84" ht="16.5" customHeight="1" x14ac:dyDescent="0.35"/>
    <row r="85" ht="16.5" customHeight="1" x14ac:dyDescent="0.35"/>
    <row r="86" ht="16.5" customHeight="1" x14ac:dyDescent="0.35"/>
    <row r="87" ht="16.5" customHeight="1" x14ac:dyDescent="0.35"/>
    <row r="88" ht="16.5" customHeight="1" x14ac:dyDescent="0.35"/>
    <row r="89" ht="16.5" customHeight="1" x14ac:dyDescent="0.35"/>
    <row r="90" ht="16.5" customHeight="1" x14ac:dyDescent="0.35"/>
    <row r="91" ht="16.5" customHeight="1" x14ac:dyDescent="0.35"/>
    <row r="92" ht="16.5" customHeight="1" x14ac:dyDescent="0.35"/>
    <row r="93" ht="16.5" customHeight="1" x14ac:dyDescent="0.35"/>
    <row r="94" ht="16.5" customHeight="1" x14ac:dyDescent="0.35"/>
    <row r="95" ht="16.5" customHeight="1" x14ac:dyDescent="0.35"/>
    <row r="96" ht="16.5" customHeight="1" x14ac:dyDescent="0.35"/>
    <row r="97" ht="16.5" customHeight="1" x14ac:dyDescent="0.35"/>
    <row r="98" ht="16.5" customHeight="1" x14ac:dyDescent="0.35"/>
    <row r="99" ht="16.5" customHeight="1" x14ac:dyDescent="0.35"/>
    <row r="100" ht="16.5" customHeight="1" x14ac:dyDescent="0.35"/>
    <row r="101" ht="16.5" customHeight="1" x14ac:dyDescent="0.35"/>
    <row r="102" ht="16.5" customHeight="1" x14ac:dyDescent="0.35"/>
    <row r="103" ht="16.5" customHeight="1" x14ac:dyDescent="0.35"/>
    <row r="104" ht="16.5" customHeight="1" x14ac:dyDescent="0.35"/>
    <row r="105" ht="16.5" customHeight="1" x14ac:dyDescent="0.35"/>
    <row r="106" ht="16.5" customHeight="1" x14ac:dyDescent="0.35"/>
    <row r="107" ht="16.5" customHeight="1" x14ac:dyDescent="0.35"/>
    <row r="108" ht="16.5" customHeight="1" x14ac:dyDescent="0.35"/>
    <row r="109" ht="16.5" customHeight="1" x14ac:dyDescent="0.35"/>
    <row r="110" ht="16.5" customHeight="1" x14ac:dyDescent="0.35"/>
    <row r="111" ht="16.5" customHeight="1" x14ac:dyDescent="0.35"/>
    <row r="112" ht="16.5" customHeight="1" x14ac:dyDescent="0.35"/>
    <row r="113" ht="16.5" customHeight="1" x14ac:dyDescent="0.35"/>
    <row r="114" ht="16.5" customHeight="1" x14ac:dyDescent="0.35"/>
    <row r="115" ht="16.5" customHeight="1" x14ac:dyDescent="0.35"/>
    <row r="116" ht="16.5" customHeight="1" x14ac:dyDescent="0.35"/>
    <row r="117" ht="16.5" customHeight="1" x14ac:dyDescent="0.35"/>
    <row r="118" ht="16.5" customHeight="1" x14ac:dyDescent="0.35"/>
    <row r="119" ht="16.5" customHeight="1" x14ac:dyDescent="0.35"/>
    <row r="120" ht="16.5" customHeight="1" x14ac:dyDescent="0.35"/>
    <row r="121" ht="16.5" customHeight="1" x14ac:dyDescent="0.35"/>
    <row r="122" ht="16.5" customHeight="1" x14ac:dyDescent="0.35"/>
    <row r="123" ht="16.5" customHeight="1" x14ac:dyDescent="0.35"/>
    <row r="124" ht="16.5" customHeight="1" x14ac:dyDescent="0.35"/>
    <row r="125" ht="16.5" customHeight="1" x14ac:dyDescent="0.35"/>
    <row r="126" ht="16.5" customHeight="1" x14ac:dyDescent="0.35"/>
    <row r="127" ht="16.5" customHeight="1" x14ac:dyDescent="0.35"/>
    <row r="128" ht="16.5" customHeight="1" x14ac:dyDescent="0.35"/>
    <row r="129" ht="16.5" customHeight="1" x14ac:dyDescent="0.35"/>
    <row r="130" ht="16.5" customHeight="1" x14ac:dyDescent="0.35"/>
    <row r="131" ht="16.5" customHeight="1" x14ac:dyDescent="0.35"/>
    <row r="132" ht="16.5" customHeight="1" x14ac:dyDescent="0.35"/>
    <row r="133" ht="16.5" customHeight="1" x14ac:dyDescent="0.35"/>
    <row r="134" ht="16.5" customHeight="1" x14ac:dyDescent="0.35"/>
    <row r="135" ht="16.5" customHeight="1" x14ac:dyDescent="0.35"/>
    <row r="136" ht="16.5" customHeight="1" x14ac:dyDescent="0.35"/>
    <row r="137" ht="16.5" customHeight="1" x14ac:dyDescent="0.35"/>
    <row r="138" ht="16.5" customHeight="1" x14ac:dyDescent="0.35"/>
    <row r="139" ht="16.5" customHeight="1" x14ac:dyDescent="0.35"/>
    <row r="140" ht="16.5" customHeight="1" x14ac:dyDescent="0.35"/>
    <row r="141" ht="16.5" customHeight="1" x14ac:dyDescent="0.35"/>
    <row r="142" ht="16.5" customHeight="1" x14ac:dyDescent="0.35"/>
    <row r="143" ht="16.5" customHeight="1" x14ac:dyDescent="0.35"/>
    <row r="144" ht="16.5" customHeight="1" x14ac:dyDescent="0.35"/>
    <row r="145" ht="16.5" customHeight="1" x14ac:dyDescent="0.35"/>
    <row r="146" ht="16.5" customHeight="1" x14ac:dyDescent="0.35"/>
    <row r="147" ht="16.5" customHeight="1" x14ac:dyDescent="0.35"/>
    <row r="148" ht="16.5" customHeight="1" x14ac:dyDescent="0.35"/>
    <row r="149" ht="16.5" customHeight="1" x14ac:dyDescent="0.35"/>
    <row r="150" ht="16.5" customHeight="1" x14ac:dyDescent="0.35"/>
    <row r="151" ht="16.5" customHeight="1" x14ac:dyDescent="0.35"/>
    <row r="152" ht="16.5" customHeight="1" x14ac:dyDescent="0.35"/>
    <row r="153" ht="16.5" customHeight="1" x14ac:dyDescent="0.35"/>
    <row r="154" ht="16.5" customHeight="1" x14ac:dyDescent="0.35"/>
    <row r="155" ht="16.5" customHeight="1" x14ac:dyDescent="0.35"/>
    <row r="156" ht="16.5" customHeight="1" x14ac:dyDescent="0.35"/>
    <row r="157" ht="16.5" customHeight="1" x14ac:dyDescent="0.35"/>
    <row r="158" ht="16.5" customHeight="1" x14ac:dyDescent="0.35"/>
    <row r="159" ht="16.5" customHeight="1" x14ac:dyDescent="0.35"/>
    <row r="160" ht="16.5" customHeight="1" x14ac:dyDescent="0.35"/>
    <row r="161" ht="16.5" customHeight="1" x14ac:dyDescent="0.35"/>
    <row r="162" ht="16.5" customHeight="1" x14ac:dyDescent="0.35"/>
    <row r="163" ht="16.5" customHeight="1" x14ac:dyDescent="0.35"/>
    <row r="164" ht="16.5" customHeight="1" x14ac:dyDescent="0.35"/>
    <row r="165" ht="16.5" customHeight="1" x14ac:dyDescent="0.35"/>
    <row r="166" ht="16.5" customHeight="1" x14ac:dyDescent="0.35"/>
    <row r="167" ht="16.5" customHeight="1" x14ac:dyDescent="0.35"/>
    <row r="168" ht="16.5" customHeight="1" x14ac:dyDescent="0.35"/>
    <row r="169" ht="16.5" customHeight="1" x14ac:dyDescent="0.35"/>
    <row r="170" ht="16.5" customHeight="1" x14ac:dyDescent="0.35"/>
    <row r="171" ht="16.5" customHeight="1" x14ac:dyDescent="0.35"/>
    <row r="172" ht="16.5" customHeight="1" x14ac:dyDescent="0.35"/>
    <row r="173" ht="16.5" customHeight="1" x14ac:dyDescent="0.35"/>
    <row r="174" ht="16.5" customHeight="1" x14ac:dyDescent="0.35"/>
    <row r="175" ht="16.5" customHeight="1" x14ac:dyDescent="0.35"/>
    <row r="176" ht="16.5" customHeight="1" x14ac:dyDescent="0.35"/>
    <row r="177" ht="16.5" customHeight="1" x14ac:dyDescent="0.35"/>
    <row r="178" ht="16.5" customHeight="1" x14ac:dyDescent="0.35"/>
    <row r="179" ht="16.5" customHeight="1" x14ac:dyDescent="0.35"/>
    <row r="180" ht="16.5" customHeight="1" x14ac:dyDescent="0.35"/>
    <row r="181" ht="16.5" customHeight="1" x14ac:dyDescent="0.35"/>
    <row r="182" ht="16.5" customHeight="1" x14ac:dyDescent="0.35"/>
    <row r="183" ht="16.5" customHeight="1" x14ac:dyDescent="0.35"/>
    <row r="184" ht="16.5" customHeight="1" x14ac:dyDescent="0.35"/>
    <row r="185" ht="16.5" customHeight="1" x14ac:dyDescent="0.35"/>
    <row r="186" ht="16.5" customHeight="1" x14ac:dyDescent="0.35"/>
    <row r="187" ht="16.5" customHeight="1" x14ac:dyDescent="0.35"/>
    <row r="188" ht="16.5" customHeight="1" x14ac:dyDescent="0.35"/>
    <row r="189" ht="16.5" customHeight="1" x14ac:dyDescent="0.35"/>
    <row r="190" ht="16.5" customHeight="1" x14ac:dyDescent="0.35"/>
    <row r="191" ht="16.5" customHeight="1" x14ac:dyDescent="0.35"/>
    <row r="192" ht="16.5" customHeight="1" x14ac:dyDescent="0.35"/>
    <row r="193" ht="16.5" customHeight="1" x14ac:dyDescent="0.35"/>
    <row r="194" ht="16.5" customHeight="1" x14ac:dyDescent="0.35"/>
    <row r="195" ht="16.5" customHeight="1" x14ac:dyDescent="0.35"/>
    <row r="196" ht="16.5" customHeight="1" x14ac:dyDescent="0.35"/>
    <row r="197" ht="16.5" customHeight="1" x14ac:dyDescent="0.35"/>
    <row r="198" ht="16.5" customHeight="1" x14ac:dyDescent="0.35"/>
    <row r="199" ht="16.5" customHeight="1" x14ac:dyDescent="0.35"/>
    <row r="200" ht="16.5" customHeight="1" x14ac:dyDescent="0.35"/>
    <row r="201" ht="16.5" customHeight="1" x14ac:dyDescent="0.35"/>
    <row r="202" ht="16.5" customHeight="1" x14ac:dyDescent="0.35"/>
    <row r="203" ht="16.5" customHeight="1" x14ac:dyDescent="0.35"/>
    <row r="204" ht="16.5" customHeight="1" x14ac:dyDescent="0.35"/>
    <row r="205" ht="16.5" customHeight="1" x14ac:dyDescent="0.35"/>
    <row r="206" ht="16.5" customHeight="1" x14ac:dyDescent="0.35"/>
    <row r="207" ht="16.5" customHeight="1" x14ac:dyDescent="0.35"/>
    <row r="208" ht="16.5" customHeight="1" x14ac:dyDescent="0.35"/>
    <row r="209" ht="16.5" customHeight="1" x14ac:dyDescent="0.35"/>
    <row r="210" ht="16.5" customHeight="1" x14ac:dyDescent="0.35"/>
    <row r="211" ht="16.5" customHeight="1" x14ac:dyDescent="0.35"/>
    <row r="212" ht="16.5" customHeight="1" x14ac:dyDescent="0.35"/>
    <row r="213" ht="16.5" customHeight="1" x14ac:dyDescent="0.35"/>
    <row r="214" ht="16.5" customHeight="1" x14ac:dyDescent="0.35"/>
    <row r="215" ht="16.5" customHeight="1" x14ac:dyDescent="0.35"/>
    <row r="216" ht="16.5" customHeight="1" x14ac:dyDescent="0.35"/>
    <row r="217" ht="16.5" customHeight="1" x14ac:dyDescent="0.35"/>
    <row r="218" ht="16.5" customHeight="1" x14ac:dyDescent="0.35"/>
    <row r="219" ht="16.5" customHeight="1" x14ac:dyDescent="0.35"/>
    <row r="220" ht="16.5" customHeight="1" x14ac:dyDescent="0.35"/>
    <row r="221" ht="16.5" customHeight="1" x14ac:dyDescent="0.35"/>
    <row r="222" ht="16.5" customHeight="1" x14ac:dyDescent="0.35"/>
    <row r="223" ht="16.5" customHeight="1" x14ac:dyDescent="0.35"/>
    <row r="224" ht="16.5" customHeight="1" x14ac:dyDescent="0.35"/>
    <row r="225" ht="16.5" customHeight="1" x14ac:dyDescent="0.35"/>
    <row r="226" ht="16.5" customHeight="1" x14ac:dyDescent="0.35"/>
    <row r="227" ht="16.5" customHeight="1" x14ac:dyDescent="0.35"/>
    <row r="228" ht="16.5" customHeight="1" x14ac:dyDescent="0.35"/>
    <row r="229" ht="16.5" customHeight="1" x14ac:dyDescent="0.35"/>
    <row r="230" ht="16.5" customHeight="1" x14ac:dyDescent="0.35"/>
    <row r="231" ht="16.5" customHeight="1" x14ac:dyDescent="0.35"/>
    <row r="232" ht="16.5" customHeight="1" x14ac:dyDescent="0.35"/>
    <row r="233" ht="16.5" customHeight="1" x14ac:dyDescent="0.35"/>
    <row r="234" ht="16.5" customHeight="1" x14ac:dyDescent="0.35"/>
    <row r="235" ht="16.5" customHeight="1" x14ac:dyDescent="0.35"/>
    <row r="236" ht="16.5" customHeight="1" x14ac:dyDescent="0.35"/>
    <row r="237" ht="16.5" customHeight="1" x14ac:dyDescent="0.35"/>
    <row r="238" ht="16.5" customHeight="1" x14ac:dyDescent="0.35"/>
    <row r="239" ht="16.5" customHeight="1" x14ac:dyDescent="0.35"/>
    <row r="240" ht="16.5" customHeight="1" x14ac:dyDescent="0.35"/>
    <row r="241" ht="16.5" customHeight="1" x14ac:dyDescent="0.35"/>
    <row r="242" ht="16.5" customHeight="1" x14ac:dyDescent="0.35"/>
    <row r="243" ht="16.5" customHeight="1" x14ac:dyDescent="0.35"/>
    <row r="244" ht="16.5" customHeight="1" x14ac:dyDescent="0.35"/>
    <row r="245" ht="16.5" customHeight="1" x14ac:dyDescent="0.35"/>
    <row r="246" ht="16.5" customHeight="1" x14ac:dyDescent="0.35"/>
    <row r="247" ht="16.5" customHeight="1" x14ac:dyDescent="0.35"/>
    <row r="248" ht="16.5" customHeight="1" x14ac:dyDescent="0.35"/>
    <row r="249" ht="16.5" customHeight="1" x14ac:dyDescent="0.35"/>
    <row r="250" ht="16.5" customHeight="1" x14ac:dyDescent="0.35"/>
    <row r="251" ht="16.5" customHeight="1" x14ac:dyDescent="0.35"/>
    <row r="252" ht="16.5" customHeight="1" x14ac:dyDescent="0.35"/>
    <row r="253" ht="16.5" customHeight="1" x14ac:dyDescent="0.35"/>
    <row r="254" ht="16.5" customHeight="1" x14ac:dyDescent="0.35"/>
    <row r="255" ht="16.5" customHeight="1" x14ac:dyDescent="0.35"/>
    <row r="256" ht="16.5" customHeight="1" x14ac:dyDescent="0.35"/>
    <row r="257" ht="16.5" customHeight="1" x14ac:dyDescent="0.35"/>
    <row r="258" ht="16.5" customHeight="1" x14ac:dyDescent="0.35"/>
    <row r="259" ht="16.5" customHeight="1" x14ac:dyDescent="0.35"/>
    <row r="260" ht="16.5" customHeight="1" x14ac:dyDescent="0.35"/>
    <row r="261" ht="16.5" customHeight="1" x14ac:dyDescent="0.35"/>
    <row r="262" ht="16.5" customHeight="1" x14ac:dyDescent="0.35"/>
    <row r="263" ht="16.5" customHeight="1" x14ac:dyDescent="0.35"/>
    <row r="264" ht="16.5" customHeight="1" x14ac:dyDescent="0.35"/>
    <row r="265" ht="16.5" customHeight="1" x14ac:dyDescent="0.35"/>
    <row r="266" ht="16.5" customHeight="1" x14ac:dyDescent="0.35"/>
    <row r="267" ht="16.5" customHeight="1" x14ac:dyDescent="0.35"/>
    <row r="268" ht="16.5" customHeight="1" x14ac:dyDescent="0.35"/>
    <row r="269" ht="16.5" customHeight="1" x14ac:dyDescent="0.35"/>
    <row r="270" ht="16.5" customHeight="1" x14ac:dyDescent="0.35"/>
    <row r="271" ht="16.5" customHeight="1" x14ac:dyDescent="0.35"/>
    <row r="272" ht="16.5" customHeight="1" x14ac:dyDescent="0.35"/>
    <row r="273" ht="16.5" customHeight="1" x14ac:dyDescent="0.35"/>
    <row r="274" ht="16.5" customHeight="1" x14ac:dyDescent="0.35"/>
    <row r="275" ht="16.5" customHeight="1" x14ac:dyDescent="0.35"/>
    <row r="276" ht="16.5" customHeight="1" x14ac:dyDescent="0.35"/>
    <row r="277" ht="16.5" customHeight="1" x14ac:dyDescent="0.35"/>
    <row r="278" ht="16.5" customHeight="1" x14ac:dyDescent="0.35"/>
    <row r="279" ht="16.5" customHeight="1" x14ac:dyDescent="0.35"/>
    <row r="280" ht="16.5" customHeight="1" x14ac:dyDescent="0.35"/>
    <row r="281" ht="16.5" customHeight="1" x14ac:dyDescent="0.35"/>
    <row r="282" ht="16.5" customHeight="1" x14ac:dyDescent="0.35"/>
    <row r="283" ht="16.5" customHeight="1" x14ac:dyDescent="0.35"/>
    <row r="284" ht="16.5" customHeight="1" x14ac:dyDescent="0.35"/>
    <row r="285" ht="16.5" customHeight="1" x14ac:dyDescent="0.35"/>
    <row r="286" ht="16.5" customHeight="1" x14ac:dyDescent="0.35"/>
    <row r="287" ht="16.5" customHeight="1" x14ac:dyDescent="0.35"/>
    <row r="288" ht="16.5" customHeight="1" x14ac:dyDescent="0.35"/>
    <row r="289" ht="16.5" customHeight="1" x14ac:dyDescent="0.35"/>
    <row r="290" ht="16.5" customHeight="1" x14ac:dyDescent="0.35"/>
    <row r="291" ht="16.5" customHeight="1" x14ac:dyDescent="0.35"/>
    <row r="292" ht="16.5" customHeight="1" x14ac:dyDescent="0.35"/>
    <row r="293" ht="16.5" customHeight="1" x14ac:dyDescent="0.35"/>
    <row r="294" ht="16.5" customHeight="1" x14ac:dyDescent="0.35"/>
    <row r="295" ht="16.5" customHeight="1" x14ac:dyDescent="0.35"/>
    <row r="296" ht="16.5" customHeight="1" x14ac:dyDescent="0.35"/>
    <row r="297" ht="16.5" customHeight="1" x14ac:dyDescent="0.35"/>
    <row r="298" ht="16.5" customHeight="1" x14ac:dyDescent="0.35"/>
    <row r="299" ht="16.5" customHeight="1" x14ac:dyDescent="0.35"/>
    <row r="300" ht="16.5" customHeight="1" x14ac:dyDescent="0.35"/>
    <row r="301" ht="16.5" customHeight="1" x14ac:dyDescent="0.35"/>
    <row r="302" ht="16.5" customHeight="1" x14ac:dyDescent="0.35"/>
    <row r="303" ht="16.5" customHeight="1" x14ac:dyDescent="0.35"/>
    <row r="304" ht="16.5" customHeight="1" x14ac:dyDescent="0.35"/>
    <row r="305" ht="16.5" customHeight="1" x14ac:dyDescent="0.35"/>
    <row r="306" ht="16.5" customHeight="1" x14ac:dyDescent="0.35"/>
    <row r="307" ht="16.5" customHeight="1" x14ac:dyDescent="0.35"/>
    <row r="308" ht="16.5" customHeight="1" x14ac:dyDescent="0.35"/>
    <row r="309" ht="16.5" customHeight="1" x14ac:dyDescent="0.35"/>
    <row r="310" ht="16.5" customHeight="1" x14ac:dyDescent="0.35"/>
    <row r="311" ht="16.5" customHeight="1" x14ac:dyDescent="0.35"/>
    <row r="312" ht="16.5" customHeight="1" x14ac:dyDescent="0.35"/>
    <row r="313" ht="16.5" customHeight="1" x14ac:dyDescent="0.35"/>
    <row r="314" ht="16.5" customHeight="1" x14ac:dyDescent="0.35"/>
    <row r="315" ht="16.5" customHeight="1" x14ac:dyDescent="0.35"/>
    <row r="316" ht="16.5" customHeight="1" x14ac:dyDescent="0.35"/>
    <row r="317" ht="16.5" customHeight="1" x14ac:dyDescent="0.35"/>
    <row r="318" ht="16.5" customHeight="1" x14ac:dyDescent="0.35"/>
    <row r="319" ht="16.5" customHeight="1" x14ac:dyDescent="0.35"/>
    <row r="320" ht="16.5" customHeight="1" x14ac:dyDescent="0.35"/>
    <row r="321" ht="16.5" customHeight="1" x14ac:dyDescent="0.35"/>
    <row r="322" ht="16.5" customHeight="1" x14ac:dyDescent="0.35"/>
    <row r="323" ht="16.5" customHeight="1" x14ac:dyDescent="0.35"/>
    <row r="324" ht="16.5" customHeight="1" x14ac:dyDescent="0.35"/>
    <row r="325" ht="16.5" customHeight="1" x14ac:dyDescent="0.35"/>
    <row r="326" ht="16.5" customHeight="1" x14ac:dyDescent="0.35"/>
    <row r="327" ht="16.5" customHeight="1" x14ac:dyDescent="0.35"/>
    <row r="328" ht="16.5" customHeight="1" x14ac:dyDescent="0.35"/>
    <row r="329" ht="16.5" customHeight="1" x14ac:dyDescent="0.35"/>
    <row r="330" ht="16.5" customHeight="1" x14ac:dyDescent="0.35"/>
    <row r="331" ht="16.5" customHeight="1" x14ac:dyDescent="0.35"/>
    <row r="332" ht="16.5" customHeight="1" x14ac:dyDescent="0.35"/>
    <row r="333" ht="16.5" customHeight="1" x14ac:dyDescent="0.35"/>
    <row r="334" ht="16.5" customHeight="1" x14ac:dyDescent="0.35"/>
    <row r="335" ht="16.5" customHeight="1" x14ac:dyDescent="0.35"/>
    <row r="336" ht="16.5" customHeight="1" x14ac:dyDescent="0.35"/>
    <row r="337" ht="16.5" customHeight="1" x14ac:dyDescent="0.35"/>
    <row r="338" ht="16.5" customHeight="1" x14ac:dyDescent="0.35"/>
    <row r="339" ht="16.5" customHeight="1" x14ac:dyDescent="0.35"/>
    <row r="340" ht="16.5" customHeight="1" x14ac:dyDescent="0.35"/>
    <row r="341" ht="16.5" customHeight="1" x14ac:dyDescent="0.35"/>
    <row r="342" ht="16.5" customHeight="1" x14ac:dyDescent="0.35"/>
    <row r="343" ht="16.5" customHeight="1" x14ac:dyDescent="0.35"/>
    <row r="344" ht="16.5" customHeight="1" x14ac:dyDescent="0.35"/>
    <row r="345" ht="16.5" customHeight="1" x14ac:dyDescent="0.35"/>
    <row r="346" ht="16.5" customHeight="1" x14ac:dyDescent="0.35"/>
    <row r="347" ht="16.5" customHeight="1" x14ac:dyDescent="0.35"/>
    <row r="348" ht="16.5" customHeight="1" x14ac:dyDescent="0.35"/>
    <row r="349" ht="16.5" customHeight="1" x14ac:dyDescent="0.35"/>
    <row r="350" ht="16.5" customHeight="1" x14ac:dyDescent="0.35"/>
    <row r="351" ht="16.5" customHeight="1" x14ac:dyDescent="0.35"/>
    <row r="352" ht="16.5" customHeight="1" x14ac:dyDescent="0.35"/>
    <row r="353" ht="16.5" customHeight="1" x14ac:dyDescent="0.35"/>
    <row r="354" ht="16.5" customHeight="1" x14ac:dyDescent="0.35"/>
    <row r="355" ht="16.5" customHeight="1" x14ac:dyDescent="0.35"/>
    <row r="356" ht="16.5" customHeight="1" x14ac:dyDescent="0.35"/>
    <row r="357" ht="16.5" customHeight="1" x14ac:dyDescent="0.35"/>
    <row r="358" ht="16.5" customHeight="1" x14ac:dyDescent="0.35"/>
    <row r="359" ht="16.5" customHeight="1" x14ac:dyDescent="0.35"/>
    <row r="360" ht="16.5" customHeight="1" x14ac:dyDescent="0.35"/>
    <row r="361" ht="16.5" customHeight="1" x14ac:dyDescent="0.35"/>
    <row r="362" ht="16.5" customHeight="1" x14ac:dyDescent="0.35"/>
    <row r="363" ht="16.5" customHeight="1" x14ac:dyDescent="0.35"/>
    <row r="364" ht="16.5" customHeight="1" x14ac:dyDescent="0.35"/>
    <row r="365" ht="16.5" customHeight="1" x14ac:dyDescent="0.35"/>
    <row r="366" ht="16.5" customHeight="1" x14ac:dyDescent="0.35"/>
    <row r="367" ht="16.5" customHeight="1" x14ac:dyDescent="0.35"/>
    <row r="368" ht="16.5" customHeight="1" x14ac:dyDescent="0.35"/>
    <row r="369" ht="16.5" customHeight="1" x14ac:dyDescent="0.35"/>
    <row r="370" ht="16.5" customHeight="1" x14ac:dyDescent="0.35"/>
    <row r="371" ht="16.5" customHeight="1" x14ac:dyDescent="0.35"/>
    <row r="372" ht="16.5" customHeight="1" x14ac:dyDescent="0.35"/>
    <row r="373" ht="16.5" customHeight="1" x14ac:dyDescent="0.35"/>
    <row r="374" ht="16.5" customHeight="1" x14ac:dyDescent="0.35"/>
    <row r="375" ht="16.5" customHeight="1" x14ac:dyDescent="0.35"/>
    <row r="376" ht="16.5" customHeight="1" x14ac:dyDescent="0.35"/>
    <row r="377" ht="16.5" customHeight="1" x14ac:dyDescent="0.35"/>
    <row r="378" ht="16.5" customHeight="1" x14ac:dyDescent="0.35"/>
    <row r="379" ht="16.5" customHeight="1" x14ac:dyDescent="0.35"/>
    <row r="380" ht="16.5" customHeight="1" x14ac:dyDescent="0.35"/>
    <row r="381" ht="16.5" customHeight="1" x14ac:dyDescent="0.35"/>
    <row r="382" ht="16.5" customHeight="1" x14ac:dyDescent="0.35"/>
    <row r="383" ht="16.5" customHeight="1" x14ac:dyDescent="0.35"/>
    <row r="384" ht="16.5" customHeight="1" x14ac:dyDescent="0.35"/>
    <row r="385" ht="16.5" customHeight="1" x14ac:dyDescent="0.35"/>
    <row r="386" ht="16.5" customHeight="1" x14ac:dyDescent="0.35"/>
    <row r="387" ht="16.5" customHeight="1" x14ac:dyDescent="0.35"/>
    <row r="388" ht="16.5" customHeight="1" x14ac:dyDescent="0.35"/>
    <row r="389" ht="16.5" customHeight="1" x14ac:dyDescent="0.35"/>
    <row r="390" ht="16.5" customHeight="1" x14ac:dyDescent="0.35"/>
    <row r="391" ht="16.5" customHeight="1" x14ac:dyDescent="0.35"/>
    <row r="392" ht="16.5" customHeight="1" x14ac:dyDescent="0.35"/>
    <row r="393" ht="16.5" customHeight="1" x14ac:dyDescent="0.35"/>
    <row r="394" ht="16.5" customHeight="1" x14ac:dyDescent="0.35"/>
    <row r="395" ht="16.5" customHeight="1" x14ac:dyDescent="0.35"/>
    <row r="396" ht="16.5" customHeight="1" x14ac:dyDescent="0.35"/>
    <row r="397" ht="16.5" customHeight="1" x14ac:dyDescent="0.35"/>
    <row r="398" ht="16.5" customHeight="1" x14ac:dyDescent="0.35"/>
    <row r="399" ht="16.5" customHeight="1" x14ac:dyDescent="0.35"/>
    <row r="400" ht="16.5" customHeight="1" x14ac:dyDescent="0.35"/>
    <row r="401" ht="16.5" customHeight="1" x14ac:dyDescent="0.35"/>
    <row r="402" ht="16.5" customHeight="1" x14ac:dyDescent="0.35"/>
    <row r="403" ht="16.5" customHeight="1" x14ac:dyDescent="0.35"/>
    <row r="404" ht="16.5" customHeight="1" x14ac:dyDescent="0.35"/>
    <row r="405" ht="16.5" customHeight="1" x14ac:dyDescent="0.35"/>
    <row r="406" ht="16.5" customHeight="1" x14ac:dyDescent="0.35"/>
    <row r="407" ht="16.5" customHeight="1" x14ac:dyDescent="0.35"/>
    <row r="408" ht="16.5" customHeight="1" x14ac:dyDescent="0.35"/>
    <row r="409" ht="16.5" customHeight="1" x14ac:dyDescent="0.35"/>
    <row r="410" ht="16.5" customHeight="1" x14ac:dyDescent="0.35"/>
    <row r="411" ht="16.5" customHeight="1" x14ac:dyDescent="0.35"/>
    <row r="412" ht="16.5" customHeight="1" x14ac:dyDescent="0.35"/>
    <row r="413" ht="16.5" customHeight="1" x14ac:dyDescent="0.35"/>
    <row r="414" ht="16.5" customHeight="1" x14ac:dyDescent="0.35"/>
    <row r="415" ht="16.5" customHeight="1" x14ac:dyDescent="0.35"/>
    <row r="416" ht="16.5" customHeight="1" x14ac:dyDescent="0.35"/>
    <row r="417" ht="16.5" customHeight="1" x14ac:dyDescent="0.35"/>
    <row r="418" ht="16.5" customHeight="1" x14ac:dyDescent="0.35"/>
    <row r="419" ht="16.5" customHeight="1" x14ac:dyDescent="0.35"/>
    <row r="420" ht="16.5" customHeight="1" x14ac:dyDescent="0.35"/>
    <row r="421" ht="16.5" customHeight="1" x14ac:dyDescent="0.35"/>
    <row r="422" ht="16.5" customHeight="1" x14ac:dyDescent="0.35"/>
    <row r="423" ht="16.5" customHeight="1" x14ac:dyDescent="0.35"/>
    <row r="424" ht="16.5" customHeight="1" x14ac:dyDescent="0.35"/>
    <row r="425" ht="16.5" customHeight="1" x14ac:dyDescent="0.35"/>
    <row r="426" ht="16.5" customHeight="1" x14ac:dyDescent="0.35"/>
    <row r="427" ht="16.5" customHeight="1" x14ac:dyDescent="0.35"/>
    <row r="428" ht="16.5" customHeight="1" x14ac:dyDescent="0.35"/>
    <row r="429" ht="16.5" customHeight="1" x14ac:dyDescent="0.35"/>
    <row r="430" ht="16.5" customHeight="1" x14ac:dyDescent="0.35"/>
    <row r="431" ht="16.5" customHeight="1" x14ac:dyDescent="0.35"/>
    <row r="432" ht="16.5" customHeight="1" x14ac:dyDescent="0.35"/>
    <row r="433" ht="16.5" customHeight="1" x14ac:dyDescent="0.35"/>
    <row r="434" ht="16.5" customHeight="1" x14ac:dyDescent="0.35"/>
    <row r="435" ht="16.5" customHeight="1" x14ac:dyDescent="0.35"/>
    <row r="436" ht="16.5" customHeight="1" x14ac:dyDescent="0.35"/>
    <row r="437" ht="16.5" customHeight="1" x14ac:dyDescent="0.35"/>
    <row r="438" ht="16.5" customHeight="1" x14ac:dyDescent="0.35"/>
    <row r="439" ht="16.5" customHeight="1" x14ac:dyDescent="0.35"/>
    <row r="440" ht="16.5" customHeight="1" x14ac:dyDescent="0.35"/>
    <row r="441" ht="16.5" customHeight="1" x14ac:dyDescent="0.35"/>
    <row r="442" ht="16.5" customHeight="1" x14ac:dyDescent="0.35"/>
    <row r="443" ht="16.5" customHeight="1" x14ac:dyDescent="0.35"/>
    <row r="444" ht="16.5" customHeight="1" x14ac:dyDescent="0.35"/>
    <row r="445" ht="16.5" customHeight="1" x14ac:dyDescent="0.35"/>
    <row r="446" ht="16.5" customHeight="1" x14ac:dyDescent="0.35"/>
    <row r="447" ht="16.5" customHeight="1" x14ac:dyDescent="0.35"/>
    <row r="448" ht="16.5" customHeight="1" x14ac:dyDescent="0.35"/>
    <row r="449" ht="16.5" customHeight="1" x14ac:dyDescent="0.35"/>
    <row r="450" ht="16.5" customHeight="1" x14ac:dyDescent="0.35"/>
    <row r="451" ht="16.5" customHeight="1" x14ac:dyDescent="0.35"/>
    <row r="452" ht="16.5" customHeight="1" x14ac:dyDescent="0.35"/>
    <row r="453" ht="16.5" customHeight="1" x14ac:dyDescent="0.35"/>
    <row r="454" ht="16.5" customHeight="1" x14ac:dyDescent="0.35"/>
    <row r="455" ht="16.5" customHeight="1" x14ac:dyDescent="0.35"/>
    <row r="456" ht="16.5" customHeight="1" x14ac:dyDescent="0.35"/>
    <row r="457" ht="16.5" customHeight="1" x14ac:dyDescent="0.35"/>
    <row r="458" ht="16.5" customHeight="1" x14ac:dyDescent="0.35"/>
    <row r="459" ht="16.5" customHeight="1" x14ac:dyDescent="0.35"/>
    <row r="460" ht="16.5" customHeight="1" x14ac:dyDescent="0.35"/>
    <row r="461" ht="16.5" customHeight="1" x14ac:dyDescent="0.35"/>
    <row r="462" ht="16.5" customHeight="1" x14ac:dyDescent="0.35"/>
    <row r="463" ht="16.5" customHeight="1" x14ac:dyDescent="0.35"/>
    <row r="464" ht="16.5" customHeight="1" x14ac:dyDescent="0.35"/>
    <row r="465" ht="16.5" customHeight="1" x14ac:dyDescent="0.35"/>
    <row r="466" ht="16.5" customHeight="1" x14ac:dyDescent="0.35"/>
    <row r="467" ht="16.5" customHeight="1" x14ac:dyDescent="0.35"/>
    <row r="468" ht="16.5" customHeight="1" x14ac:dyDescent="0.35"/>
    <row r="469" ht="16.5" customHeight="1" x14ac:dyDescent="0.35"/>
    <row r="470" ht="16.5" customHeight="1" x14ac:dyDescent="0.35"/>
    <row r="471" ht="16.5" customHeight="1" x14ac:dyDescent="0.35"/>
    <row r="472" ht="16.5" customHeight="1" x14ac:dyDescent="0.35"/>
    <row r="473" ht="16.5" customHeight="1" x14ac:dyDescent="0.35"/>
    <row r="474" ht="16.5" customHeight="1" x14ac:dyDescent="0.35"/>
    <row r="475" ht="16.5" customHeight="1" x14ac:dyDescent="0.35"/>
    <row r="476" ht="16.5" customHeight="1" x14ac:dyDescent="0.35"/>
    <row r="477" ht="16.5" customHeight="1" x14ac:dyDescent="0.35"/>
    <row r="478" ht="16.5" customHeight="1" x14ac:dyDescent="0.35"/>
    <row r="479" ht="16.5" customHeight="1" x14ac:dyDescent="0.35"/>
    <row r="480" ht="16.5" customHeight="1" x14ac:dyDescent="0.35"/>
    <row r="481" ht="16.5" customHeight="1" x14ac:dyDescent="0.35"/>
    <row r="482" ht="16.5" customHeight="1" x14ac:dyDescent="0.35"/>
    <row r="483" ht="16.5" customHeight="1" x14ac:dyDescent="0.35"/>
    <row r="484" ht="16.5" customHeight="1" x14ac:dyDescent="0.35"/>
    <row r="485" ht="16.5" customHeight="1" x14ac:dyDescent="0.35"/>
    <row r="486" ht="16.5" customHeight="1" x14ac:dyDescent="0.35"/>
    <row r="487" ht="16.5" customHeight="1" x14ac:dyDescent="0.35"/>
    <row r="488" ht="16.5" customHeight="1" x14ac:dyDescent="0.35"/>
    <row r="489" ht="16.5" customHeight="1" x14ac:dyDescent="0.35"/>
    <row r="490" ht="16.5" customHeight="1" x14ac:dyDescent="0.35"/>
    <row r="491" ht="16.5" customHeight="1" x14ac:dyDescent="0.35"/>
    <row r="492" ht="16.5" customHeight="1" x14ac:dyDescent="0.35"/>
    <row r="493" ht="16.5" customHeight="1" x14ac:dyDescent="0.35"/>
    <row r="494" ht="16.5" customHeight="1" x14ac:dyDescent="0.35"/>
    <row r="495" ht="16.5" customHeight="1" x14ac:dyDescent="0.35"/>
    <row r="496" ht="16.5" customHeight="1" x14ac:dyDescent="0.35"/>
    <row r="497" ht="16.5" customHeight="1" x14ac:dyDescent="0.35"/>
    <row r="498" ht="16.5" customHeight="1" x14ac:dyDescent="0.35"/>
    <row r="499" ht="16.5" customHeight="1" x14ac:dyDescent="0.35"/>
    <row r="500" ht="16.5" customHeight="1" x14ac:dyDescent="0.35"/>
    <row r="501" ht="16.5" customHeight="1" x14ac:dyDescent="0.35"/>
    <row r="502" ht="16.5" customHeight="1" x14ac:dyDescent="0.35"/>
    <row r="503" ht="16.5" customHeight="1" x14ac:dyDescent="0.35"/>
    <row r="504" ht="16.5" customHeight="1" x14ac:dyDescent="0.35"/>
    <row r="505" ht="16.5" customHeight="1" x14ac:dyDescent="0.35"/>
    <row r="506" ht="16.5" customHeight="1" x14ac:dyDescent="0.35"/>
    <row r="507" ht="16.5" customHeight="1" x14ac:dyDescent="0.35"/>
    <row r="508" ht="16.5" customHeight="1" x14ac:dyDescent="0.35"/>
    <row r="509" ht="16.5" customHeight="1" x14ac:dyDescent="0.35"/>
    <row r="510" ht="16.5" customHeight="1" x14ac:dyDescent="0.35"/>
    <row r="511" ht="16.5" customHeight="1" x14ac:dyDescent="0.35"/>
    <row r="512" ht="16.5" customHeight="1" x14ac:dyDescent="0.35"/>
    <row r="513" ht="16.5" customHeight="1" x14ac:dyDescent="0.35"/>
    <row r="514" ht="16.5" customHeight="1" x14ac:dyDescent="0.35"/>
    <row r="515" ht="16.5" customHeight="1" x14ac:dyDescent="0.35"/>
    <row r="516" ht="16.5" customHeight="1" x14ac:dyDescent="0.35"/>
    <row r="517" ht="16.5" customHeight="1" x14ac:dyDescent="0.35"/>
    <row r="518" ht="16.5" customHeight="1" x14ac:dyDescent="0.35"/>
    <row r="519" ht="16.5" customHeight="1" x14ac:dyDescent="0.35"/>
    <row r="520" ht="16.5" customHeight="1" x14ac:dyDescent="0.35"/>
    <row r="521" ht="16.5" customHeight="1" x14ac:dyDescent="0.35"/>
    <row r="522" ht="16.5" customHeight="1" x14ac:dyDescent="0.35"/>
    <row r="523" ht="16.5" customHeight="1" x14ac:dyDescent="0.35"/>
    <row r="524" ht="16.5" customHeight="1" x14ac:dyDescent="0.35"/>
    <row r="525" ht="16.5" customHeight="1" x14ac:dyDescent="0.35"/>
    <row r="526" ht="16.5" customHeight="1" x14ac:dyDescent="0.35"/>
    <row r="527" ht="16.5" customHeight="1" x14ac:dyDescent="0.35"/>
    <row r="528" ht="16.5" customHeight="1" x14ac:dyDescent="0.35"/>
    <row r="529" ht="16.5" customHeight="1" x14ac:dyDescent="0.35"/>
    <row r="530" ht="16.5" customHeight="1" x14ac:dyDescent="0.35"/>
    <row r="531" ht="16.5" customHeight="1" x14ac:dyDescent="0.35"/>
    <row r="532" ht="16.5" customHeight="1" x14ac:dyDescent="0.35"/>
    <row r="533" ht="16.5" customHeight="1" x14ac:dyDescent="0.35"/>
    <row r="534" ht="16.5" customHeight="1" x14ac:dyDescent="0.35"/>
    <row r="535" ht="16.5" customHeight="1" x14ac:dyDescent="0.35"/>
    <row r="536" ht="16.5" customHeight="1" x14ac:dyDescent="0.35"/>
    <row r="537" ht="16.5" customHeight="1" x14ac:dyDescent="0.35"/>
    <row r="538" ht="16.5" customHeight="1" x14ac:dyDescent="0.35"/>
    <row r="539" ht="16.5" customHeight="1" x14ac:dyDescent="0.35"/>
    <row r="540" ht="16.5" customHeight="1" x14ac:dyDescent="0.35"/>
    <row r="541" ht="16.5" customHeight="1" x14ac:dyDescent="0.35"/>
    <row r="542" ht="16.5" customHeight="1" x14ac:dyDescent="0.35"/>
    <row r="543" ht="16.5" customHeight="1" x14ac:dyDescent="0.35"/>
    <row r="544" ht="16.5" customHeight="1" x14ac:dyDescent="0.35"/>
    <row r="545" ht="16.5" customHeight="1" x14ac:dyDescent="0.35"/>
    <row r="546" ht="16.5" customHeight="1" x14ac:dyDescent="0.35"/>
    <row r="547" ht="16.5" customHeight="1" x14ac:dyDescent="0.35"/>
    <row r="548" ht="16.5" customHeight="1" x14ac:dyDescent="0.35"/>
    <row r="549" ht="16.5" customHeight="1" x14ac:dyDescent="0.35"/>
    <row r="550" ht="16.5" customHeight="1" x14ac:dyDescent="0.35"/>
    <row r="551" ht="16.5" customHeight="1" x14ac:dyDescent="0.35"/>
    <row r="552" ht="16.5" customHeight="1" x14ac:dyDescent="0.35"/>
    <row r="553" ht="16.5" customHeight="1" x14ac:dyDescent="0.35"/>
    <row r="554" ht="16.5" customHeight="1" x14ac:dyDescent="0.35"/>
    <row r="555" ht="16.5" customHeight="1"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3" ht="14.5" customHeight="1" x14ac:dyDescent="0.35"/>
    <row r="584" ht="14.5" customHeight="1" x14ac:dyDescent="0.35"/>
    <row r="585" ht="14.5" customHeight="1" x14ac:dyDescent="0.35"/>
    <row r="586" ht="14.5" customHeight="1" x14ac:dyDescent="0.35"/>
    <row r="587" ht="14.5" customHeight="1" x14ac:dyDescent="0.35"/>
    <row r="588" ht="14.5" customHeight="1" x14ac:dyDescent="0.35"/>
    <row r="589" ht="14.5" customHeight="1" x14ac:dyDescent="0.35"/>
    <row r="590" ht="14.5" customHeight="1" x14ac:dyDescent="0.35"/>
    <row r="591" ht="14.5" customHeight="1" x14ac:dyDescent="0.35"/>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zoomScaleNormal="100" workbookViewId="0"/>
  </sheetViews>
  <sheetFormatPr defaultColWidth="0" defaultRowHeight="0" customHeight="1" zeroHeight="1" x14ac:dyDescent="0.3"/>
  <cols>
    <col min="1" max="2" width="2.1796875" style="11" customWidth="1"/>
    <col min="3" max="3" width="3" style="11" customWidth="1"/>
    <col min="4" max="4" width="10.54296875" style="11" customWidth="1"/>
    <col min="5" max="5" width="33.81640625" style="11" customWidth="1"/>
    <col min="6" max="6" width="14.7265625" style="11" customWidth="1"/>
    <col min="7" max="7" width="9.1796875" style="11" customWidth="1"/>
    <col min="8" max="8" width="7.81640625" style="11" customWidth="1"/>
    <col min="9" max="9" width="35.26953125" style="11" customWidth="1"/>
    <col min="10" max="10" width="13.81640625" style="11" customWidth="1"/>
    <col min="11" max="11" width="2.81640625" style="11" customWidth="1"/>
    <col min="12" max="12" width="1.54296875" style="11" customWidth="1"/>
    <col min="13" max="13" width="4.1796875" style="11" customWidth="1"/>
    <col min="14" max="14" width="4.26953125" style="11" customWidth="1"/>
    <col min="15" max="15" width="5.7265625" style="11" customWidth="1"/>
    <col min="16" max="16" width="9.1796875" style="11" customWidth="1"/>
    <col min="17" max="17" width="34.54296875" style="11" customWidth="1"/>
    <col min="18" max="18" width="13.7265625" style="11" bestFit="1" customWidth="1"/>
    <col min="19" max="19" width="19.26953125" style="11" customWidth="1"/>
    <col min="20" max="28" width="9.1796875" style="11" customWidth="1"/>
    <col min="29" max="29" width="0" style="11" hidden="1" customWidth="1"/>
    <col min="30" max="16384" width="9.1796875" style="11" hidden="1"/>
  </cols>
  <sheetData>
    <row r="1" spans="1:19" ht="15.65" customHeight="1" x14ac:dyDescent="0.6">
      <c r="B1" s="12"/>
      <c r="C1" s="12"/>
      <c r="E1" s="13"/>
      <c r="F1" s="669"/>
      <c r="G1" s="669"/>
      <c r="H1" s="669"/>
      <c r="I1" s="669"/>
      <c r="J1" s="669"/>
      <c r="K1" s="670"/>
      <c r="L1" s="670"/>
      <c r="M1" s="670"/>
      <c r="N1" s="670"/>
      <c r="O1" s="670"/>
      <c r="P1" s="670"/>
    </row>
    <row r="2" spans="1:19" ht="15.75" customHeight="1" x14ac:dyDescent="0.6">
      <c r="B2" s="12"/>
      <c r="C2" s="12"/>
      <c r="E2" s="13"/>
    </row>
    <row r="3" spans="1:19" ht="15.75" customHeight="1" x14ac:dyDescent="0.6">
      <c r="A3" s="13"/>
      <c r="B3" s="13"/>
      <c r="C3" s="13"/>
      <c r="D3" s="13"/>
      <c r="E3" s="13"/>
      <c r="F3" s="671"/>
      <c r="G3" s="671"/>
      <c r="H3" s="671"/>
      <c r="I3" s="671"/>
      <c r="J3" s="671"/>
      <c r="K3" s="671"/>
      <c r="L3" s="671"/>
      <c r="M3" s="671"/>
      <c r="N3" s="671"/>
      <c r="O3" s="671"/>
      <c r="P3" s="671"/>
      <c r="Q3" s="671"/>
    </row>
    <row r="4" spans="1:19" ht="16.5" customHeight="1" x14ac:dyDescent="0.6">
      <c r="A4" s="13"/>
      <c r="B4" s="13"/>
      <c r="C4" s="13"/>
      <c r="D4" s="13"/>
      <c r="E4" s="13"/>
      <c r="F4" s="671"/>
      <c r="G4" s="671"/>
      <c r="H4" s="671"/>
      <c r="I4" s="671"/>
      <c r="J4" s="671"/>
      <c r="K4" s="671"/>
      <c r="L4" s="671"/>
      <c r="M4" s="671"/>
      <c r="N4" s="671"/>
      <c r="O4" s="671"/>
      <c r="P4" s="671"/>
      <c r="Q4" s="671"/>
    </row>
    <row r="5" spans="1:19" ht="16.5" customHeight="1" x14ac:dyDescent="0.6">
      <c r="A5" s="13"/>
      <c r="B5" s="13"/>
      <c r="C5" s="13"/>
      <c r="D5" s="13"/>
      <c r="E5" s="13"/>
      <c r="F5" s="14"/>
      <c r="G5" s="14"/>
      <c r="H5" s="14"/>
      <c r="I5" s="14"/>
      <c r="J5" s="14"/>
      <c r="K5" s="14"/>
      <c r="L5" s="14"/>
      <c r="M5" s="14"/>
      <c r="N5" s="14"/>
      <c r="O5" s="14"/>
      <c r="P5" s="14"/>
      <c r="Q5" s="14"/>
      <c r="R5" s="14"/>
      <c r="S5" s="14"/>
    </row>
    <row r="6" spans="1:19" ht="16.5" customHeight="1" x14ac:dyDescent="0.6">
      <c r="B6" s="12"/>
      <c r="C6" s="12"/>
      <c r="D6" s="13"/>
      <c r="E6" s="13"/>
      <c r="F6" s="14"/>
      <c r="G6" s="14"/>
      <c r="H6" s="14"/>
      <c r="I6" s="14"/>
      <c r="J6" s="14"/>
      <c r="K6" s="14"/>
      <c r="L6" s="14"/>
      <c r="M6" s="14"/>
      <c r="N6" s="14"/>
      <c r="O6" s="14"/>
      <c r="P6" s="14"/>
      <c r="Q6" s="14"/>
      <c r="R6" s="14"/>
      <c r="S6" s="14"/>
    </row>
    <row r="7" spans="1:19" ht="16.5" customHeight="1" x14ac:dyDescent="0.6">
      <c r="B7" s="12"/>
      <c r="C7" s="13"/>
      <c r="D7" s="13"/>
      <c r="E7" s="13"/>
      <c r="F7" s="14"/>
      <c r="G7" s="14"/>
      <c r="H7" s="14"/>
      <c r="I7" s="14"/>
      <c r="J7" s="14"/>
      <c r="K7" s="14"/>
      <c r="L7" s="14"/>
      <c r="M7" s="14"/>
      <c r="N7" s="14"/>
      <c r="O7" s="14"/>
      <c r="P7" s="14"/>
      <c r="Q7" s="14"/>
      <c r="R7" s="14"/>
      <c r="S7" s="14"/>
    </row>
    <row r="8" spans="1:19" ht="23.5" customHeight="1" thickBot="1" x14ac:dyDescent="0.65">
      <c r="B8" s="12"/>
      <c r="C8" s="12"/>
      <c r="D8" s="13"/>
      <c r="E8" s="677"/>
      <c r="F8" s="677"/>
      <c r="G8" s="677"/>
      <c r="H8" s="677"/>
      <c r="I8" s="677"/>
      <c r="J8" s="677"/>
      <c r="K8" s="14"/>
      <c r="L8" s="14"/>
      <c r="M8" s="14"/>
      <c r="N8" s="14"/>
      <c r="O8" s="14"/>
      <c r="P8" s="14"/>
      <c r="Q8" s="14"/>
      <c r="R8" s="14"/>
      <c r="S8" s="14"/>
    </row>
    <row r="9" spans="1:19" ht="23.5" customHeight="1" x14ac:dyDescent="0.3">
      <c r="B9" s="12"/>
      <c r="D9" s="686" t="s">
        <v>0</v>
      </c>
      <c r="E9" s="687"/>
      <c r="F9" s="687"/>
      <c r="G9" s="687"/>
      <c r="H9" s="687"/>
      <c r="I9" s="687"/>
      <c r="J9" s="688"/>
      <c r="K9" s="14"/>
      <c r="L9" s="14"/>
      <c r="M9" s="14"/>
      <c r="N9" s="14"/>
      <c r="O9" s="14"/>
      <c r="P9" s="14"/>
      <c r="Q9" s="14"/>
      <c r="R9" s="14"/>
      <c r="S9" s="14"/>
    </row>
    <row r="10" spans="1:19" ht="21.65" customHeight="1" thickBot="1" x14ac:dyDescent="0.35">
      <c r="B10" s="12"/>
      <c r="D10" s="689"/>
      <c r="E10" s="690"/>
      <c r="F10" s="690"/>
      <c r="G10" s="690"/>
      <c r="H10" s="690"/>
      <c r="I10" s="690"/>
      <c r="J10" s="691"/>
      <c r="K10" s="14"/>
      <c r="L10" s="14"/>
      <c r="M10" s="14"/>
      <c r="N10" s="14"/>
      <c r="P10" s="14"/>
      <c r="Q10" s="14"/>
      <c r="R10" s="14"/>
    </row>
    <row r="11" spans="1:19" ht="25.9" customHeight="1" x14ac:dyDescent="0.3">
      <c r="B11" s="12"/>
      <c r="D11" s="672" t="s">
        <v>1</v>
      </c>
      <c r="E11" s="673"/>
      <c r="F11" s="674"/>
      <c r="G11" s="675"/>
      <c r="H11" s="675"/>
      <c r="I11" s="675"/>
      <c r="J11" s="676"/>
      <c r="K11" s="14"/>
      <c r="L11" s="14"/>
      <c r="M11" s="14"/>
      <c r="N11" s="14"/>
      <c r="P11" s="14"/>
      <c r="Q11" s="14"/>
      <c r="R11" s="14"/>
    </row>
    <row r="12" spans="1:19" ht="24" customHeight="1" x14ac:dyDescent="0.3">
      <c r="B12" s="12"/>
      <c r="D12" s="667" t="s">
        <v>2</v>
      </c>
      <c r="E12" s="668"/>
      <c r="F12" s="692"/>
      <c r="G12" s="693"/>
      <c r="H12" s="693"/>
      <c r="I12" s="693"/>
      <c r="J12" s="694"/>
      <c r="K12" s="14"/>
      <c r="L12" s="14"/>
      <c r="M12" s="14"/>
      <c r="N12" s="14"/>
      <c r="P12" s="14"/>
      <c r="Q12" s="14"/>
      <c r="R12" s="14"/>
    </row>
    <row r="13" spans="1:19" ht="21.65" customHeight="1" x14ac:dyDescent="0.3">
      <c r="B13" s="12"/>
      <c r="D13" s="698" t="s">
        <v>3</v>
      </c>
      <c r="E13" s="699"/>
      <c r="F13" s="692"/>
      <c r="G13" s="693"/>
      <c r="H13" s="693"/>
      <c r="I13" s="693"/>
      <c r="J13" s="694"/>
      <c r="K13" s="14"/>
      <c r="L13" s="14"/>
      <c r="M13" s="14"/>
      <c r="N13" s="14"/>
      <c r="P13" s="14"/>
      <c r="Q13" s="14"/>
      <c r="R13" s="14"/>
    </row>
    <row r="14" spans="1:19" ht="22.15" customHeight="1" x14ac:dyDescent="0.3">
      <c r="B14" s="12"/>
      <c r="D14" s="667" t="s">
        <v>4</v>
      </c>
      <c r="E14" s="668"/>
      <c r="F14" s="692"/>
      <c r="G14" s="693"/>
      <c r="H14" s="693"/>
      <c r="I14" s="693"/>
      <c r="J14" s="694"/>
      <c r="K14" s="14"/>
      <c r="L14" s="14"/>
      <c r="M14" s="14"/>
      <c r="N14" s="14"/>
      <c r="P14" s="14"/>
      <c r="Q14" s="14"/>
      <c r="R14" s="14"/>
    </row>
    <row r="15" spans="1:19" ht="21.65" customHeight="1" x14ac:dyDescent="0.3">
      <c r="B15" s="12"/>
      <c r="D15" s="667" t="s">
        <v>5</v>
      </c>
      <c r="E15" s="668"/>
      <c r="F15" s="692"/>
      <c r="G15" s="693"/>
      <c r="H15" s="693"/>
      <c r="I15" s="693"/>
      <c r="J15" s="694"/>
      <c r="K15" s="14"/>
      <c r="L15" s="14"/>
      <c r="M15" s="14"/>
      <c r="N15" s="14"/>
      <c r="P15" s="14"/>
      <c r="Q15" s="14"/>
      <c r="R15" s="14"/>
    </row>
    <row r="16" spans="1:19" ht="21" customHeight="1" x14ac:dyDescent="0.3">
      <c r="D16" s="667" t="s">
        <v>6</v>
      </c>
      <c r="E16" s="668"/>
      <c r="F16" s="692"/>
      <c r="G16" s="693"/>
      <c r="H16" s="693"/>
      <c r="I16" s="693"/>
      <c r="J16" s="694"/>
      <c r="K16" s="14"/>
      <c r="L16" s="14"/>
      <c r="M16" s="14"/>
      <c r="N16" s="14"/>
      <c r="P16" s="14"/>
      <c r="Q16" s="14"/>
      <c r="R16" s="14"/>
    </row>
    <row r="17" spans="3:18" ht="23.5" customHeight="1" x14ac:dyDescent="0.3">
      <c r="D17" s="667" t="s">
        <v>7</v>
      </c>
      <c r="E17" s="668"/>
      <c r="F17" s="692"/>
      <c r="G17" s="693"/>
      <c r="H17" s="693"/>
      <c r="I17" s="693"/>
      <c r="J17" s="694"/>
      <c r="K17" s="14"/>
      <c r="L17" s="14"/>
      <c r="M17" s="14"/>
      <c r="N17" s="14"/>
      <c r="P17" s="14"/>
      <c r="Q17" s="14"/>
      <c r="R17" s="14"/>
    </row>
    <row r="18" spans="3:18" ht="19.899999999999999" customHeight="1" x14ac:dyDescent="0.3">
      <c r="D18" s="667" t="s">
        <v>8</v>
      </c>
      <c r="E18" s="668"/>
      <c r="F18" s="692"/>
      <c r="G18" s="693"/>
      <c r="H18" s="693"/>
      <c r="I18" s="693"/>
      <c r="J18" s="694"/>
      <c r="K18" s="14"/>
      <c r="L18" s="14"/>
      <c r="M18" s="14"/>
      <c r="N18" s="14"/>
      <c r="P18" s="14"/>
      <c r="Q18" s="14"/>
      <c r="R18" s="14"/>
    </row>
    <row r="19" spans="3:18" ht="19.899999999999999" customHeight="1" x14ac:dyDescent="0.3">
      <c r="D19" s="667" t="s">
        <v>9</v>
      </c>
      <c r="E19" s="668"/>
      <c r="F19" s="695"/>
      <c r="G19" s="696"/>
      <c r="H19" s="696"/>
      <c r="I19" s="696"/>
      <c r="J19" s="697"/>
      <c r="K19" s="14"/>
      <c r="L19" s="14"/>
      <c r="M19" s="14"/>
      <c r="N19" s="14"/>
      <c r="P19" s="14"/>
      <c r="Q19" s="14"/>
      <c r="R19" s="14"/>
    </row>
    <row r="20" spans="3:18" ht="21.65" customHeight="1" thickBot="1" x14ac:dyDescent="0.35">
      <c r="D20" s="700" t="s">
        <v>10</v>
      </c>
      <c r="E20" s="701"/>
      <c r="F20" s="702"/>
      <c r="G20" s="703"/>
      <c r="H20" s="703"/>
      <c r="I20" s="703"/>
      <c r="J20" s="704"/>
      <c r="K20" s="14"/>
      <c r="L20" s="14"/>
      <c r="M20" s="14"/>
      <c r="N20" s="14"/>
      <c r="P20" s="14"/>
      <c r="Q20" s="14"/>
      <c r="R20" s="14"/>
    </row>
    <row r="21" spans="3:18" ht="16.5" customHeight="1" x14ac:dyDescent="0.3">
      <c r="P21" s="14"/>
      <c r="Q21" s="14"/>
      <c r="R21" s="14"/>
    </row>
    <row r="22" spans="3:18" ht="16.5" customHeight="1" thickBot="1" x14ac:dyDescent="0.35">
      <c r="C22" s="14"/>
      <c r="D22" s="14"/>
      <c r="E22" s="14"/>
      <c r="F22" s="14"/>
      <c r="G22" s="14"/>
      <c r="H22" s="14"/>
      <c r="I22" s="14"/>
      <c r="J22" s="14"/>
      <c r="K22" s="14"/>
      <c r="P22" s="14"/>
      <c r="Q22" s="14"/>
      <c r="R22" s="14"/>
    </row>
    <row r="23" spans="3:18" ht="20.25" customHeight="1" thickBot="1" x14ac:dyDescent="0.45">
      <c r="C23" s="14"/>
      <c r="D23" s="707" t="s">
        <v>11</v>
      </c>
      <c r="E23" s="708"/>
      <c r="F23" s="708"/>
      <c r="G23" s="708"/>
      <c r="H23" s="708"/>
      <c r="I23" s="708"/>
      <c r="J23" s="709"/>
      <c r="K23" s="14"/>
      <c r="L23" s="15"/>
      <c r="M23" s="15"/>
      <c r="N23" s="15"/>
      <c r="P23" s="14"/>
      <c r="Q23" s="14"/>
      <c r="R23" s="14"/>
    </row>
    <row r="24" spans="3:18" ht="16.5" customHeight="1" x14ac:dyDescent="0.3">
      <c r="P24" s="14"/>
      <c r="Q24" s="14"/>
      <c r="R24" s="14"/>
    </row>
    <row r="25" spans="3:18" ht="16.5" customHeight="1" x14ac:dyDescent="0.3">
      <c r="D25" s="705"/>
      <c r="E25" s="706"/>
      <c r="F25" s="680" t="s">
        <v>12</v>
      </c>
      <c r="G25" s="681"/>
      <c r="H25" s="681"/>
      <c r="I25" s="681"/>
      <c r="J25" s="682"/>
      <c r="K25" s="14"/>
      <c r="L25" s="14"/>
      <c r="M25" s="14"/>
      <c r="N25" s="14"/>
      <c r="P25" s="14"/>
      <c r="Q25" s="14"/>
      <c r="R25" s="14"/>
    </row>
    <row r="26" spans="3:18" ht="16.5" customHeight="1" x14ac:dyDescent="0.3">
      <c r="D26" s="710"/>
      <c r="E26" s="711"/>
      <c r="F26" s="680" t="s">
        <v>13</v>
      </c>
      <c r="G26" s="681"/>
      <c r="H26" s="681"/>
      <c r="I26" s="681"/>
      <c r="J26" s="682"/>
      <c r="K26" s="14"/>
      <c r="L26" s="14"/>
      <c r="M26" s="14"/>
      <c r="N26" s="14"/>
      <c r="P26" s="14"/>
      <c r="Q26" s="14"/>
      <c r="R26" s="14"/>
    </row>
    <row r="27" spans="3:18" ht="16.5" customHeight="1" thickBot="1" x14ac:dyDescent="0.35">
      <c r="D27" s="678"/>
      <c r="E27" s="679"/>
      <c r="F27" s="683" t="s">
        <v>14</v>
      </c>
      <c r="G27" s="684"/>
      <c r="H27" s="684"/>
      <c r="I27" s="684"/>
      <c r="J27" s="685"/>
      <c r="K27" s="14"/>
      <c r="L27" s="14"/>
      <c r="M27" s="14"/>
      <c r="N27" s="14"/>
      <c r="P27" s="14"/>
      <c r="Q27" s="14"/>
      <c r="R27" s="14"/>
    </row>
    <row r="28" spans="3:18" ht="16.5" customHeight="1" x14ac:dyDescent="0.3">
      <c r="D28" s="14"/>
      <c r="E28" s="14"/>
      <c r="F28" s="14"/>
      <c r="G28" s="14"/>
      <c r="H28" s="14"/>
      <c r="I28" s="14"/>
      <c r="J28" s="14"/>
      <c r="K28" s="14"/>
      <c r="L28" s="14"/>
      <c r="M28" s="14"/>
      <c r="N28" s="14"/>
      <c r="P28" s="14"/>
      <c r="Q28" s="14"/>
      <c r="R28" s="14"/>
    </row>
    <row r="29" spans="3:18" ht="24" customHeight="1" x14ac:dyDescent="0.3">
      <c r="D29" s="14"/>
      <c r="E29" s="14"/>
      <c r="F29" s="14"/>
      <c r="G29" s="14"/>
      <c r="H29" s="14"/>
      <c r="I29" s="14"/>
      <c r="J29" s="14"/>
      <c r="K29" s="14"/>
      <c r="L29" s="14"/>
      <c r="M29" s="14"/>
      <c r="N29" s="14"/>
      <c r="P29" s="14"/>
      <c r="Q29" s="14"/>
      <c r="R29" s="14"/>
    </row>
    <row r="30" spans="3:18" ht="15" x14ac:dyDescent="0.3">
      <c r="D30" s="14"/>
      <c r="E30" s="14"/>
      <c r="F30" s="14"/>
      <c r="G30" s="14"/>
      <c r="H30" s="14"/>
      <c r="I30" s="14"/>
      <c r="J30" s="14"/>
      <c r="K30" s="14"/>
      <c r="L30" s="14"/>
      <c r="M30" s="14"/>
      <c r="N30" s="14"/>
      <c r="P30" s="14"/>
      <c r="Q30" s="14"/>
      <c r="R30" s="14"/>
    </row>
    <row r="31" spans="3:18" ht="15" x14ac:dyDescent="0.3">
      <c r="D31" s="14"/>
      <c r="E31" s="14"/>
      <c r="F31" s="14"/>
      <c r="G31" s="14"/>
      <c r="H31" s="14"/>
      <c r="I31" s="14"/>
      <c r="J31" s="14"/>
      <c r="K31" s="14"/>
      <c r="L31" s="14"/>
      <c r="M31" s="14"/>
      <c r="N31" s="14"/>
      <c r="O31" s="14"/>
      <c r="P31" s="14"/>
      <c r="Q31" s="14"/>
      <c r="R31" s="14"/>
    </row>
    <row r="32" spans="3:18" ht="15" x14ac:dyDescent="0.3">
      <c r="D32" s="14"/>
      <c r="E32" s="14"/>
      <c r="F32" s="14"/>
      <c r="G32" s="14"/>
      <c r="H32" s="14"/>
      <c r="I32" s="14"/>
      <c r="J32" s="14"/>
      <c r="K32" s="14"/>
      <c r="L32" s="14"/>
      <c r="M32" s="14"/>
      <c r="N32" s="14"/>
      <c r="O32" s="14"/>
      <c r="P32" s="14"/>
      <c r="Q32" s="14"/>
      <c r="R32" s="14"/>
    </row>
    <row r="33" spans="4:18" ht="15" x14ac:dyDescent="0.3">
      <c r="D33" s="14"/>
      <c r="E33" s="14"/>
      <c r="F33" s="14"/>
      <c r="G33" s="14"/>
      <c r="H33" s="14"/>
      <c r="I33" s="14"/>
      <c r="J33" s="14"/>
      <c r="K33" s="14"/>
      <c r="L33" s="14"/>
      <c r="M33" s="14"/>
      <c r="N33" s="14"/>
      <c r="O33" s="14"/>
      <c r="P33" s="14"/>
      <c r="Q33" s="14"/>
      <c r="R33" s="14"/>
    </row>
    <row r="34" spans="4:18" ht="15" x14ac:dyDescent="0.3">
      <c r="D34" s="14"/>
      <c r="E34" s="14"/>
      <c r="F34" s="14"/>
      <c r="G34" s="14"/>
      <c r="H34" s="14"/>
      <c r="I34" s="14"/>
      <c r="J34" s="14"/>
      <c r="K34" s="14"/>
      <c r="L34" s="14"/>
      <c r="M34" s="14"/>
      <c r="N34" s="14"/>
      <c r="O34" s="14"/>
      <c r="P34" s="14"/>
      <c r="Q34" s="14"/>
      <c r="R34" s="14"/>
    </row>
    <row r="35" spans="4:18" ht="15" x14ac:dyDescent="0.3">
      <c r="D35" s="14"/>
      <c r="E35" s="14"/>
      <c r="F35" s="14"/>
      <c r="G35" s="14"/>
      <c r="H35" s="14"/>
      <c r="I35" s="14"/>
      <c r="J35" s="14"/>
      <c r="K35" s="14"/>
      <c r="L35" s="14"/>
      <c r="M35" s="14"/>
      <c r="N35" s="14"/>
      <c r="O35" s="14"/>
      <c r="P35" s="14"/>
      <c r="Q35" s="14"/>
      <c r="R35" s="14"/>
    </row>
    <row r="36" spans="4:18" ht="15" x14ac:dyDescent="0.3">
      <c r="D36" s="14"/>
      <c r="E36" s="14"/>
      <c r="F36" s="14"/>
      <c r="G36" s="14"/>
      <c r="H36" s="14"/>
      <c r="I36" s="14"/>
      <c r="J36" s="14"/>
      <c r="K36" s="14"/>
      <c r="L36" s="14"/>
      <c r="M36" s="14"/>
      <c r="N36" s="14"/>
      <c r="O36" s="14"/>
      <c r="P36" s="14"/>
      <c r="Q36" s="14"/>
      <c r="R36" s="14"/>
    </row>
    <row r="37" spans="4:18" ht="15" x14ac:dyDescent="0.3">
      <c r="D37" s="14"/>
      <c r="E37" s="14"/>
      <c r="F37" s="14"/>
      <c r="G37" s="14"/>
      <c r="H37" s="14"/>
      <c r="I37" s="14"/>
      <c r="J37" s="14"/>
      <c r="K37" s="14"/>
      <c r="L37" s="14"/>
      <c r="M37" s="14"/>
      <c r="N37" s="14"/>
      <c r="O37" s="14"/>
      <c r="P37" s="14"/>
      <c r="Q37" s="14"/>
      <c r="R37" s="14"/>
    </row>
    <row r="38" spans="4:18" ht="15" x14ac:dyDescent="0.3">
      <c r="D38" s="14"/>
      <c r="E38" s="14"/>
      <c r="F38" s="14"/>
      <c r="G38" s="14"/>
      <c r="H38" s="14"/>
      <c r="I38" s="14"/>
      <c r="J38" s="14"/>
      <c r="K38" s="14"/>
      <c r="L38" s="14"/>
      <c r="M38" s="14"/>
      <c r="N38" s="14"/>
      <c r="O38" s="14"/>
      <c r="P38" s="14"/>
      <c r="Q38" s="14"/>
      <c r="R38" s="14"/>
    </row>
    <row r="39" spans="4:18" ht="15" x14ac:dyDescent="0.3">
      <c r="D39" s="14"/>
      <c r="E39" s="14"/>
      <c r="F39" s="14"/>
      <c r="G39" s="14"/>
      <c r="H39" s="14"/>
      <c r="I39" s="14"/>
      <c r="J39" s="14"/>
      <c r="K39" s="14"/>
      <c r="L39" s="14"/>
      <c r="M39" s="14"/>
      <c r="N39" s="14"/>
      <c r="O39" s="14"/>
      <c r="P39" s="14"/>
      <c r="Q39" s="14"/>
      <c r="R39" s="14"/>
    </row>
    <row r="40" spans="4:18" ht="15" x14ac:dyDescent="0.3">
      <c r="D40" s="14"/>
      <c r="E40" s="14"/>
      <c r="F40" s="14"/>
      <c r="G40" s="14"/>
      <c r="H40" s="14"/>
      <c r="I40" s="14"/>
      <c r="J40" s="14"/>
      <c r="K40" s="14"/>
      <c r="L40" s="14"/>
      <c r="M40" s="14"/>
      <c r="N40" s="14"/>
      <c r="O40" s="14"/>
      <c r="P40" s="14"/>
      <c r="Q40" s="14"/>
      <c r="R40" s="14"/>
    </row>
    <row r="41" spans="4:18" ht="15" x14ac:dyDescent="0.3">
      <c r="D41" s="14"/>
      <c r="E41" s="14"/>
      <c r="F41" s="14"/>
      <c r="G41" s="14"/>
      <c r="H41" s="14"/>
      <c r="I41" s="14"/>
      <c r="J41" s="14"/>
      <c r="K41" s="14"/>
      <c r="L41" s="14"/>
      <c r="M41" s="14"/>
      <c r="N41" s="14"/>
      <c r="O41" s="14"/>
      <c r="P41" s="14"/>
      <c r="Q41" s="14"/>
      <c r="R41" s="14"/>
    </row>
    <row r="42" spans="4:18" ht="15" x14ac:dyDescent="0.3">
      <c r="D42" s="14"/>
      <c r="E42" s="14"/>
      <c r="F42" s="14"/>
      <c r="G42" s="14"/>
      <c r="H42" s="14"/>
      <c r="I42" s="14"/>
      <c r="J42" s="14"/>
      <c r="K42" s="14"/>
      <c r="L42" s="14"/>
      <c r="M42" s="14"/>
      <c r="N42" s="14"/>
      <c r="O42" s="14"/>
      <c r="P42" s="14"/>
      <c r="Q42" s="14"/>
      <c r="R42" s="14"/>
    </row>
    <row r="43" spans="4:18" ht="15" x14ac:dyDescent="0.3">
      <c r="D43" s="14"/>
      <c r="E43" s="14"/>
      <c r="F43" s="14"/>
      <c r="G43" s="14"/>
      <c r="H43" s="14"/>
      <c r="I43" s="14"/>
      <c r="J43" s="14"/>
      <c r="K43" s="14"/>
      <c r="L43" s="14"/>
      <c r="M43" s="14"/>
      <c r="N43" s="14"/>
      <c r="O43" s="14"/>
      <c r="P43" s="14"/>
      <c r="Q43" s="14"/>
      <c r="R43" s="14"/>
    </row>
    <row r="44" spans="4:18" ht="15" x14ac:dyDescent="0.3">
      <c r="D44" s="14"/>
      <c r="E44" s="14"/>
      <c r="F44" s="14"/>
      <c r="G44" s="14"/>
      <c r="H44" s="14"/>
      <c r="I44" s="14"/>
      <c r="J44" s="14"/>
      <c r="K44" s="14"/>
      <c r="L44" s="14"/>
      <c r="M44" s="14"/>
      <c r="N44" s="14"/>
      <c r="O44" s="14"/>
      <c r="P44" s="14"/>
      <c r="Q44" s="14"/>
      <c r="R44" s="14"/>
    </row>
    <row r="45" spans="4:18" ht="21" customHeight="1" x14ac:dyDescent="0.3">
      <c r="D45" s="14"/>
      <c r="E45" s="14"/>
      <c r="F45" s="14"/>
      <c r="G45" s="14"/>
      <c r="H45" s="14"/>
      <c r="I45" s="14"/>
      <c r="J45" s="14"/>
      <c r="K45" s="14"/>
      <c r="L45" s="14"/>
      <c r="M45" s="14"/>
      <c r="N45" s="14"/>
      <c r="O45" s="14"/>
      <c r="P45" s="14"/>
      <c r="Q45" s="14"/>
      <c r="R45" s="14"/>
    </row>
    <row r="46" spans="4:18" ht="15" x14ac:dyDescent="0.3">
      <c r="P46" s="14"/>
      <c r="Q46" s="14"/>
      <c r="R46" s="14"/>
    </row>
    <row r="47" spans="4:18" ht="14" x14ac:dyDescent="0.3"/>
    <row r="48" spans="4:18" ht="14" x14ac:dyDescent="0.3"/>
    <row r="49" ht="14" x14ac:dyDescent="0.3"/>
    <row r="50" ht="14" x14ac:dyDescent="0.3"/>
    <row r="51" ht="6" customHeight="1" x14ac:dyDescent="0.3"/>
    <row r="52" ht="14" x14ac:dyDescent="0.3"/>
    <row r="53" ht="14" x14ac:dyDescent="0.3"/>
    <row r="54" ht="14" x14ac:dyDescent="0.3"/>
    <row r="55" ht="63.75" customHeight="1" x14ac:dyDescent="0.3"/>
    <row r="56" ht="105.75" customHeight="1" x14ac:dyDescent="0.3"/>
    <row r="57" ht="48.75" customHeight="1" x14ac:dyDescent="0.3"/>
    <row r="58" ht="105.75" customHeight="1" x14ac:dyDescent="0.3"/>
    <row r="59" ht="105.75" customHeight="1" x14ac:dyDescent="0.3"/>
    <row r="60" ht="105.75" customHeight="1" x14ac:dyDescent="0.3"/>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20:E20"/>
    <mergeCell ref="F20:J20"/>
    <mergeCell ref="D25:E25"/>
    <mergeCell ref="D23:J23"/>
    <mergeCell ref="D26:E26"/>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F1:J1"/>
    <mergeCell ref="K1:P1"/>
    <mergeCell ref="F3:Q4"/>
    <mergeCell ref="D11:E11"/>
    <mergeCell ref="F11:J11"/>
    <mergeCell ref="E8:J8"/>
    <mergeCell ref="D15:E15"/>
    <mergeCell ref="D16:E16"/>
    <mergeCell ref="D17:E17"/>
    <mergeCell ref="D18:E18"/>
    <mergeCell ref="D19:E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Normal="100" workbookViewId="0"/>
  </sheetViews>
  <sheetFormatPr defaultColWidth="0" defaultRowHeight="14.5" customHeight="1" zeroHeight="1" x14ac:dyDescent="0.35"/>
  <cols>
    <col min="1" max="3" width="2.1796875" style="9" customWidth="1"/>
    <col min="4" max="4" width="18.7265625" style="9" customWidth="1"/>
    <col min="5" max="8" width="9.1796875" style="9" customWidth="1"/>
    <col min="9" max="9" width="7" style="9" customWidth="1"/>
    <col min="10" max="12" width="9.1796875" style="9" customWidth="1"/>
    <col min="13" max="13" width="12.1796875" style="9" customWidth="1"/>
    <col min="14" max="14" width="5.7265625" style="9" customWidth="1"/>
    <col min="15" max="15" width="14.54296875" style="9" customWidth="1"/>
    <col min="16" max="16" width="14" style="9" customWidth="1"/>
    <col min="17" max="17" width="13.7265625" style="9" bestFit="1" customWidth="1"/>
    <col min="18" max="18" width="19.26953125" style="9" customWidth="1"/>
    <col min="19" max="26" width="9.1796875" style="9" customWidth="1"/>
    <col min="27" max="16384" width="9.1796875" style="9" hidden="1"/>
  </cols>
  <sheetData>
    <row r="1" spans="1:18" ht="15.75" customHeight="1" x14ac:dyDescent="0.7">
      <c r="B1" s="16"/>
      <c r="C1" s="16"/>
      <c r="E1" s="17"/>
      <c r="F1" s="712"/>
      <c r="G1" s="712"/>
      <c r="H1" s="712"/>
      <c r="I1" s="712"/>
      <c r="J1" s="712"/>
      <c r="K1" s="713"/>
      <c r="L1" s="713"/>
      <c r="M1" s="713"/>
      <c r="N1" s="713"/>
      <c r="O1" s="713"/>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8"/>
      <c r="E10" s="8"/>
      <c r="F10" s="8"/>
      <c r="G10" s="714"/>
      <c r="H10" s="714"/>
      <c r="I10" s="714"/>
      <c r="J10" s="714"/>
      <c r="K10" s="714"/>
      <c r="L10" s="714"/>
      <c r="M10" s="714"/>
      <c r="N10" s="714"/>
      <c r="O10" s="714"/>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c r="B16" s="16"/>
      <c r="C16" s="16"/>
    </row>
    <row r="17" spans="2:3" ht="16.5" customHeight="1" x14ac:dyDescent="0.35">
      <c r="B17" s="16"/>
      <c r="C17" s="16"/>
    </row>
    <row r="18" spans="2:3" ht="16.5" customHeight="1" x14ac:dyDescent="0.35">
      <c r="B18" s="16"/>
      <c r="C18" s="16"/>
    </row>
    <row r="19" spans="2:3" ht="16.5" customHeight="1" x14ac:dyDescent="0.35">
      <c r="B19" s="16"/>
      <c r="C19" s="16"/>
    </row>
    <row r="20" spans="2:3" ht="16.5" customHeight="1" x14ac:dyDescent="0.35">
      <c r="B20" s="16"/>
      <c r="C20" s="16"/>
    </row>
    <row r="21" spans="2:3" ht="16.5" customHeight="1" x14ac:dyDescent="0.35">
      <c r="B21" s="16"/>
      <c r="C21" s="16"/>
    </row>
    <row r="22" spans="2:3" ht="16.5" customHeight="1" x14ac:dyDescent="0.35">
      <c r="B22" s="16"/>
      <c r="C22" s="16"/>
    </row>
    <row r="23" spans="2:3" ht="16.5" customHeight="1" x14ac:dyDescent="0.35">
      <c r="B23" s="16"/>
      <c r="C23" s="16"/>
    </row>
    <row r="24" spans="2:3" ht="16.5" customHeight="1" x14ac:dyDescent="0.35">
      <c r="B24" s="16"/>
      <c r="C24" s="16"/>
    </row>
    <row r="25" spans="2:3" ht="16.5" customHeight="1" x14ac:dyDescent="0.35">
      <c r="B25" s="16"/>
      <c r="C25" s="16"/>
    </row>
    <row r="26" spans="2:3" ht="16.5" customHeight="1" x14ac:dyDescent="0.35">
      <c r="B26" s="16"/>
      <c r="C26" s="16"/>
    </row>
    <row r="27" spans="2:3" ht="16.5" customHeight="1" x14ac:dyDescent="0.35">
      <c r="B27" s="16"/>
      <c r="C27" s="16"/>
    </row>
    <row r="28" spans="2:3" ht="16.5" customHeight="1" x14ac:dyDescent="0.35">
      <c r="B28" s="16"/>
      <c r="C28" s="16"/>
    </row>
    <row r="29" spans="2:3" ht="16.5" customHeight="1" x14ac:dyDescent="0.35">
      <c r="B29" s="16"/>
      <c r="C29" s="16"/>
    </row>
    <row r="30" spans="2:3" ht="16.5" customHeight="1" x14ac:dyDescent="0.35">
      <c r="B30" s="16"/>
      <c r="C30" s="16"/>
    </row>
    <row r="31" spans="2:3" ht="16.5" customHeight="1" x14ac:dyDescent="0.35">
      <c r="B31" s="16"/>
      <c r="C31" s="16"/>
    </row>
    <row r="32" spans="2:3" ht="16.5" customHeight="1" x14ac:dyDescent="0.35">
      <c r="B32" s="16"/>
      <c r="C32" s="16"/>
    </row>
    <row r="33" spans="2:3" ht="16.5" customHeight="1" x14ac:dyDescent="0.35">
      <c r="B33" s="16"/>
      <c r="C33" s="16"/>
    </row>
    <row r="34" spans="2:3" ht="16.5" customHeight="1" x14ac:dyDescent="0.35">
      <c r="B34" s="16"/>
      <c r="C34" s="16"/>
    </row>
    <row r="35" spans="2:3" ht="16.5" customHeight="1" x14ac:dyDescent="0.35">
      <c r="B35" s="16"/>
      <c r="C35" s="16"/>
    </row>
    <row r="36" spans="2:3" ht="16.5" customHeight="1" x14ac:dyDescent="0.35">
      <c r="B36" s="16"/>
      <c r="C36" s="16"/>
    </row>
    <row r="37" spans="2:3" ht="16.5" customHeight="1" x14ac:dyDescent="0.35">
      <c r="B37" s="16"/>
      <c r="C37" s="16"/>
    </row>
    <row r="38" spans="2:3" ht="16.5" customHeight="1" x14ac:dyDescent="0.35">
      <c r="B38" s="16"/>
      <c r="C38" s="16"/>
    </row>
    <row r="39" spans="2:3" ht="16.5" customHeight="1" x14ac:dyDescent="0.35">
      <c r="B39" s="16"/>
      <c r="C39" s="16"/>
    </row>
    <row r="40" spans="2:3" ht="16.5" customHeight="1" x14ac:dyDescent="0.35">
      <c r="B40" s="16"/>
      <c r="C40" s="16"/>
    </row>
    <row r="41" spans="2:3" ht="16.5" customHeight="1" x14ac:dyDescent="0.35">
      <c r="B41" s="16"/>
      <c r="C41" s="16"/>
    </row>
    <row r="42" spans="2:3" ht="16.5" customHeight="1" x14ac:dyDescent="0.35">
      <c r="B42" s="16"/>
      <c r="C42" s="16"/>
    </row>
    <row r="43" spans="2:3" ht="16.5" customHeight="1" x14ac:dyDescent="0.35">
      <c r="B43" s="16"/>
      <c r="C43" s="16"/>
    </row>
    <row r="44" spans="2:3" ht="16.5" customHeight="1" x14ac:dyDescent="0.35">
      <c r="B44" s="16"/>
      <c r="C44" s="16"/>
    </row>
    <row r="45" spans="2:3" ht="16.5" customHeight="1" x14ac:dyDescent="0.35">
      <c r="B45" s="16"/>
      <c r="C45" s="16"/>
    </row>
    <row r="46" spans="2:3" ht="16.5" customHeight="1" x14ac:dyDescent="0.35">
      <c r="B46" s="16"/>
      <c r="C46" s="16"/>
    </row>
    <row r="47" spans="2:3" ht="16.5" customHeight="1" x14ac:dyDescent="0.35">
      <c r="B47" s="16"/>
      <c r="C47" s="16"/>
    </row>
    <row r="48" spans="2:3" ht="16.5" customHeight="1" x14ac:dyDescent="0.35">
      <c r="B48" s="16"/>
      <c r="C48" s="16"/>
    </row>
    <row r="49" spans="2:3" ht="16.5" customHeight="1" x14ac:dyDescent="0.35">
      <c r="B49" s="16"/>
      <c r="C49" s="16"/>
    </row>
    <row r="50" spans="2:3" ht="16.5" customHeight="1" x14ac:dyDescent="0.35">
      <c r="B50" s="16"/>
      <c r="C50" s="16"/>
    </row>
    <row r="51" spans="2:3" ht="16.5" customHeight="1" x14ac:dyDescent="0.35">
      <c r="B51" s="16"/>
      <c r="C51" s="16"/>
    </row>
    <row r="52" spans="2:3" ht="16.5" customHeight="1" x14ac:dyDescent="0.35">
      <c r="B52" s="16"/>
      <c r="C52" s="16"/>
    </row>
    <row r="53" spans="2:3" ht="16.5" customHeight="1" x14ac:dyDescent="0.35">
      <c r="B53" s="16"/>
      <c r="C53" s="16"/>
    </row>
    <row r="54" spans="2:3" ht="16.5" customHeight="1" x14ac:dyDescent="0.35">
      <c r="B54" s="16"/>
      <c r="C54" s="16"/>
    </row>
    <row r="55" spans="2:3" ht="16.5" customHeight="1" x14ac:dyDescent="0.35">
      <c r="B55" s="16"/>
      <c r="C55" s="16"/>
    </row>
    <row r="56" spans="2:3" ht="16.5" customHeight="1" x14ac:dyDescent="0.35">
      <c r="B56" s="16"/>
      <c r="C56" s="16"/>
    </row>
    <row r="57" spans="2:3" ht="16.5" customHeight="1" x14ac:dyDescent="0.35">
      <c r="B57" s="16"/>
      <c r="C57" s="16"/>
    </row>
    <row r="58" spans="2:3" ht="16.5" customHeight="1" x14ac:dyDescent="0.35">
      <c r="B58" s="16"/>
      <c r="C58" s="16"/>
    </row>
    <row r="59" spans="2:3" ht="16.5" customHeight="1" x14ac:dyDescent="0.35">
      <c r="B59" s="16"/>
      <c r="C59" s="16"/>
    </row>
    <row r="60" spans="2:3" ht="16.5" hidden="1" customHeight="1" x14ac:dyDescent="0.35">
      <c r="B60" s="16"/>
      <c r="C60" s="16"/>
    </row>
    <row r="61" spans="2:3" ht="16.5" hidden="1" customHeight="1" x14ac:dyDescent="0.35">
      <c r="B61" s="16"/>
      <c r="C61" s="16"/>
    </row>
    <row r="62" spans="2:3" ht="16.5" hidden="1" customHeight="1" x14ac:dyDescent="0.35">
      <c r="B62" s="16"/>
      <c r="C62" s="16"/>
    </row>
    <row r="63" spans="2:3" ht="16.5" hidden="1" customHeight="1" x14ac:dyDescent="0.35">
      <c r="B63" s="16"/>
      <c r="C63" s="16"/>
    </row>
    <row r="64" spans="2:3" ht="16.5" hidden="1" customHeight="1" x14ac:dyDescent="0.35">
      <c r="B64" s="16"/>
      <c r="C64" s="16"/>
    </row>
    <row r="65" spans="2:3" ht="16.5" hidden="1" customHeight="1" x14ac:dyDescent="0.35">
      <c r="B65" s="16"/>
      <c r="C65" s="16"/>
    </row>
    <row r="66" spans="2:3" ht="16.5" hidden="1" customHeight="1" x14ac:dyDescent="0.35">
      <c r="B66" s="16"/>
      <c r="C66" s="16"/>
    </row>
    <row r="67" spans="2:3" ht="16.5" hidden="1" customHeight="1" x14ac:dyDescent="0.35">
      <c r="B67" s="16"/>
      <c r="C67" s="16"/>
    </row>
    <row r="68" spans="2:3" ht="16.5" hidden="1" customHeight="1" x14ac:dyDescent="0.35">
      <c r="B68" s="16"/>
      <c r="C68" s="16"/>
    </row>
    <row r="69" spans="2:3" ht="16.5" hidden="1" customHeight="1" x14ac:dyDescent="0.35">
      <c r="B69" s="16"/>
      <c r="C69" s="16"/>
    </row>
    <row r="70" spans="2:3" ht="16.5" hidden="1" customHeight="1" x14ac:dyDescent="0.35">
      <c r="B70" s="16"/>
      <c r="C70" s="16"/>
    </row>
    <row r="71" spans="2:3" ht="16.5" hidden="1" customHeight="1" x14ac:dyDescent="0.35">
      <c r="B71" s="16"/>
      <c r="C71" s="16"/>
    </row>
    <row r="72" spans="2:3" ht="16.5" hidden="1" customHeight="1" x14ac:dyDescent="0.35">
      <c r="B72" s="16"/>
      <c r="C72" s="16"/>
    </row>
    <row r="73" spans="2:3" ht="16.5" hidden="1" customHeight="1" x14ac:dyDescent="0.35">
      <c r="B73" s="16"/>
      <c r="C73" s="16"/>
    </row>
    <row r="74" spans="2:3" ht="16.5" hidden="1" customHeight="1" x14ac:dyDescent="0.35">
      <c r="B74" s="16"/>
      <c r="C74" s="16"/>
    </row>
    <row r="75" spans="2:3" ht="16.5" hidden="1" customHeight="1" x14ac:dyDescent="0.35">
      <c r="B75" s="16"/>
      <c r="C75" s="16"/>
    </row>
    <row r="76" spans="2:3" ht="16.5" hidden="1" customHeight="1" x14ac:dyDescent="0.35">
      <c r="B76" s="16"/>
      <c r="C76" s="16"/>
    </row>
    <row r="77" spans="2:3" ht="16.5" hidden="1" customHeight="1" x14ac:dyDescent="0.35">
      <c r="B77" s="16"/>
      <c r="C77" s="16"/>
    </row>
    <row r="78" spans="2:3" ht="16.5" hidden="1" customHeight="1" x14ac:dyDescent="0.35">
      <c r="B78" s="16"/>
      <c r="C78" s="16"/>
    </row>
    <row r="79" spans="2:3" ht="16.5" hidden="1" customHeight="1" x14ac:dyDescent="0.35">
      <c r="B79" s="16"/>
      <c r="C79" s="16"/>
    </row>
    <row r="80" spans="2:3" ht="16.5" hidden="1" customHeight="1" x14ac:dyDescent="0.35">
      <c r="B80" s="16"/>
      <c r="C80" s="16"/>
    </row>
    <row r="81" spans="2:3" ht="16.5" hidden="1" customHeight="1" x14ac:dyDescent="0.35">
      <c r="B81" s="16"/>
      <c r="C81" s="16"/>
    </row>
    <row r="82" spans="2:3" ht="16.5" hidden="1" customHeight="1" x14ac:dyDescent="0.35">
      <c r="B82" s="16"/>
      <c r="C82" s="16"/>
    </row>
    <row r="83" spans="2:3" ht="16.5" hidden="1" customHeight="1" x14ac:dyDescent="0.35">
      <c r="B83" s="16"/>
      <c r="C83" s="16"/>
    </row>
    <row r="84" spans="2:3" ht="16.5" hidden="1" customHeight="1" x14ac:dyDescent="0.35">
      <c r="B84" s="16"/>
      <c r="C84" s="16"/>
    </row>
    <row r="85" spans="2:3" ht="16.5" hidden="1" customHeight="1" x14ac:dyDescent="0.35">
      <c r="B85" s="16"/>
      <c r="C85" s="16"/>
    </row>
    <row r="86" spans="2:3" ht="16.5" hidden="1" customHeight="1" x14ac:dyDescent="0.35">
      <c r="B86" s="16"/>
      <c r="C86" s="16"/>
    </row>
    <row r="87" spans="2:3" ht="16.5" hidden="1" customHeight="1" x14ac:dyDescent="0.35">
      <c r="B87" s="16"/>
      <c r="C87" s="16"/>
    </row>
    <row r="88" spans="2:3" ht="16.5" hidden="1" customHeight="1" x14ac:dyDescent="0.35">
      <c r="B88" s="16"/>
      <c r="C88" s="16"/>
    </row>
    <row r="89" spans="2:3" ht="16.5" hidden="1" customHeight="1" x14ac:dyDescent="0.35">
      <c r="B89" s="16"/>
      <c r="C89" s="16"/>
    </row>
    <row r="90" spans="2:3" ht="16.5" hidden="1" customHeight="1" x14ac:dyDescent="0.35">
      <c r="B90" s="16"/>
      <c r="C90" s="16"/>
    </row>
    <row r="91" spans="2:3" ht="16.5" hidden="1" customHeight="1" x14ac:dyDescent="0.35">
      <c r="B91" s="16"/>
      <c r="C91" s="16"/>
    </row>
    <row r="92" spans="2:3" ht="16.5" hidden="1" customHeight="1" x14ac:dyDescent="0.35">
      <c r="B92" s="16"/>
      <c r="C92" s="16"/>
    </row>
    <row r="93" spans="2:3" ht="16.5" hidden="1" customHeight="1" x14ac:dyDescent="0.35">
      <c r="B93" s="16"/>
      <c r="C93" s="16"/>
    </row>
    <row r="94" spans="2:3" ht="16.5" hidden="1" customHeight="1" x14ac:dyDescent="0.35">
      <c r="B94" s="16"/>
      <c r="C94" s="16"/>
    </row>
    <row r="95" spans="2:3" ht="16.5" hidden="1" customHeight="1" x14ac:dyDescent="0.35">
      <c r="B95" s="16"/>
      <c r="C95" s="16"/>
    </row>
    <row r="96" spans="2:3" ht="16.5" hidden="1" customHeight="1" x14ac:dyDescent="0.35">
      <c r="B96" s="16"/>
      <c r="C96" s="16"/>
    </row>
    <row r="97" spans="2:3" ht="16.5" hidden="1" customHeight="1" x14ac:dyDescent="0.35">
      <c r="B97" s="16"/>
      <c r="C97" s="16"/>
    </row>
    <row r="98" spans="2:3" ht="16.5" hidden="1" customHeight="1" x14ac:dyDescent="0.35">
      <c r="B98" s="16"/>
      <c r="C98" s="16"/>
    </row>
    <row r="99" spans="2:3" ht="16.5" hidden="1" customHeight="1" x14ac:dyDescent="0.35">
      <c r="B99" s="16"/>
      <c r="C99" s="16"/>
    </row>
    <row r="100" spans="2:3" ht="16.5" hidden="1" customHeight="1" x14ac:dyDescent="0.35">
      <c r="B100" s="16"/>
      <c r="C100" s="16"/>
    </row>
    <row r="101" spans="2:3" ht="16.5" hidden="1" customHeight="1" x14ac:dyDescent="0.35">
      <c r="B101" s="16"/>
      <c r="C101" s="16"/>
    </row>
    <row r="102" spans="2:3" ht="16.5" hidden="1" customHeight="1" x14ac:dyDescent="0.35">
      <c r="B102" s="16"/>
      <c r="C102" s="16"/>
    </row>
    <row r="103" spans="2:3" ht="16.5" hidden="1" customHeight="1" x14ac:dyDescent="0.35">
      <c r="B103" s="16"/>
      <c r="C103" s="16"/>
    </row>
    <row r="104" spans="2:3" ht="16.5" hidden="1" customHeight="1" x14ac:dyDescent="0.35">
      <c r="B104" s="16"/>
      <c r="C104" s="16"/>
    </row>
    <row r="105" spans="2:3" ht="16.5" hidden="1" customHeight="1" x14ac:dyDescent="0.35">
      <c r="B105" s="16"/>
      <c r="C105" s="16"/>
    </row>
    <row r="106" spans="2:3" ht="16.5" hidden="1" customHeight="1" x14ac:dyDescent="0.35">
      <c r="B106" s="16"/>
      <c r="C106" s="16"/>
    </row>
    <row r="107" spans="2:3" ht="16.5" hidden="1" customHeight="1" x14ac:dyDescent="0.35">
      <c r="B107" s="16"/>
      <c r="C107" s="16"/>
    </row>
    <row r="108" spans="2:3" ht="16.5" hidden="1" customHeight="1" x14ac:dyDescent="0.35">
      <c r="B108" s="16"/>
      <c r="C108" s="16"/>
    </row>
    <row r="109" spans="2:3" ht="16.5" hidden="1" customHeight="1" x14ac:dyDescent="0.35">
      <c r="B109" s="16"/>
      <c r="C109" s="16"/>
    </row>
    <row r="110" spans="2:3" ht="16.5" hidden="1" customHeight="1" x14ac:dyDescent="0.35">
      <c r="B110" s="16"/>
      <c r="C110" s="16"/>
    </row>
    <row r="111" spans="2:3" ht="16.5" hidden="1" customHeight="1" x14ac:dyDescent="0.35">
      <c r="B111" s="16"/>
      <c r="C111" s="16"/>
    </row>
    <row r="112" spans="2:3" ht="16.5" hidden="1" customHeight="1" x14ac:dyDescent="0.35">
      <c r="B112" s="16"/>
      <c r="C112" s="16"/>
    </row>
    <row r="113" spans="2:3" ht="16.5" hidden="1" customHeight="1" x14ac:dyDescent="0.35">
      <c r="B113" s="16"/>
      <c r="C113" s="16"/>
    </row>
    <row r="114" spans="2:3" ht="16.5" hidden="1" customHeight="1" x14ac:dyDescent="0.35">
      <c r="B114" s="16"/>
      <c r="C114" s="16"/>
    </row>
    <row r="115" spans="2:3" ht="16.5" hidden="1" customHeight="1" x14ac:dyDescent="0.35">
      <c r="B115" s="16"/>
      <c r="C115" s="16"/>
    </row>
    <row r="116" spans="2:3" ht="16.5" hidden="1" customHeight="1" x14ac:dyDescent="0.35">
      <c r="B116" s="16"/>
      <c r="C116" s="16"/>
    </row>
    <row r="117" spans="2:3" ht="16.5" hidden="1" customHeight="1" x14ac:dyDescent="0.35">
      <c r="B117" s="16"/>
      <c r="C117" s="16"/>
    </row>
    <row r="118" spans="2:3" ht="16.5" hidden="1" customHeight="1" x14ac:dyDescent="0.35">
      <c r="B118" s="16"/>
      <c r="C118" s="16"/>
    </row>
    <row r="119" spans="2:3" ht="16.5" hidden="1" customHeight="1" x14ac:dyDescent="0.35">
      <c r="B119" s="16"/>
      <c r="C119" s="16"/>
    </row>
    <row r="120" spans="2:3" ht="16.5" hidden="1" customHeight="1" x14ac:dyDescent="0.35">
      <c r="B120" s="16"/>
      <c r="C120" s="16"/>
    </row>
    <row r="121" spans="2:3" ht="16.5" hidden="1" customHeight="1" x14ac:dyDescent="0.35">
      <c r="B121" s="16"/>
      <c r="C121" s="16"/>
    </row>
    <row r="122" spans="2:3" ht="16.5" hidden="1" customHeight="1" x14ac:dyDescent="0.35">
      <c r="B122" s="16"/>
      <c r="C122" s="16"/>
    </row>
    <row r="123" spans="2:3" ht="16.5" hidden="1" customHeight="1" x14ac:dyDescent="0.35">
      <c r="B123" s="16"/>
      <c r="C123" s="16"/>
    </row>
    <row r="124" spans="2:3" ht="16.5" hidden="1" customHeight="1" x14ac:dyDescent="0.35">
      <c r="B124" s="16"/>
      <c r="C124" s="16"/>
    </row>
    <row r="125" spans="2:3" ht="16.5" hidden="1" customHeight="1" x14ac:dyDescent="0.35">
      <c r="B125" s="16"/>
      <c r="C125" s="16"/>
    </row>
    <row r="126" spans="2:3" ht="16.5" hidden="1" customHeight="1" x14ac:dyDescent="0.35">
      <c r="B126" s="16"/>
      <c r="C126" s="16"/>
    </row>
    <row r="127" spans="2:3" ht="16.5" hidden="1" customHeight="1" x14ac:dyDescent="0.35">
      <c r="B127" s="16"/>
      <c r="C127" s="16"/>
    </row>
    <row r="128" spans="2:3" ht="16.5" hidden="1" customHeight="1" x14ac:dyDescent="0.35">
      <c r="B128" s="16"/>
      <c r="C128" s="16"/>
    </row>
    <row r="129" spans="2:3" ht="16.5" hidden="1" customHeight="1" x14ac:dyDescent="0.35">
      <c r="B129" s="16"/>
      <c r="C129" s="16"/>
    </row>
    <row r="130" spans="2:3" ht="16.5" hidden="1" customHeight="1" x14ac:dyDescent="0.35">
      <c r="B130" s="16"/>
      <c r="C130" s="16"/>
    </row>
    <row r="131" spans="2:3" ht="16.5" hidden="1" customHeight="1" x14ac:dyDescent="0.35">
      <c r="B131" s="16"/>
      <c r="C131" s="16"/>
    </row>
    <row r="132" spans="2:3" ht="16.5" hidden="1" customHeight="1" x14ac:dyDescent="0.35">
      <c r="B132" s="16"/>
      <c r="C132" s="16"/>
    </row>
    <row r="133" spans="2:3" ht="16.5" hidden="1" customHeight="1" x14ac:dyDescent="0.35">
      <c r="B133" s="16"/>
      <c r="C133" s="16"/>
    </row>
    <row r="134" spans="2:3" ht="16.5" hidden="1" customHeight="1" x14ac:dyDescent="0.35">
      <c r="B134" s="16"/>
      <c r="C134" s="16"/>
    </row>
    <row r="135" spans="2:3" ht="16.5" hidden="1" customHeight="1" x14ac:dyDescent="0.35">
      <c r="B135" s="16"/>
      <c r="C135" s="16"/>
    </row>
    <row r="136" spans="2:3" ht="16.5" hidden="1" customHeight="1" x14ac:dyDescent="0.35">
      <c r="B136" s="16"/>
      <c r="C136" s="16"/>
    </row>
    <row r="137" spans="2:3" ht="16.5" hidden="1" customHeight="1" x14ac:dyDescent="0.35">
      <c r="B137" s="16"/>
      <c r="C137" s="16"/>
    </row>
    <row r="138" spans="2:3" ht="16.5" hidden="1" customHeight="1" x14ac:dyDescent="0.35">
      <c r="B138" s="16"/>
      <c r="C138" s="16"/>
    </row>
    <row r="139" spans="2:3" ht="16.5" hidden="1" customHeight="1" x14ac:dyDescent="0.35">
      <c r="B139" s="16"/>
      <c r="C139" s="16"/>
    </row>
    <row r="140" spans="2:3" ht="16.5" hidden="1" customHeight="1" x14ac:dyDescent="0.35">
      <c r="B140" s="16"/>
      <c r="C140" s="16"/>
    </row>
    <row r="141" spans="2:3" ht="16.5" hidden="1" customHeight="1" x14ac:dyDescent="0.35">
      <c r="B141" s="16"/>
      <c r="C141" s="16"/>
    </row>
    <row r="142" spans="2:3" ht="16.5" hidden="1" customHeight="1" x14ac:dyDescent="0.35">
      <c r="B142" s="16"/>
      <c r="C142" s="16"/>
    </row>
    <row r="143" spans="2:3" ht="16.5" hidden="1" customHeight="1" x14ac:dyDescent="0.35">
      <c r="B143" s="16"/>
      <c r="C143" s="16"/>
    </row>
    <row r="144" spans="2:3" ht="16.5" hidden="1" customHeight="1" x14ac:dyDescent="0.35">
      <c r="B144" s="16"/>
      <c r="C144" s="16"/>
    </row>
    <row r="145" spans="2:3" ht="16.5" hidden="1" customHeight="1" x14ac:dyDescent="0.35">
      <c r="B145" s="16"/>
      <c r="C145" s="16"/>
    </row>
    <row r="146" spans="2:3" ht="16.5" hidden="1" customHeight="1" x14ac:dyDescent="0.35">
      <c r="B146" s="16"/>
      <c r="C146" s="16"/>
    </row>
    <row r="147" spans="2:3" ht="16.5" hidden="1" customHeight="1" x14ac:dyDescent="0.35">
      <c r="B147" s="16"/>
      <c r="C147" s="16"/>
    </row>
    <row r="148" spans="2:3" ht="16.5" hidden="1" customHeight="1" x14ac:dyDescent="0.35">
      <c r="B148" s="16"/>
      <c r="C148" s="16"/>
    </row>
    <row r="149" spans="2:3" ht="16.5" hidden="1" customHeight="1" x14ac:dyDescent="0.35">
      <c r="B149" s="16"/>
      <c r="C149" s="16"/>
    </row>
    <row r="150" spans="2:3" ht="16.5" hidden="1" customHeight="1" x14ac:dyDescent="0.35">
      <c r="B150" s="16"/>
      <c r="C150" s="16"/>
    </row>
    <row r="151" spans="2:3" ht="16.5" hidden="1" customHeight="1" x14ac:dyDescent="0.35">
      <c r="B151" s="16"/>
      <c r="C151" s="16"/>
    </row>
    <row r="152" spans="2:3" ht="16.5" hidden="1" customHeight="1" x14ac:dyDescent="0.35">
      <c r="B152" s="16"/>
      <c r="C152" s="16"/>
    </row>
    <row r="153" spans="2:3" ht="16.5" hidden="1" customHeight="1" x14ac:dyDescent="0.35">
      <c r="B153" s="16"/>
      <c r="C153" s="16"/>
    </row>
    <row r="154" spans="2:3" ht="16.5" hidden="1" customHeight="1" x14ac:dyDescent="0.35">
      <c r="B154" s="16"/>
      <c r="C154" s="16"/>
    </row>
    <row r="155" spans="2:3" ht="16.5" hidden="1" customHeight="1" x14ac:dyDescent="0.35">
      <c r="B155" s="16"/>
      <c r="C155" s="16"/>
    </row>
    <row r="156" spans="2:3" ht="16.5" hidden="1" customHeight="1" x14ac:dyDescent="0.35">
      <c r="B156" s="16"/>
      <c r="C156" s="16"/>
    </row>
    <row r="157" spans="2:3" ht="16.5" hidden="1" customHeight="1" x14ac:dyDescent="0.35">
      <c r="B157" s="16"/>
      <c r="C157" s="16"/>
    </row>
    <row r="158" spans="2:3" ht="16.5" hidden="1" customHeight="1" x14ac:dyDescent="0.35">
      <c r="B158" s="16"/>
      <c r="C158" s="16"/>
    </row>
    <row r="159" spans="2:3" ht="16.5" hidden="1" customHeight="1" x14ac:dyDescent="0.35">
      <c r="B159" s="16"/>
      <c r="C159" s="16"/>
    </row>
    <row r="160" spans="2:3" ht="16.5" hidden="1" customHeight="1" x14ac:dyDescent="0.35">
      <c r="B160" s="16"/>
      <c r="C160" s="16"/>
    </row>
    <row r="161" spans="2:3" ht="16.5" hidden="1" customHeight="1" x14ac:dyDescent="0.35">
      <c r="B161" s="16"/>
      <c r="C161" s="16"/>
    </row>
    <row r="162" spans="2:3" ht="16.5" hidden="1" customHeight="1" x14ac:dyDescent="0.35">
      <c r="B162" s="16"/>
      <c r="C162" s="16"/>
    </row>
    <row r="163" spans="2:3" ht="16.5" hidden="1" customHeight="1" x14ac:dyDescent="0.35">
      <c r="B163" s="16"/>
      <c r="C163" s="16"/>
    </row>
    <row r="164" spans="2:3" ht="16.5" hidden="1" customHeight="1" x14ac:dyDescent="0.35">
      <c r="B164" s="16"/>
      <c r="C164" s="16"/>
    </row>
    <row r="165" spans="2:3" ht="16.5" hidden="1" customHeight="1" x14ac:dyDescent="0.35">
      <c r="B165" s="16"/>
      <c r="C165" s="16"/>
    </row>
    <row r="166" spans="2:3" ht="16.5" hidden="1" customHeight="1" x14ac:dyDescent="0.35">
      <c r="B166" s="16"/>
      <c r="C166" s="16"/>
    </row>
    <row r="167" spans="2:3" ht="16.5" hidden="1" customHeight="1" x14ac:dyDescent="0.35">
      <c r="B167" s="16"/>
      <c r="C167" s="16"/>
    </row>
    <row r="168" spans="2:3" ht="16.5" hidden="1" customHeight="1" x14ac:dyDescent="0.35">
      <c r="B168" s="16"/>
      <c r="C168" s="16"/>
    </row>
    <row r="169" spans="2:3" ht="16.5" hidden="1" customHeight="1" x14ac:dyDescent="0.35">
      <c r="B169" s="16"/>
      <c r="C169" s="16"/>
    </row>
    <row r="170" spans="2:3" ht="16.5" hidden="1" customHeight="1" x14ac:dyDescent="0.35">
      <c r="B170" s="16"/>
      <c r="C170" s="16"/>
    </row>
    <row r="171" spans="2:3" ht="16.5" hidden="1" customHeight="1" x14ac:dyDescent="0.35">
      <c r="B171" s="16"/>
      <c r="C171" s="16"/>
    </row>
    <row r="172" spans="2:3" ht="16.5" hidden="1" customHeight="1" x14ac:dyDescent="0.35">
      <c r="B172" s="16"/>
      <c r="C172" s="16"/>
    </row>
    <row r="173" spans="2:3" ht="16.5" hidden="1" customHeight="1" x14ac:dyDescent="0.35">
      <c r="B173" s="16"/>
      <c r="C173" s="16"/>
    </row>
    <row r="174" spans="2:3" ht="16.5" hidden="1" customHeight="1" x14ac:dyDescent="0.35">
      <c r="B174" s="16"/>
      <c r="C174" s="16"/>
    </row>
    <row r="175" spans="2:3" ht="16.5" hidden="1" customHeight="1" x14ac:dyDescent="0.35">
      <c r="B175" s="16"/>
      <c r="C175" s="16"/>
    </row>
    <row r="176" spans="2:3" ht="16.5" hidden="1" customHeight="1" x14ac:dyDescent="0.35">
      <c r="B176" s="16"/>
      <c r="C176" s="16"/>
    </row>
    <row r="177" spans="2:3" ht="16.5" hidden="1" customHeight="1" x14ac:dyDescent="0.35">
      <c r="B177" s="16"/>
      <c r="C177" s="16"/>
    </row>
    <row r="178" spans="2:3" ht="16.5" hidden="1" customHeight="1" x14ac:dyDescent="0.35">
      <c r="B178" s="16"/>
      <c r="C178" s="16"/>
    </row>
    <row r="179" spans="2:3" ht="16.5" hidden="1" customHeight="1" x14ac:dyDescent="0.35">
      <c r="B179" s="16"/>
      <c r="C179" s="16"/>
    </row>
    <row r="180" spans="2:3" ht="16.5" hidden="1" customHeight="1" x14ac:dyDescent="0.35">
      <c r="B180" s="16"/>
      <c r="C180" s="16"/>
    </row>
    <row r="181" spans="2:3" ht="16.5" hidden="1" customHeight="1" x14ac:dyDescent="0.35">
      <c r="B181" s="16"/>
      <c r="C181" s="16"/>
    </row>
    <row r="182" spans="2:3" ht="16.5" hidden="1" customHeight="1" x14ac:dyDescent="0.35">
      <c r="B182" s="16"/>
      <c r="C182" s="16"/>
    </row>
    <row r="183" spans="2:3" ht="16.5" hidden="1" customHeight="1" x14ac:dyDescent="0.35">
      <c r="B183" s="16"/>
      <c r="C183" s="16"/>
    </row>
    <row r="184" spans="2:3" ht="16.5" hidden="1" customHeight="1" x14ac:dyDescent="0.35">
      <c r="B184" s="16"/>
      <c r="C184" s="16"/>
    </row>
    <row r="185" spans="2:3" ht="16.5" hidden="1" customHeight="1" x14ac:dyDescent="0.35">
      <c r="B185" s="16"/>
      <c r="C185" s="16"/>
    </row>
    <row r="186" spans="2:3" ht="16.5" hidden="1" customHeight="1" x14ac:dyDescent="0.35">
      <c r="B186" s="16"/>
      <c r="C186" s="16"/>
    </row>
    <row r="187" spans="2:3" ht="16.5" hidden="1" customHeight="1" x14ac:dyDescent="0.35">
      <c r="B187" s="16"/>
      <c r="C187" s="16"/>
    </row>
    <row r="188" spans="2:3" ht="16.5" hidden="1" customHeight="1" x14ac:dyDescent="0.35">
      <c r="B188" s="16"/>
      <c r="C188" s="16"/>
    </row>
    <row r="189" spans="2:3" ht="16.5" hidden="1" customHeight="1" x14ac:dyDescent="0.35">
      <c r="B189" s="16"/>
      <c r="C189" s="16"/>
    </row>
    <row r="190" spans="2:3" ht="16.5" hidden="1" customHeight="1" x14ac:dyDescent="0.35">
      <c r="B190" s="16"/>
      <c r="C190" s="16"/>
    </row>
    <row r="191" spans="2:3" ht="16.5" hidden="1" customHeight="1" x14ac:dyDescent="0.35">
      <c r="B191" s="16"/>
      <c r="C191" s="16"/>
    </row>
    <row r="192" spans="2:3" ht="16.5" hidden="1" customHeight="1" x14ac:dyDescent="0.35">
      <c r="B192" s="16"/>
      <c r="C192" s="16"/>
    </row>
    <row r="193" spans="2:3" ht="16.5" hidden="1" customHeight="1" x14ac:dyDescent="0.35">
      <c r="B193" s="16"/>
      <c r="C193" s="16"/>
    </row>
    <row r="194" spans="2:3" ht="16.5" hidden="1" customHeight="1" x14ac:dyDescent="0.35">
      <c r="B194" s="16"/>
      <c r="C194" s="16"/>
    </row>
    <row r="195" spans="2:3" ht="16.5" hidden="1" customHeight="1" x14ac:dyDescent="0.35">
      <c r="B195" s="16"/>
      <c r="C195" s="16"/>
    </row>
    <row r="196" spans="2:3" ht="16.5" hidden="1" customHeight="1" x14ac:dyDescent="0.35">
      <c r="B196" s="16"/>
      <c r="C196" s="16"/>
    </row>
    <row r="197" spans="2:3" ht="16.5" hidden="1" customHeight="1" x14ac:dyDescent="0.35">
      <c r="B197" s="16"/>
      <c r="C197" s="16"/>
    </row>
    <row r="198" spans="2:3" ht="16.5" hidden="1" customHeight="1" x14ac:dyDescent="0.35">
      <c r="B198" s="16"/>
      <c r="C198" s="16"/>
    </row>
    <row r="199" spans="2:3" ht="16.5" hidden="1" customHeight="1" x14ac:dyDescent="0.35">
      <c r="B199" s="16"/>
      <c r="C199" s="16"/>
    </row>
    <row r="200" spans="2:3" ht="16.5" hidden="1" customHeight="1" x14ac:dyDescent="0.35">
      <c r="B200" s="16"/>
      <c r="C200" s="16"/>
    </row>
    <row r="201" spans="2:3" ht="16.5" hidden="1" customHeight="1" x14ac:dyDescent="0.35">
      <c r="B201" s="16"/>
      <c r="C201" s="16"/>
    </row>
    <row r="202" spans="2:3" ht="16.5" hidden="1" customHeight="1" x14ac:dyDescent="0.35">
      <c r="B202" s="16"/>
      <c r="C202" s="16"/>
    </row>
    <row r="203" spans="2:3" ht="16.5" hidden="1" customHeight="1" x14ac:dyDescent="0.35">
      <c r="B203" s="16"/>
      <c r="C203" s="16"/>
    </row>
    <row r="204" spans="2:3" ht="16.5" hidden="1" customHeight="1" x14ac:dyDescent="0.35">
      <c r="B204" s="16"/>
      <c r="C204" s="16"/>
    </row>
    <row r="205" spans="2:3" ht="16.5" hidden="1" customHeight="1" x14ac:dyDescent="0.35">
      <c r="B205" s="16"/>
      <c r="C205" s="16"/>
    </row>
    <row r="206" spans="2:3" ht="16.5" hidden="1" customHeight="1" x14ac:dyDescent="0.35">
      <c r="B206" s="16"/>
      <c r="C206" s="16"/>
    </row>
    <row r="207" spans="2:3" ht="16.5" hidden="1" customHeight="1" x14ac:dyDescent="0.35">
      <c r="B207" s="16"/>
      <c r="C207" s="16"/>
    </row>
    <row r="208" spans="2:3" ht="16.5" hidden="1" customHeight="1" x14ac:dyDescent="0.35">
      <c r="B208" s="16"/>
      <c r="C208" s="16"/>
    </row>
    <row r="209" spans="2:3" ht="16.5" hidden="1" customHeight="1" x14ac:dyDescent="0.35">
      <c r="B209" s="16"/>
      <c r="C209" s="16"/>
    </row>
    <row r="210" spans="2:3" ht="16.5" hidden="1" customHeight="1" x14ac:dyDescent="0.35">
      <c r="B210" s="16"/>
      <c r="C210" s="16"/>
    </row>
    <row r="211" spans="2:3" ht="16.5" hidden="1" customHeight="1" x14ac:dyDescent="0.35">
      <c r="B211" s="16"/>
      <c r="C211" s="16"/>
    </row>
    <row r="212" spans="2:3" ht="16.5" hidden="1" customHeight="1" x14ac:dyDescent="0.35">
      <c r="B212" s="16"/>
      <c r="C212" s="16"/>
    </row>
    <row r="213" spans="2:3" ht="16.5" hidden="1" customHeight="1" x14ac:dyDescent="0.35">
      <c r="B213" s="16"/>
      <c r="C213" s="16"/>
    </row>
    <row r="214" spans="2:3" ht="16.5" hidden="1" customHeight="1" x14ac:dyDescent="0.35">
      <c r="B214" s="16"/>
      <c r="C214" s="16"/>
    </row>
    <row r="215" spans="2:3" ht="16.5" hidden="1" customHeight="1" x14ac:dyDescent="0.35">
      <c r="B215" s="16"/>
      <c r="C215" s="16"/>
    </row>
    <row r="216" spans="2:3" ht="16.5" hidden="1" customHeight="1" x14ac:dyDescent="0.35">
      <c r="B216" s="16"/>
      <c r="C216" s="16"/>
    </row>
    <row r="217" spans="2:3" ht="16.5" hidden="1" customHeight="1" x14ac:dyDescent="0.35">
      <c r="B217" s="16"/>
      <c r="C217" s="16"/>
    </row>
    <row r="218" spans="2:3" ht="16.5" hidden="1" customHeight="1" x14ac:dyDescent="0.35">
      <c r="B218" s="16"/>
      <c r="C218" s="16"/>
    </row>
    <row r="219" spans="2:3" ht="16.5" hidden="1" customHeight="1" x14ac:dyDescent="0.35">
      <c r="B219" s="16"/>
      <c r="C219" s="16"/>
    </row>
    <row r="220" spans="2:3" ht="16.5" hidden="1" customHeight="1" x14ac:dyDescent="0.35">
      <c r="B220" s="16"/>
      <c r="C220" s="16"/>
    </row>
    <row r="221" spans="2:3" ht="16.5" hidden="1" customHeight="1" x14ac:dyDescent="0.35">
      <c r="B221" s="16"/>
      <c r="C221" s="16"/>
    </row>
    <row r="222" spans="2:3" ht="16.5" hidden="1" customHeight="1" x14ac:dyDescent="0.35">
      <c r="B222" s="16"/>
      <c r="C222" s="16"/>
    </row>
    <row r="223" spans="2:3" ht="16.5" hidden="1" customHeight="1" x14ac:dyDescent="0.35">
      <c r="B223" s="16"/>
      <c r="C223" s="16"/>
    </row>
    <row r="224" spans="2:3" ht="16.5" hidden="1" customHeight="1" x14ac:dyDescent="0.35">
      <c r="B224" s="16"/>
      <c r="C224" s="16"/>
    </row>
    <row r="225" spans="2:3" ht="16.5" hidden="1" customHeight="1" x14ac:dyDescent="0.35">
      <c r="B225" s="16"/>
      <c r="C225" s="16"/>
    </row>
    <row r="226" spans="2:3" ht="16.5" hidden="1" customHeight="1" x14ac:dyDescent="0.35">
      <c r="B226" s="16"/>
      <c r="C226" s="16"/>
    </row>
    <row r="227" spans="2:3" ht="16.5" hidden="1" customHeight="1" x14ac:dyDescent="0.35">
      <c r="B227" s="16"/>
      <c r="C227" s="16"/>
    </row>
    <row r="228" spans="2:3" ht="16.5" hidden="1" customHeight="1" x14ac:dyDescent="0.35">
      <c r="B228" s="16"/>
      <c r="C228" s="16"/>
    </row>
    <row r="229" spans="2:3" ht="16.5" hidden="1" customHeight="1" x14ac:dyDescent="0.35">
      <c r="B229" s="16"/>
      <c r="C229" s="16"/>
    </row>
    <row r="230" spans="2:3" ht="16.5" hidden="1" customHeight="1" x14ac:dyDescent="0.35">
      <c r="B230" s="16"/>
      <c r="C230" s="16"/>
    </row>
    <row r="231" spans="2:3" ht="16.5" hidden="1" customHeight="1" x14ac:dyDescent="0.35">
      <c r="B231" s="16"/>
      <c r="C231" s="16"/>
    </row>
    <row r="232" spans="2:3" ht="16.5" hidden="1" customHeight="1" x14ac:dyDescent="0.35">
      <c r="B232" s="16"/>
      <c r="C232" s="16"/>
    </row>
    <row r="233" spans="2:3" ht="16.5" hidden="1" customHeight="1" x14ac:dyDescent="0.35">
      <c r="B233" s="16"/>
      <c r="C233" s="16"/>
    </row>
    <row r="234" spans="2:3" ht="16.5" hidden="1" customHeight="1" x14ac:dyDescent="0.35">
      <c r="B234" s="16"/>
      <c r="C234" s="16"/>
    </row>
    <row r="235" spans="2:3" ht="16.5" hidden="1" customHeight="1" x14ac:dyDescent="0.35">
      <c r="B235" s="16"/>
      <c r="C235" s="16"/>
    </row>
    <row r="236" spans="2:3" ht="16.5" hidden="1" customHeight="1" x14ac:dyDescent="0.35">
      <c r="B236" s="16"/>
      <c r="C236" s="16"/>
    </row>
    <row r="237" spans="2:3" ht="16.5" hidden="1" customHeight="1" x14ac:dyDescent="0.35">
      <c r="B237" s="16"/>
      <c r="C237" s="16"/>
    </row>
    <row r="238" spans="2:3" ht="16.5" hidden="1" customHeight="1" x14ac:dyDescent="0.35">
      <c r="B238" s="16"/>
      <c r="C238" s="16"/>
    </row>
    <row r="239" spans="2:3" ht="16.5" hidden="1" customHeight="1" x14ac:dyDescent="0.35">
      <c r="B239" s="16"/>
      <c r="C239" s="16"/>
    </row>
    <row r="240" spans="2:3" ht="16.5" hidden="1" customHeight="1" x14ac:dyDescent="0.35">
      <c r="B240" s="16"/>
      <c r="C240" s="16"/>
    </row>
    <row r="241" spans="2:3" ht="16.5" hidden="1" customHeight="1" x14ac:dyDescent="0.35">
      <c r="B241" s="16"/>
      <c r="C241" s="16"/>
    </row>
    <row r="242" spans="2:3" ht="16.5" hidden="1" customHeight="1" x14ac:dyDescent="0.35">
      <c r="B242" s="16"/>
      <c r="C242" s="16"/>
    </row>
    <row r="243" spans="2:3" ht="16.5" hidden="1" customHeight="1" x14ac:dyDescent="0.35">
      <c r="B243" s="16"/>
      <c r="C243" s="16"/>
    </row>
    <row r="244" spans="2:3" ht="16.5" hidden="1" customHeight="1" x14ac:dyDescent="0.35">
      <c r="B244" s="16"/>
      <c r="C244" s="16"/>
    </row>
    <row r="245" spans="2:3" ht="16.5" hidden="1" customHeight="1" x14ac:dyDescent="0.35">
      <c r="B245" s="16"/>
      <c r="C245" s="16"/>
    </row>
    <row r="246" spans="2:3" ht="16.5" hidden="1" customHeight="1" x14ac:dyDescent="0.35">
      <c r="B246" s="16"/>
      <c r="C246" s="16"/>
    </row>
    <row r="247" spans="2:3" ht="16.5" hidden="1" customHeight="1" x14ac:dyDescent="0.35">
      <c r="B247" s="16"/>
      <c r="C247" s="16"/>
    </row>
    <row r="248" spans="2:3" ht="16.5" hidden="1" customHeight="1" x14ac:dyDescent="0.35">
      <c r="B248" s="16"/>
      <c r="C248" s="16"/>
    </row>
    <row r="249" spans="2:3" ht="16.5" hidden="1" customHeight="1" x14ac:dyDescent="0.35">
      <c r="B249" s="16"/>
      <c r="C249" s="16"/>
    </row>
    <row r="250" spans="2:3" ht="16.5" hidden="1" customHeight="1" x14ac:dyDescent="0.35">
      <c r="B250" s="16"/>
      <c r="C250" s="16"/>
    </row>
    <row r="251" spans="2:3" ht="16.5" hidden="1" customHeight="1" x14ac:dyDescent="0.35">
      <c r="B251" s="16"/>
      <c r="C251" s="16"/>
    </row>
    <row r="252" spans="2:3" ht="16.5" hidden="1" customHeight="1" x14ac:dyDescent="0.35">
      <c r="B252" s="16"/>
      <c r="C252" s="16"/>
    </row>
    <row r="253" spans="2:3" ht="16.5" hidden="1" customHeight="1" x14ac:dyDescent="0.35">
      <c r="B253" s="16"/>
      <c r="C253" s="16"/>
    </row>
    <row r="254" spans="2:3" ht="16.5" hidden="1" customHeight="1" x14ac:dyDescent="0.35">
      <c r="B254" s="16"/>
      <c r="C254" s="16"/>
    </row>
    <row r="255" spans="2:3" ht="16.5" hidden="1" customHeight="1" x14ac:dyDescent="0.35">
      <c r="B255" s="16"/>
      <c r="C255" s="16"/>
    </row>
    <row r="256" spans="2:3" ht="16.5" hidden="1" customHeight="1" x14ac:dyDescent="0.35">
      <c r="B256" s="16"/>
      <c r="C256" s="16"/>
    </row>
    <row r="257" spans="2:3" ht="16.5" hidden="1" customHeight="1" x14ac:dyDescent="0.35">
      <c r="B257" s="16"/>
      <c r="C257" s="16"/>
    </row>
    <row r="258" spans="2:3" ht="16.5" hidden="1" customHeight="1" x14ac:dyDescent="0.35">
      <c r="B258" s="16"/>
      <c r="C258" s="16"/>
    </row>
    <row r="259" spans="2:3" ht="16.5" hidden="1" customHeight="1" x14ac:dyDescent="0.35">
      <c r="B259" s="16"/>
      <c r="C259" s="16"/>
    </row>
    <row r="260" spans="2:3" ht="16.5" hidden="1" customHeight="1" x14ac:dyDescent="0.35">
      <c r="B260" s="16"/>
      <c r="C260" s="16"/>
    </row>
    <row r="261" spans="2:3" ht="16.5" hidden="1" customHeight="1" x14ac:dyDescent="0.35">
      <c r="B261" s="16"/>
      <c r="C261" s="16"/>
    </row>
    <row r="262" spans="2:3" ht="16.5" hidden="1" customHeight="1" x14ac:dyDescent="0.35">
      <c r="B262" s="16"/>
      <c r="C262" s="16"/>
    </row>
    <row r="263" spans="2:3" ht="16.5" hidden="1" customHeight="1" x14ac:dyDescent="0.35">
      <c r="B263" s="16"/>
      <c r="C263" s="16"/>
    </row>
    <row r="264" spans="2:3" ht="16.5" hidden="1" customHeight="1" x14ac:dyDescent="0.35">
      <c r="B264" s="16"/>
      <c r="C264" s="16"/>
    </row>
    <row r="265" spans="2:3" ht="16.5" hidden="1" customHeight="1" x14ac:dyDescent="0.35">
      <c r="B265" s="16"/>
      <c r="C265" s="16"/>
    </row>
    <row r="266" spans="2:3" ht="16.5" hidden="1" customHeight="1" x14ac:dyDescent="0.35">
      <c r="B266" s="16"/>
      <c r="C266" s="16"/>
    </row>
    <row r="267" spans="2:3" ht="16.5" hidden="1" customHeight="1" x14ac:dyDescent="0.35">
      <c r="B267" s="16"/>
      <c r="C267" s="16"/>
    </row>
    <row r="268" spans="2:3" ht="16.5" hidden="1" customHeight="1" x14ac:dyDescent="0.35">
      <c r="B268" s="16"/>
      <c r="C268" s="16"/>
    </row>
    <row r="269" spans="2:3" ht="16.5" hidden="1" customHeight="1" x14ac:dyDescent="0.35">
      <c r="B269" s="16"/>
      <c r="C269" s="16"/>
    </row>
    <row r="270" spans="2:3" ht="16.5" hidden="1" customHeight="1" x14ac:dyDescent="0.35">
      <c r="B270" s="16"/>
      <c r="C270" s="16"/>
    </row>
    <row r="271" spans="2:3" ht="16.5" hidden="1" customHeight="1" x14ac:dyDescent="0.35">
      <c r="B271" s="16"/>
      <c r="C271" s="16"/>
    </row>
    <row r="272" spans="2:3" ht="16.5" hidden="1" customHeight="1" x14ac:dyDescent="0.35">
      <c r="B272" s="16"/>
      <c r="C272" s="16"/>
    </row>
    <row r="273" spans="2:3" ht="16.5" hidden="1" customHeight="1" x14ac:dyDescent="0.35">
      <c r="B273" s="16"/>
      <c r="C273" s="16"/>
    </row>
    <row r="274" spans="2:3" ht="16.5" hidden="1" customHeight="1" x14ac:dyDescent="0.35">
      <c r="B274" s="16"/>
      <c r="C274" s="16"/>
    </row>
    <row r="275" spans="2:3" ht="16.5" hidden="1" customHeight="1" x14ac:dyDescent="0.35">
      <c r="B275" s="16"/>
      <c r="C275" s="16"/>
    </row>
    <row r="276" spans="2:3" ht="16.5" hidden="1" customHeight="1" x14ac:dyDescent="0.35">
      <c r="B276" s="16"/>
      <c r="C276" s="16"/>
    </row>
    <row r="277" spans="2:3" ht="16.5" hidden="1" customHeight="1" x14ac:dyDescent="0.35">
      <c r="B277" s="16"/>
      <c r="C277" s="16"/>
    </row>
    <row r="278" spans="2:3" ht="16.5" hidden="1" customHeight="1" x14ac:dyDescent="0.35">
      <c r="B278" s="16"/>
      <c r="C278" s="16"/>
    </row>
    <row r="279" spans="2:3" ht="16.5" hidden="1" customHeight="1" x14ac:dyDescent="0.35">
      <c r="B279" s="16"/>
      <c r="C279" s="16"/>
    </row>
    <row r="280" spans="2:3" ht="16.5" hidden="1" customHeight="1" x14ac:dyDescent="0.35">
      <c r="B280" s="16"/>
      <c r="C280" s="16"/>
    </row>
    <row r="281" spans="2:3" ht="16.5" hidden="1" customHeight="1" x14ac:dyDescent="0.35">
      <c r="B281" s="16"/>
      <c r="C281" s="16"/>
    </row>
    <row r="282" spans="2:3" ht="16.5" hidden="1" customHeight="1" x14ac:dyDescent="0.35">
      <c r="B282" s="16"/>
      <c r="C282" s="16"/>
    </row>
    <row r="283" spans="2:3" ht="16.5" hidden="1" customHeight="1" x14ac:dyDescent="0.35">
      <c r="B283" s="16"/>
      <c r="C283" s="16"/>
    </row>
    <row r="284" spans="2:3" ht="16.5" hidden="1" customHeight="1" x14ac:dyDescent="0.35">
      <c r="B284" s="16"/>
      <c r="C284" s="16"/>
    </row>
    <row r="285" spans="2:3" ht="16.5" hidden="1" customHeight="1" x14ac:dyDescent="0.35">
      <c r="B285" s="16"/>
      <c r="C285" s="16"/>
    </row>
    <row r="286" spans="2:3" ht="16.5" hidden="1" customHeight="1" x14ac:dyDescent="0.35">
      <c r="B286" s="16"/>
      <c r="C286" s="16"/>
    </row>
    <row r="287" spans="2:3" ht="16.5" hidden="1" customHeight="1" x14ac:dyDescent="0.35">
      <c r="B287" s="16"/>
      <c r="C287" s="16"/>
    </row>
    <row r="288" spans="2:3" ht="16.5" hidden="1" customHeight="1" x14ac:dyDescent="0.35">
      <c r="B288" s="16"/>
      <c r="C288" s="16"/>
    </row>
    <row r="289" spans="2:3" ht="16.5" hidden="1" customHeight="1" x14ac:dyDescent="0.35">
      <c r="B289" s="16"/>
      <c r="C289" s="16"/>
    </row>
    <row r="290" spans="2:3" ht="16.5" hidden="1" customHeight="1" x14ac:dyDescent="0.35">
      <c r="B290" s="16"/>
      <c r="C290" s="16"/>
    </row>
    <row r="291" spans="2:3" ht="16.5" hidden="1" customHeight="1" x14ac:dyDescent="0.35">
      <c r="B291" s="16"/>
      <c r="C291" s="16"/>
    </row>
    <row r="292" spans="2:3" ht="16.5" hidden="1" customHeight="1" x14ac:dyDescent="0.35">
      <c r="B292" s="16"/>
      <c r="C292" s="16"/>
    </row>
    <row r="293" spans="2:3" ht="16.5" hidden="1" customHeight="1" x14ac:dyDescent="0.35">
      <c r="B293" s="16"/>
      <c r="C293" s="16"/>
    </row>
    <row r="294" spans="2:3" ht="16.5" hidden="1" customHeight="1" x14ac:dyDescent="0.35">
      <c r="B294" s="16"/>
      <c r="C294" s="16"/>
    </row>
    <row r="295" spans="2:3" ht="16.5" hidden="1" customHeight="1" x14ac:dyDescent="0.35">
      <c r="B295" s="16"/>
      <c r="C295" s="16"/>
    </row>
    <row r="296" spans="2:3" ht="16.5" hidden="1" customHeight="1" x14ac:dyDescent="0.35">
      <c r="B296" s="16"/>
      <c r="C296" s="16"/>
    </row>
    <row r="297" spans="2:3" ht="16.5" hidden="1" customHeight="1" x14ac:dyDescent="0.35">
      <c r="B297" s="16"/>
      <c r="C297" s="16"/>
    </row>
    <row r="298" spans="2:3" ht="16.5" hidden="1" customHeight="1" x14ac:dyDescent="0.35">
      <c r="B298" s="16"/>
      <c r="C298" s="16"/>
    </row>
    <row r="299" spans="2:3" ht="16.5" hidden="1" customHeight="1" x14ac:dyDescent="0.35">
      <c r="B299" s="16"/>
      <c r="C299" s="16"/>
    </row>
    <row r="300" spans="2:3" ht="16.5" hidden="1" customHeight="1" x14ac:dyDescent="0.35">
      <c r="B300" s="16"/>
      <c r="C300" s="16"/>
    </row>
    <row r="301" spans="2:3" ht="16.5" hidden="1" customHeight="1" x14ac:dyDescent="0.35">
      <c r="B301" s="16"/>
      <c r="C301" s="16"/>
    </row>
    <row r="302" spans="2:3" ht="16.5" hidden="1" customHeight="1" x14ac:dyDescent="0.35">
      <c r="B302" s="16"/>
      <c r="C302" s="16"/>
    </row>
    <row r="303" spans="2:3" ht="16.5" hidden="1" customHeight="1" x14ac:dyDescent="0.35">
      <c r="B303" s="16"/>
      <c r="C303" s="16"/>
    </row>
    <row r="304" spans="2:3" ht="16.5" hidden="1" customHeight="1" x14ac:dyDescent="0.35">
      <c r="B304" s="16"/>
      <c r="C304" s="16"/>
    </row>
    <row r="305" spans="2:3" ht="16.5" hidden="1" customHeight="1" x14ac:dyDescent="0.35">
      <c r="B305" s="16"/>
      <c r="C305" s="16"/>
    </row>
    <row r="306" spans="2:3" ht="16.5" hidden="1" customHeight="1" x14ac:dyDescent="0.35">
      <c r="B306" s="16"/>
      <c r="C306" s="16"/>
    </row>
    <row r="307" spans="2:3" ht="16.5" hidden="1" customHeight="1" x14ac:dyDescent="0.35">
      <c r="B307" s="16"/>
      <c r="C307" s="16"/>
    </row>
    <row r="308" spans="2:3" ht="16.5" hidden="1" customHeight="1" x14ac:dyDescent="0.35">
      <c r="B308" s="16"/>
      <c r="C308" s="16"/>
    </row>
    <row r="309" spans="2:3" ht="16.5" hidden="1" customHeight="1" x14ac:dyDescent="0.35">
      <c r="B309" s="16"/>
      <c r="C309" s="16"/>
    </row>
    <row r="310" spans="2:3" ht="16.5" hidden="1" customHeight="1" x14ac:dyDescent="0.35">
      <c r="B310" s="16"/>
      <c r="C310" s="16"/>
    </row>
    <row r="311" spans="2:3" ht="16.5" hidden="1" customHeight="1" x14ac:dyDescent="0.35">
      <c r="B311" s="16"/>
      <c r="C311" s="16"/>
    </row>
    <row r="312" spans="2:3" ht="16.5" hidden="1" customHeight="1" x14ac:dyDescent="0.35">
      <c r="B312" s="16"/>
      <c r="C312" s="16"/>
    </row>
    <row r="313" spans="2:3" ht="16.5" hidden="1" customHeight="1" x14ac:dyDescent="0.35">
      <c r="B313" s="16"/>
      <c r="C313" s="16"/>
    </row>
    <row r="314" spans="2:3" ht="16.5" hidden="1" customHeight="1" x14ac:dyDescent="0.35">
      <c r="B314" s="16"/>
      <c r="C314" s="16"/>
    </row>
    <row r="315" spans="2:3" ht="16.5" hidden="1" customHeight="1" x14ac:dyDescent="0.35">
      <c r="B315" s="16"/>
      <c r="C315" s="16"/>
    </row>
    <row r="316" spans="2:3" ht="16.5" hidden="1" customHeight="1" x14ac:dyDescent="0.35">
      <c r="B316" s="16"/>
      <c r="C316" s="16"/>
    </row>
    <row r="317" spans="2:3" ht="16.5" hidden="1" customHeight="1" x14ac:dyDescent="0.35">
      <c r="B317" s="16"/>
      <c r="C317" s="16"/>
    </row>
    <row r="318" spans="2:3" ht="16.5" hidden="1" customHeight="1" x14ac:dyDescent="0.35">
      <c r="B318" s="16"/>
      <c r="C318" s="16"/>
    </row>
    <row r="319" spans="2:3" ht="16.5" hidden="1" customHeight="1" x14ac:dyDescent="0.35">
      <c r="B319" s="16"/>
      <c r="C319" s="16"/>
    </row>
    <row r="320" spans="2:3" ht="16.5" hidden="1" customHeight="1" x14ac:dyDescent="0.35">
      <c r="B320" s="16"/>
      <c r="C320" s="16"/>
    </row>
    <row r="321" spans="2:3" ht="16.5" hidden="1" customHeight="1" x14ac:dyDescent="0.35">
      <c r="B321" s="16"/>
      <c r="C321" s="16"/>
    </row>
    <row r="322" spans="2:3" ht="16.5" hidden="1" customHeight="1" x14ac:dyDescent="0.35">
      <c r="B322" s="16"/>
      <c r="C322" s="16"/>
    </row>
    <row r="323" spans="2:3" ht="16.5" hidden="1" customHeight="1" x14ac:dyDescent="0.35">
      <c r="B323" s="16"/>
      <c r="C323" s="16"/>
    </row>
    <row r="324" spans="2:3" ht="16.5" hidden="1" customHeight="1" x14ac:dyDescent="0.35">
      <c r="B324" s="16"/>
      <c r="C324" s="16"/>
    </row>
    <row r="325" spans="2:3" ht="16.5" hidden="1" customHeight="1" x14ac:dyDescent="0.35">
      <c r="B325" s="16"/>
      <c r="C325" s="16"/>
    </row>
    <row r="326" spans="2:3" ht="16.5" hidden="1" customHeight="1" x14ac:dyDescent="0.35">
      <c r="B326" s="16"/>
      <c r="C326" s="16"/>
    </row>
    <row r="327" spans="2:3" ht="16.5" hidden="1" customHeight="1" x14ac:dyDescent="0.35">
      <c r="B327" s="16"/>
      <c r="C327" s="16"/>
    </row>
    <row r="328" spans="2:3" ht="16.5" hidden="1" customHeight="1" x14ac:dyDescent="0.35">
      <c r="B328" s="16"/>
      <c r="C328" s="16"/>
    </row>
    <row r="329" spans="2:3" ht="16.5" hidden="1" customHeight="1" x14ac:dyDescent="0.35">
      <c r="B329" s="16"/>
      <c r="C329" s="16"/>
    </row>
    <row r="330" spans="2:3" ht="16.5" hidden="1" customHeight="1" x14ac:dyDescent="0.35">
      <c r="B330" s="16"/>
      <c r="C330" s="16"/>
    </row>
    <row r="331" spans="2:3" ht="16.5" hidden="1" customHeight="1" x14ac:dyDescent="0.35">
      <c r="B331" s="16"/>
      <c r="C331" s="16"/>
    </row>
    <row r="332" spans="2:3" ht="16.5" hidden="1" customHeight="1" x14ac:dyDescent="0.35">
      <c r="B332" s="16"/>
      <c r="C332" s="16"/>
    </row>
    <row r="333" spans="2:3" ht="16.5" hidden="1" customHeight="1" x14ac:dyDescent="0.35">
      <c r="B333" s="16"/>
      <c r="C333" s="16"/>
    </row>
    <row r="334" spans="2:3" ht="16.5" hidden="1" customHeight="1" x14ac:dyDescent="0.35">
      <c r="B334" s="16"/>
      <c r="C334" s="16"/>
    </row>
    <row r="335" spans="2:3" ht="16.5" hidden="1" customHeight="1" x14ac:dyDescent="0.35">
      <c r="B335" s="16"/>
      <c r="C335" s="16"/>
    </row>
    <row r="336" spans="2:3" ht="16.5" hidden="1" customHeight="1" x14ac:dyDescent="0.35">
      <c r="B336" s="16"/>
      <c r="C336" s="16"/>
    </row>
    <row r="337" spans="2:3" ht="16.5" hidden="1" customHeight="1" x14ac:dyDescent="0.35">
      <c r="B337" s="16"/>
      <c r="C337" s="16"/>
    </row>
    <row r="338" spans="2:3" ht="16.5" hidden="1" customHeight="1" x14ac:dyDescent="0.35">
      <c r="B338" s="16"/>
      <c r="C338" s="16"/>
    </row>
    <row r="339" spans="2:3" ht="16.5" hidden="1" customHeight="1" x14ac:dyDescent="0.35">
      <c r="B339" s="16"/>
      <c r="C339" s="16"/>
    </row>
    <row r="340" spans="2:3" ht="16.5" hidden="1" customHeight="1" x14ac:dyDescent="0.35">
      <c r="B340" s="16"/>
      <c r="C340" s="16"/>
    </row>
    <row r="341" spans="2:3" ht="16.5" hidden="1" customHeight="1" x14ac:dyDescent="0.35">
      <c r="B341" s="16"/>
      <c r="C341" s="16"/>
    </row>
    <row r="342" spans="2:3" ht="16.5" hidden="1" customHeight="1" x14ac:dyDescent="0.35">
      <c r="B342" s="16"/>
      <c r="C342" s="16"/>
    </row>
    <row r="343" spans="2:3" ht="16.5" hidden="1" customHeight="1" x14ac:dyDescent="0.35">
      <c r="B343" s="16"/>
      <c r="C343" s="16"/>
    </row>
    <row r="344" spans="2:3" ht="16.5" hidden="1" customHeight="1" x14ac:dyDescent="0.35">
      <c r="B344" s="16"/>
      <c r="C344" s="16"/>
    </row>
    <row r="345" spans="2:3" ht="16.5" hidden="1" customHeight="1" x14ac:dyDescent="0.35">
      <c r="B345" s="16"/>
      <c r="C345" s="16"/>
    </row>
    <row r="346" spans="2:3" ht="16.5" hidden="1" customHeight="1" x14ac:dyDescent="0.35">
      <c r="B346" s="16"/>
      <c r="C346" s="16"/>
    </row>
    <row r="347" spans="2:3" ht="16.5" hidden="1" customHeight="1" x14ac:dyDescent="0.35">
      <c r="B347" s="16"/>
      <c r="C347" s="16"/>
    </row>
    <row r="348" spans="2:3" ht="16.5" hidden="1" customHeight="1" x14ac:dyDescent="0.35">
      <c r="B348" s="16"/>
      <c r="C348" s="16"/>
    </row>
    <row r="349" spans="2:3" ht="16.5" hidden="1" customHeight="1" x14ac:dyDescent="0.35">
      <c r="B349" s="16"/>
      <c r="C349" s="16"/>
    </row>
    <row r="350" spans="2:3" ht="16.5" hidden="1" customHeight="1" x14ac:dyDescent="0.35">
      <c r="B350" s="16"/>
      <c r="C350" s="16"/>
    </row>
    <row r="351" spans="2:3" ht="16.5" hidden="1" customHeight="1" x14ac:dyDescent="0.35">
      <c r="B351" s="16"/>
      <c r="C351" s="16"/>
    </row>
    <row r="352" spans="2:3" ht="16.5" hidden="1" customHeight="1" x14ac:dyDescent="0.35">
      <c r="B352" s="16"/>
      <c r="C352" s="16"/>
    </row>
    <row r="353" spans="2:3" ht="16.5" hidden="1" customHeight="1" x14ac:dyDescent="0.35">
      <c r="B353" s="16"/>
      <c r="C353" s="16"/>
    </row>
    <row r="354" spans="2:3" ht="16.5" hidden="1" customHeight="1" x14ac:dyDescent="0.35">
      <c r="B354" s="16"/>
      <c r="C354" s="16"/>
    </row>
    <row r="355" spans="2:3" ht="16.5" hidden="1" customHeight="1" x14ac:dyDescent="0.35">
      <c r="B355" s="16"/>
      <c r="C355" s="16"/>
    </row>
    <row r="356" spans="2:3" ht="16.5" hidden="1" customHeight="1" x14ac:dyDescent="0.35">
      <c r="B356" s="16"/>
      <c r="C356" s="16"/>
    </row>
    <row r="357" spans="2:3" ht="16.5" hidden="1" customHeight="1" x14ac:dyDescent="0.35">
      <c r="B357" s="16"/>
      <c r="C357" s="16"/>
    </row>
    <row r="358" spans="2:3" ht="16.5" hidden="1" customHeight="1" x14ac:dyDescent="0.35">
      <c r="B358" s="16"/>
      <c r="C358" s="16"/>
    </row>
    <row r="359" spans="2:3" ht="16.5" hidden="1" customHeight="1" x14ac:dyDescent="0.35">
      <c r="B359" s="16"/>
      <c r="C359" s="16"/>
    </row>
    <row r="360" spans="2:3" ht="16.5" hidden="1" customHeight="1" x14ac:dyDescent="0.35">
      <c r="B360" s="16"/>
      <c r="C360" s="16"/>
    </row>
    <row r="361" spans="2:3" ht="16.5" hidden="1" customHeight="1" x14ac:dyDescent="0.35">
      <c r="B361" s="16"/>
      <c r="C361" s="16"/>
    </row>
    <row r="362" spans="2:3" ht="16.5" hidden="1" customHeight="1" x14ac:dyDescent="0.35">
      <c r="B362" s="16"/>
      <c r="C362" s="16"/>
    </row>
    <row r="363" spans="2:3" ht="16.5" hidden="1" customHeight="1" x14ac:dyDescent="0.35">
      <c r="B363" s="16"/>
      <c r="C363" s="16"/>
    </row>
    <row r="364" spans="2:3" ht="16.5" hidden="1" customHeight="1" x14ac:dyDescent="0.35">
      <c r="B364" s="16"/>
      <c r="C364" s="16"/>
    </row>
    <row r="365" spans="2:3" ht="16.5" hidden="1" customHeight="1" x14ac:dyDescent="0.35">
      <c r="B365" s="16"/>
      <c r="C365" s="16"/>
    </row>
    <row r="366" spans="2:3" ht="16.5" hidden="1" customHeight="1" x14ac:dyDescent="0.35">
      <c r="B366" s="16"/>
      <c r="C366" s="16"/>
    </row>
    <row r="367" spans="2:3" ht="16.5" hidden="1" customHeight="1" x14ac:dyDescent="0.35">
      <c r="B367" s="16"/>
      <c r="C367" s="16"/>
    </row>
    <row r="368" spans="2:3" ht="16.5" hidden="1" customHeight="1" x14ac:dyDescent="0.35">
      <c r="B368" s="16"/>
      <c r="C368" s="16"/>
    </row>
    <row r="369" spans="2:3" ht="16.5" hidden="1" customHeight="1" x14ac:dyDescent="0.35">
      <c r="B369" s="16"/>
      <c r="C369" s="16"/>
    </row>
    <row r="370" spans="2:3" ht="16.5" hidden="1" customHeight="1" x14ac:dyDescent="0.35">
      <c r="B370" s="16"/>
      <c r="C370" s="16"/>
    </row>
    <row r="371" spans="2:3" ht="16.5" hidden="1" customHeight="1" x14ac:dyDescent="0.35">
      <c r="B371" s="16"/>
      <c r="C371" s="16"/>
    </row>
    <row r="372" spans="2:3" ht="16.5" hidden="1" customHeight="1" x14ac:dyDescent="0.35">
      <c r="B372" s="16"/>
      <c r="C372" s="16"/>
    </row>
    <row r="373" spans="2:3" ht="16.5" hidden="1" customHeight="1" x14ac:dyDescent="0.35">
      <c r="B373" s="16"/>
      <c r="C373" s="16"/>
    </row>
    <row r="374" spans="2:3" ht="16.5" hidden="1" customHeight="1" x14ac:dyDescent="0.35">
      <c r="B374" s="16"/>
      <c r="C374" s="16"/>
    </row>
    <row r="375" spans="2:3" ht="16.5" hidden="1" customHeight="1" x14ac:dyDescent="0.35">
      <c r="B375" s="16"/>
      <c r="C375" s="16"/>
    </row>
    <row r="376" spans="2:3" ht="16.5" hidden="1" customHeight="1" x14ac:dyDescent="0.35">
      <c r="B376" s="16"/>
      <c r="C376" s="16"/>
    </row>
    <row r="377" spans="2:3" ht="16.5" hidden="1" customHeight="1" x14ac:dyDescent="0.35">
      <c r="B377" s="16"/>
      <c r="C377" s="16"/>
    </row>
    <row r="378" spans="2:3" ht="16.5" hidden="1" customHeight="1" x14ac:dyDescent="0.35">
      <c r="B378" s="16"/>
      <c r="C378" s="16"/>
    </row>
    <row r="379" spans="2:3" ht="16.5" hidden="1" customHeight="1" x14ac:dyDescent="0.35">
      <c r="B379" s="16"/>
      <c r="C379" s="16"/>
    </row>
    <row r="380" spans="2:3" ht="16.5" hidden="1" customHeight="1" x14ac:dyDescent="0.35">
      <c r="B380" s="16"/>
      <c r="C380" s="16"/>
    </row>
    <row r="381" spans="2:3" ht="16.5" hidden="1" customHeight="1" x14ac:dyDescent="0.35">
      <c r="B381" s="16"/>
      <c r="C381" s="16"/>
    </row>
    <row r="382" spans="2:3" ht="16.5" hidden="1" customHeight="1" x14ac:dyDescent="0.35">
      <c r="B382" s="16"/>
      <c r="C382" s="16"/>
    </row>
    <row r="383" spans="2:3" ht="16.5" hidden="1" customHeight="1" x14ac:dyDescent="0.35">
      <c r="B383" s="16"/>
      <c r="C383" s="16"/>
    </row>
    <row r="384" spans="2:3" ht="16.5" hidden="1" customHeight="1" x14ac:dyDescent="0.35">
      <c r="B384" s="16"/>
      <c r="C384" s="16"/>
    </row>
    <row r="385" spans="2:3" ht="16.5" hidden="1" customHeight="1" x14ac:dyDescent="0.35">
      <c r="B385" s="16"/>
      <c r="C385" s="16"/>
    </row>
    <row r="386" spans="2:3" ht="16.5" hidden="1" customHeight="1" x14ac:dyDescent="0.35">
      <c r="B386" s="16"/>
      <c r="C386" s="16"/>
    </row>
    <row r="387" spans="2:3" ht="16.5" hidden="1" customHeight="1" x14ac:dyDescent="0.35">
      <c r="B387" s="16"/>
      <c r="C387" s="16"/>
    </row>
    <row r="388" spans="2:3" ht="16.5" hidden="1" customHeight="1" x14ac:dyDescent="0.35">
      <c r="B388" s="16"/>
      <c r="C388" s="16"/>
    </row>
    <row r="389" spans="2:3" ht="16.5" hidden="1" customHeight="1" x14ac:dyDescent="0.35">
      <c r="B389" s="16"/>
      <c r="C389" s="16"/>
    </row>
    <row r="390" spans="2:3" ht="16.5" hidden="1" customHeight="1" x14ac:dyDescent="0.35">
      <c r="B390" s="16"/>
      <c r="C390" s="16"/>
    </row>
    <row r="391" spans="2:3" ht="16.5" hidden="1" customHeight="1" x14ac:dyDescent="0.35">
      <c r="B391" s="16"/>
      <c r="C391" s="16"/>
    </row>
    <row r="392" spans="2:3" ht="16.5" hidden="1" customHeight="1" x14ac:dyDescent="0.35">
      <c r="B392" s="16"/>
      <c r="C392" s="16"/>
    </row>
    <row r="393" spans="2:3" ht="16.5" hidden="1" customHeight="1" x14ac:dyDescent="0.35">
      <c r="B393" s="16"/>
      <c r="C393" s="16"/>
    </row>
    <row r="394" spans="2:3" ht="16.5" hidden="1" customHeight="1" x14ac:dyDescent="0.35">
      <c r="B394" s="16"/>
      <c r="C394" s="16"/>
    </row>
    <row r="395" spans="2:3" ht="16.5" hidden="1" customHeight="1" x14ac:dyDescent="0.35">
      <c r="B395" s="16"/>
      <c r="C395" s="16"/>
    </row>
    <row r="396" spans="2:3" ht="16.5" hidden="1" customHeight="1" x14ac:dyDescent="0.35">
      <c r="B396" s="16"/>
      <c r="C396" s="16"/>
    </row>
    <row r="397" spans="2:3" ht="16.5" hidden="1" customHeight="1" x14ac:dyDescent="0.35">
      <c r="B397" s="16"/>
      <c r="C397" s="16"/>
    </row>
    <row r="398" spans="2:3" ht="16.5" hidden="1" customHeight="1" x14ac:dyDescent="0.35">
      <c r="B398" s="16"/>
      <c r="C398" s="16"/>
    </row>
    <row r="399" spans="2:3" ht="16.5" hidden="1" customHeight="1" x14ac:dyDescent="0.35">
      <c r="B399" s="16"/>
      <c r="C399" s="16"/>
    </row>
    <row r="400" spans="2:3" ht="16.5" hidden="1" customHeight="1" x14ac:dyDescent="0.35">
      <c r="B400" s="16"/>
      <c r="C400" s="16"/>
    </row>
    <row r="401" spans="2:3" ht="16.5" hidden="1" customHeight="1" x14ac:dyDescent="0.35">
      <c r="B401" s="16"/>
      <c r="C401" s="16"/>
    </row>
    <row r="402" spans="2:3" ht="16.5" hidden="1" customHeight="1" x14ac:dyDescent="0.35">
      <c r="B402" s="16"/>
      <c r="C402" s="16"/>
    </row>
    <row r="403" spans="2:3" ht="16.5" hidden="1" customHeight="1" x14ac:dyDescent="0.35">
      <c r="B403" s="16"/>
      <c r="C403" s="16"/>
    </row>
    <row r="404" spans="2:3" ht="16.5" hidden="1" customHeight="1" x14ac:dyDescent="0.35">
      <c r="B404" s="16"/>
      <c r="C404" s="16"/>
    </row>
    <row r="405" spans="2:3" ht="16.5" hidden="1" customHeight="1" x14ac:dyDescent="0.35">
      <c r="B405" s="16"/>
      <c r="C405" s="16"/>
    </row>
    <row r="406" spans="2:3" ht="16.5" hidden="1" customHeight="1" x14ac:dyDescent="0.35">
      <c r="B406" s="16"/>
      <c r="C406" s="16"/>
    </row>
    <row r="407" spans="2:3" ht="16.5" hidden="1" customHeight="1" x14ac:dyDescent="0.35">
      <c r="B407" s="16"/>
      <c r="C407" s="16"/>
    </row>
    <row r="408" spans="2:3" ht="16.5" hidden="1" customHeight="1" x14ac:dyDescent="0.35">
      <c r="B408" s="16"/>
      <c r="C408" s="16"/>
    </row>
    <row r="409" spans="2:3" ht="16.5" hidden="1" customHeight="1" x14ac:dyDescent="0.35">
      <c r="B409" s="16"/>
      <c r="C409" s="16"/>
    </row>
    <row r="410" spans="2:3" ht="16.5" hidden="1" customHeight="1" x14ac:dyDescent="0.35">
      <c r="B410" s="16"/>
      <c r="C410" s="16"/>
    </row>
    <row r="411" spans="2:3" ht="16.5" hidden="1" customHeight="1" x14ac:dyDescent="0.35">
      <c r="B411" s="16"/>
      <c r="C411" s="16"/>
    </row>
    <row r="412" spans="2:3" ht="16.5" hidden="1" customHeight="1" x14ac:dyDescent="0.35">
      <c r="B412" s="16"/>
      <c r="C412" s="16"/>
    </row>
    <row r="413" spans="2:3" ht="16.5" hidden="1" customHeight="1" x14ac:dyDescent="0.35">
      <c r="B413" s="16"/>
      <c r="C413" s="16"/>
    </row>
    <row r="414" spans="2:3" ht="16.5" hidden="1" customHeight="1" x14ac:dyDescent="0.35">
      <c r="B414" s="16"/>
      <c r="C414" s="16"/>
    </row>
    <row r="415" spans="2:3" ht="16.5" hidden="1" customHeight="1" x14ac:dyDescent="0.35">
      <c r="B415" s="16"/>
      <c r="C415" s="16"/>
    </row>
    <row r="416" spans="2:3" ht="16.5" hidden="1" customHeight="1" x14ac:dyDescent="0.35">
      <c r="B416" s="16"/>
      <c r="C416" s="16"/>
    </row>
    <row r="417" spans="2:3" ht="16.5" hidden="1" customHeight="1" x14ac:dyDescent="0.35">
      <c r="B417" s="16"/>
      <c r="C417" s="16"/>
    </row>
    <row r="418" spans="2:3" ht="16.5" hidden="1" customHeight="1" x14ac:dyDescent="0.35">
      <c r="B418" s="16"/>
      <c r="C418" s="16"/>
    </row>
    <row r="419" spans="2:3" ht="16.5" hidden="1" customHeight="1" x14ac:dyDescent="0.35">
      <c r="B419" s="16"/>
      <c r="C419" s="16"/>
    </row>
    <row r="420" spans="2:3" ht="16.5" hidden="1" customHeight="1" x14ac:dyDescent="0.35">
      <c r="B420" s="16"/>
      <c r="C420" s="16"/>
    </row>
    <row r="421" spans="2:3" ht="16.5" hidden="1" customHeight="1" x14ac:dyDescent="0.35">
      <c r="B421" s="16"/>
      <c r="C421" s="16"/>
    </row>
    <row r="422" spans="2:3" ht="16.5" hidden="1" customHeight="1" x14ac:dyDescent="0.35">
      <c r="B422" s="16"/>
      <c r="C422" s="16"/>
    </row>
    <row r="423" spans="2:3" ht="16.5" hidden="1" customHeight="1" x14ac:dyDescent="0.35">
      <c r="B423" s="16"/>
      <c r="C423" s="16"/>
    </row>
    <row r="424" spans="2:3" ht="16.5" hidden="1" customHeight="1" x14ac:dyDescent="0.35">
      <c r="B424" s="16"/>
      <c r="C424" s="16"/>
    </row>
    <row r="425" spans="2:3" ht="16.5" hidden="1" customHeight="1" x14ac:dyDescent="0.35">
      <c r="B425" s="16"/>
      <c r="C425" s="16"/>
    </row>
    <row r="426" spans="2:3" ht="16.5" hidden="1" customHeight="1" x14ac:dyDescent="0.35">
      <c r="B426" s="16"/>
      <c r="C426" s="16"/>
    </row>
    <row r="427" spans="2:3" ht="16.5" hidden="1" customHeight="1" x14ac:dyDescent="0.35">
      <c r="B427" s="16"/>
      <c r="C427" s="16"/>
    </row>
    <row r="428" spans="2:3" ht="16.5" hidden="1" customHeight="1" x14ac:dyDescent="0.35">
      <c r="B428" s="16"/>
      <c r="C428" s="16"/>
    </row>
    <row r="429" spans="2:3" ht="16.5" hidden="1" customHeight="1" x14ac:dyDescent="0.35">
      <c r="B429" s="16"/>
      <c r="C429" s="16"/>
    </row>
    <row r="430" spans="2:3" ht="16.5" hidden="1" customHeight="1" x14ac:dyDescent="0.35">
      <c r="B430" s="16"/>
      <c r="C430" s="16"/>
    </row>
    <row r="431" spans="2:3" ht="16.5" hidden="1" customHeight="1" x14ac:dyDescent="0.35">
      <c r="B431" s="16"/>
      <c r="C431" s="16"/>
    </row>
    <row r="432" spans="2:3" ht="16.5" hidden="1" customHeight="1" x14ac:dyDescent="0.35">
      <c r="B432" s="16"/>
      <c r="C432" s="16"/>
    </row>
    <row r="433" spans="2:3" ht="16.5" hidden="1" customHeight="1" x14ac:dyDescent="0.35">
      <c r="B433" s="16"/>
      <c r="C433" s="16"/>
    </row>
    <row r="434" spans="2:3" ht="16.5" hidden="1" customHeight="1" x14ac:dyDescent="0.35">
      <c r="B434" s="16"/>
      <c r="C434" s="16"/>
    </row>
    <row r="435" spans="2:3" ht="16.5" hidden="1" customHeight="1" x14ac:dyDescent="0.35">
      <c r="B435" s="16"/>
      <c r="C435" s="16"/>
    </row>
    <row r="436" spans="2:3" ht="16.5" hidden="1" customHeight="1" x14ac:dyDescent="0.35">
      <c r="B436" s="16"/>
      <c r="C436" s="16"/>
    </row>
    <row r="437" spans="2:3" ht="16.5" hidden="1" customHeight="1" x14ac:dyDescent="0.35">
      <c r="B437" s="16"/>
      <c r="C437" s="16"/>
    </row>
    <row r="438" spans="2:3" ht="16.5" hidden="1" customHeight="1" x14ac:dyDescent="0.35">
      <c r="B438" s="16"/>
      <c r="C438" s="16"/>
    </row>
    <row r="439" spans="2:3" ht="16.5" hidden="1" customHeight="1" x14ac:dyDescent="0.35">
      <c r="B439" s="16"/>
      <c r="C439" s="16"/>
    </row>
    <row r="440" spans="2:3" ht="16.5" hidden="1" customHeight="1" x14ac:dyDescent="0.35">
      <c r="B440" s="16"/>
      <c r="C440" s="16"/>
    </row>
    <row r="441" spans="2:3" ht="16.5" hidden="1" customHeight="1" x14ac:dyDescent="0.35">
      <c r="B441" s="16"/>
      <c r="C441" s="16"/>
    </row>
    <row r="442" spans="2:3" ht="16.5" hidden="1" customHeight="1" x14ac:dyDescent="0.35">
      <c r="B442" s="16"/>
      <c r="C442" s="16"/>
    </row>
    <row r="443" spans="2:3" ht="16.5" hidden="1" customHeight="1" x14ac:dyDescent="0.35">
      <c r="B443" s="16"/>
      <c r="C443" s="16"/>
    </row>
    <row r="444" spans="2:3" ht="16.5" hidden="1" customHeight="1" x14ac:dyDescent="0.35">
      <c r="B444" s="16"/>
      <c r="C444" s="16"/>
    </row>
    <row r="445" spans="2:3" ht="16.5" hidden="1" customHeight="1" x14ac:dyDescent="0.35">
      <c r="B445" s="16"/>
      <c r="C445" s="16"/>
    </row>
    <row r="446" spans="2:3" ht="16.5" hidden="1" customHeight="1" x14ac:dyDescent="0.35">
      <c r="B446" s="16"/>
      <c r="C446" s="16"/>
    </row>
    <row r="447" spans="2:3" ht="16.5" hidden="1" customHeight="1" x14ac:dyDescent="0.35">
      <c r="B447" s="16"/>
      <c r="C447" s="16"/>
    </row>
    <row r="448" spans="2:3" ht="16.5" hidden="1" customHeight="1" x14ac:dyDescent="0.35">
      <c r="B448" s="16"/>
      <c r="C448" s="16"/>
    </row>
    <row r="449" spans="2:3" ht="16.5" hidden="1" customHeight="1" x14ac:dyDescent="0.35">
      <c r="B449" s="16"/>
      <c r="C449" s="16"/>
    </row>
    <row r="450" spans="2:3" ht="16.5" hidden="1" customHeight="1" x14ac:dyDescent="0.35">
      <c r="B450" s="16"/>
      <c r="C450" s="16"/>
    </row>
    <row r="451" spans="2:3" ht="16.5" hidden="1" customHeight="1" x14ac:dyDescent="0.35">
      <c r="B451" s="16"/>
      <c r="C451" s="16"/>
    </row>
    <row r="452" spans="2:3" ht="16.5" hidden="1" customHeight="1" x14ac:dyDescent="0.35">
      <c r="B452" s="16"/>
      <c r="C452" s="16"/>
    </row>
    <row r="453" spans="2:3" ht="16.5" hidden="1" customHeight="1" x14ac:dyDescent="0.35">
      <c r="B453" s="16"/>
      <c r="C453" s="16"/>
    </row>
    <row r="454" spans="2:3" ht="16.5" hidden="1" customHeight="1" x14ac:dyDescent="0.35">
      <c r="B454" s="16"/>
      <c r="C454" s="16"/>
    </row>
    <row r="455" spans="2:3" ht="16.5" hidden="1" customHeight="1" x14ac:dyDescent="0.35">
      <c r="B455" s="16"/>
      <c r="C455" s="16"/>
    </row>
    <row r="456" spans="2:3" ht="16.5" hidden="1" customHeight="1" x14ac:dyDescent="0.35">
      <c r="B456" s="16"/>
      <c r="C456" s="16"/>
    </row>
    <row r="457" spans="2:3" ht="16.5" hidden="1" customHeight="1" x14ac:dyDescent="0.35">
      <c r="B457" s="16"/>
      <c r="C457" s="16"/>
    </row>
    <row r="458" spans="2:3" ht="16.5" hidden="1" customHeight="1" x14ac:dyDescent="0.35">
      <c r="B458" s="16"/>
      <c r="C458" s="16"/>
    </row>
    <row r="459" spans="2:3" ht="16.5" hidden="1" customHeight="1" x14ac:dyDescent="0.35">
      <c r="B459" s="16"/>
      <c r="C459" s="16"/>
    </row>
    <row r="460" spans="2:3" ht="16.5" hidden="1" customHeight="1" x14ac:dyDescent="0.35">
      <c r="B460" s="16"/>
      <c r="C460" s="16"/>
    </row>
    <row r="461" spans="2:3" ht="16.5" hidden="1" customHeight="1" x14ac:dyDescent="0.35">
      <c r="B461" s="16"/>
      <c r="C461" s="16"/>
    </row>
    <row r="462" spans="2:3" ht="16.5" hidden="1" customHeight="1" x14ac:dyDescent="0.35">
      <c r="B462" s="16"/>
      <c r="C462" s="16"/>
    </row>
    <row r="463" spans="2:3" ht="16.5" hidden="1" customHeight="1" x14ac:dyDescent="0.35">
      <c r="B463" s="16"/>
      <c r="C463" s="16"/>
    </row>
    <row r="464" spans="2:3" ht="16.5" hidden="1" customHeight="1" x14ac:dyDescent="0.35">
      <c r="B464" s="16"/>
      <c r="C464" s="16"/>
    </row>
    <row r="465" spans="2:3" ht="16.5" hidden="1" customHeight="1" x14ac:dyDescent="0.35">
      <c r="B465" s="16"/>
      <c r="C465" s="16"/>
    </row>
    <row r="466" spans="2:3" ht="16.5" hidden="1" customHeight="1" x14ac:dyDescent="0.35">
      <c r="B466" s="16"/>
      <c r="C466" s="16"/>
    </row>
    <row r="467" spans="2:3" ht="16.5" hidden="1" customHeight="1" x14ac:dyDescent="0.35">
      <c r="B467" s="16"/>
      <c r="C467" s="16"/>
    </row>
    <row r="468" spans="2:3" ht="16.5" hidden="1" customHeight="1" x14ac:dyDescent="0.35">
      <c r="B468" s="16"/>
      <c r="C468" s="16"/>
    </row>
    <row r="469" spans="2:3" ht="16.5" hidden="1" customHeight="1" x14ac:dyDescent="0.35">
      <c r="B469" s="16"/>
      <c r="C469" s="16"/>
    </row>
    <row r="470" spans="2:3" ht="16.5" hidden="1" customHeight="1" x14ac:dyDescent="0.35">
      <c r="B470" s="16"/>
      <c r="C470" s="16"/>
    </row>
    <row r="471" spans="2:3" ht="16.5" hidden="1" customHeight="1" x14ac:dyDescent="0.35">
      <c r="B471" s="16"/>
      <c r="C471" s="16"/>
    </row>
    <row r="472" spans="2:3" ht="16.5" hidden="1" customHeight="1" x14ac:dyDescent="0.35">
      <c r="B472" s="16"/>
      <c r="C472" s="16"/>
    </row>
    <row r="473" spans="2:3" ht="16.5" hidden="1" customHeight="1" x14ac:dyDescent="0.35">
      <c r="B473" s="16"/>
      <c r="C473" s="16"/>
    </row>
    <row r="474" spans="2:3" ht="16.5" hidden="1" customHeight="1" x14ac:dyDescent="0.35">
      <c r="B474" s="16"/>
      <c r="C474" s="16"/>
    </row>
    <row r="475" spans="2:3" ht="16.5" hidden="1" customHeight="1" x14ac:dyDescent="0.35">
      <c r="B475" s="16"/>
      <c r="C475" s="16"/>
    </row>
    <row r="476" spans="2:3" ht="16.5" hidden="1" customHeight="1" x14ac:dyDescent="0.35">
      <c r="B476" s="16"/>
      <c r="C476" s="16"/>
    </row>
    <row r="477" spans="2:3" ht="16.5" hidden="1" customHeight="1" x14ac:dyDescent="0.35">
      <c r="B477" s="16"/>
      <c r="C477" s="16"/>
    </row>
    <row r="478" spans="2:3" ht="16.5" hidden="1" customHeight="1" x14ac:dyDescent="0.35">
      <c r="B478" s="16"/>
      <c r="C478" s="16"/>
    </row>
    <row r="479" spans="2:3" ht="16.5" hidden="1" customHeight="1" x14ac:dyDescent="0.35">
      <c r="B479" s="16"/>
      <c r="C479" s="16"/>
    </row>
    <row r="480" spans="2:3" ht="16.5" hidden="1" customHeight="1" x14ac:dyDescent="0.35">
      <c r="B480" s="16"/>
      <c r="C480" s="16"/>
    </row>
    <row r="481" spans="2:3" ht="16.5" hidden="1" customHeight="1" x14ac:dyDescent="0.35">
      <c r="B481" s="16"/>
      <c r="C481" s="16"/>
    </row>
    <row r="482" spans="2:3" ht="16.5" hidden="1" customHeight="1" x14ac:dyDescent="0.35">
      <c r="B482" s="16"/>
      <c r="C482" s="16"/>
    </row>
    <row r="483" spans="2:3" ht="16.5" hidden="1" customHeight="1" x14ac:dyDescent="0.35">
      <c r="B483" s="16"/>
      <c r="C483" s="16"/>
    </row>
    <row r="484" spans="2:3" ht="16.5" hidden="1" customHeight="1" x14ac:dyDescent="0.35">
      <c r="B484" s="16"/>
      <c r="C484" s="16"/>
    </row>
    <row r="485" spans="2:3" ht="16.5" hidden="1" customHeight="1" x14ac:dyDescent="0.35">
      <c r="B485" s="16"/>
      <c r="C485" s="16"/>
    </row>
    <row r="486" spans="2:3" ht="16.5" hidden="1" customHeight="1" x14ac:dyDescent="0.35">
      <c r="B486" s="16"/>
      <c r="C486" s="16"/>
    </row>
    <row r="487" spans="2:3" ht="16.5" hidden="1" customHeight="1" x14ac:dyDescent="0.35">
      <c r="B487" s="16"/>
      <c r="C487" s="16"/>
    </row>
    <row r="488" spans="2:3" ht="16.5" hidden="1" customHeight="1" x14ac:dyDescent="0.35">
      <c r="B488" s="16"/>
      <c r="C488" s="16"/>
    </row>
    <row r="489" spans="2:3" ht="16.5" hidden="1" customHeight="1" x14ac:dyDescent="0.35">
      <c r="B489" s="16"/>
      <c r="C489" s="16"/>
    </row>
    <row r="490" spans="2:3" ht="16.5" hidden="1" customHeight="1" x14ac:dyDescent="0.35">
      <c r="B490" s="16"/>
      <c r="C490" s="16"/>
    </row>
    <row r="491" spans="2:3" ht="16.5" hidden="1" customHeight="1" x14ac:dyDescent="0.35">
      <c r="B491" s="16"/>
      <c r="C491" s="16"/>
    </row>
    <row r="492" spans="2:3" ht="16.5" hidden="1" customHeight="1" x14ac:dyDescent="0.35">
      <c r="B492" s="16"/>
      <c r="C492" s="16"/>
    </row>
    <row r="493" spans="2:3" ht="16.5" hidden="1" customHeight="1" x14ac:dyDescent="0.35">
      <c r="B493" s="16"/>
      <c r="C493" s="16"/>
    </row>
    <row r="494" spans="2:3" ht="16.5" hidden="1" customHeight="1" x14ac:dyDescent="0.35">
      <c r="B494" s="16"/>
      <c r="C494" s="16"/>
    </row>
    <row r="495" spans="2:3" ht="16.5" hidden="1" customHeight="1" x14ac:dyDescent="0.35">
      <c r="B495" s="16"/>
      <c r="C495" s="16"/>
    </row>
    <row r="496" spans="2:3" ht="16.5" hidden="1" customHeight="1" x14ac:dyDescent="0.35">
      <c r="B496" s="16"/>
      <c r="C496" s="16"/>
    </row>
    <row r="497" spans="2:3" ht="16.5" hidden="1" customHeight="1" x14ac:dyDescent="0.35">
      <c r="B497" s="16"/>
      <c r="C497" s="16"/>
    </row>
    <row r="498" spans="2:3" ht="16.5" hidden="1" customHeight="1" x14ac:dyDescent="0.35">
      <c r="B498" s="16"/>
      <c r="C498" s="16"/>
    </row>
    <row r="499" spans="2:3" ht="16.5" hidden="1" customHeight="1" x14ac:dyDescent="0.35">
      <c r="B499" s="16"/>
      <c r="C499" s="16"/>
    </row>
    <row r="500" spans="2:3" ht="16.5" hidden="1" customHeight="1" x14ac:dyDescent="0.35">
      <c r="B500" s="16"/>
      <c r="C500" s="16"/>
    </row>
    <row r="501" spans="2:3" ht="16.5" hidden="1" customHeight="1" x14ac:dyDescent="0.35">
      <c r="B501" s="16"/>
      <c r="C501" s="16"/>
    </row>
    <row r="502" spans="2:3" ht="16.5" hidden="1" customHeight="1" x14ac:dyDescent="0.35">
      <c r="B502" s="16"/>
      <c r="C502" s="16"/>
    </row>
    <row r="503" spans="2:3" ht="16.5" hidden="1" customHeight="1" x14ac:dyDescent="0.35">
      <c r="B503" s="16"/>
      <c r="C503" s="16"/>
    </row>
    <row r="504" spans="2:3" ht="16.5" hidden="1" customHeight="1" x14ac:dyDescent="0.35">
      <c r="B504" s="16"/>
      <c r="C504" s="16"/>
    </row>
    <row r="505" spans="2:3" ht="16.5" hidden="1" customHeight="1" x14ac:dyDescent="0.35">
      <c r="B505" s="16"/>
      <c r="C505" s="16"/>
    </row>
    <row r="506" spans="2:3" ht="16.5" hidden="1" customHeight="1" x14ac:dyDescent="0.35">
      <c r="B506" s="16"/>
      <c r="C506" s="16"/>
    </row>
    <row r="507" spans="2:3" ht="16.5" hidden="1" customHeight="1" x14ac:dyDescent="0.35">
      <c r="B507" s="16"/>
      <c r="C507" s="16"/>
    </row>
    <row r="508" spans="2:3" ht="16.5" hidden="1" customHeight="1" x14ac:dyDescent="0.35">
      <c r="B508" s="16"/>
      <c r="C508" s="16"/>
    </row>
    <row r="509" spans="2:3" ht="16.5" hidden="1" customHeight="1" x14ac:dyDescent="0.35">
      <c r="B509" s="16"/>
      <c r="C509" s="16"/>
    </row>
    <row r="510" spans="2:3" ht="16.5" hidden="1" customHeight="1" x14ac:dyDescent="0.35">
      <c r="B510" s="16"/>
      <c r="C510" s="16"/>
    </row>
    <row r="511" spans="2:3" ht="16.5" hidden="1" customHeight="1" x14ac:dyDescent="0.35">
      <c r="B511" s="16"/>
      <c r="C511" s="16"/>
    </row>
    <row r="512" spans="2:3" ht="16.5" hidden="1" customHeight="1" x14ac:dyDescent="0.35">
      <c r="B512" s="16"/>
      <c r="C512" s="16"/>
    </row>
    <row r="513" spans="2:3" ht="16.5" hidden="1" customHeight="1" x14ac:dyDescent="0.35">
      <c r="B513" s="16"/>
      <c r="C513" s="16"/>
    </row>
    <row r="514" spans="2:3" ht="16.5" hidden="1" customHeight="1" x14ac:dyDescent="0.35">
      <c r="B514" s="16"/>
      <c r="C514" s="16"/>
    </row>
    <row r="515" spans="2:3" ht="16.5" hidden="1" customHeight="1" x14ac:dyDescent="0.35">
      <c r="B515" s="16"/>
      <c r="C515" s="16"/>
    </row>
    <row r="516" spans="2:3" ht="16.5" hidden="1" customHeight="1" x14ac:dyDescent="0.35">
      <c r="B516" s="16"/>
      <c r="C516" s="16"/>
    </row>
    <row r="517" spans="2:3" ht="16.5" hidden="1" customHeight="1" x14ac:dyDescent="0.35">
      <c r="B517" s="16"/>
      <c r="C517" s="16"/>
    </row>
    <row r="518" spans="2:3" ht="16.5" hidden="1" customHeight="1" x14ac:dyDescent="0.35">
      <c r="B518" s="16"/>
      <c r="C518" s="16"/>
    </row>
    <row r="519" spans="2:3" ht="16.5" hidden="1" customHeight="1" x14ac:dyDescent="0.35">
      <c r="B519" s="16"/>
      <c r="C519" s="16"/>
    </row>
    <row r="520" spans="2:3" ht="16.5" hidden="1" customHeight="1" x14ac:dyDescent="0.35">
      <c r="B520" s="16"/>
      <c r="C520" s="16"/>
    </row>
    <row r="521" spans="2:3" ht="16.5" hidden="1" customHeight="1" x14ac:dyDescent="0.35">
      <c r="B521" s="16"/>
      <c r="C521" s="16"/>
    </row>
    <row r="522" spans="2:3" ht="16.5" hidden="1" customHeight="1" x14ac:dyDescent="0.35">
      <c r="B522" s="16"/>
      <c r="C522" s="16"/>
    </row>
    <row r="523" spans="2:3" ht="16.5" hidden="1" customHeight="1" x14ac:dyDescent="0.35">
      <c r="B523" s="16"/>
      <c r="C523" s="16"/>
    </row>
    <row r="524" spans="2:3" ht="16.5" hidden="1" customHeight="1" x14ac:dyDescent="0.35">
      <c r="B524" s="16"/>
      <c r="C524" s="16"/>
    </row>
    <row r="525" spans="2:3" ht="16.5" hidden="1" customHeight="1" x14ac:dyDescent="0.35">
      <c r="B525" s="16"/>
      <c r="C525" s="16"/>
    </row>
    <row r="526" spans="2:3" ht="16.5" hidden="1" customHeight="1" x14ac:dyDescent="0.35">
      <c r="B526" s="16"/>
      <c r="C526" s="16"/>
    </row>
    <row r="527" spans="2:3" ht="16.5" hidden="1" customHeight="1" x14ac:dyDescent="0.35">
      <c r="B527" s="16"/>
      <c r="C527" s="16"/>
    </row>
    <row r="528" spans="2:3" ht="16.5" hidden="1" customHeight="1" x14ac:dyDescent="0.35">
      <c r="B528" s="16"/>
      <c r="C528" s="16"/>
    </row>
    <row r="529" spans="2:3" ht="16.5" hidden="1" customHeight="1" x14ac:dyDescent="0.35">
      <c r="B529" s="16"/>
      <c r="C529" s="16"/>
    </row>
    <row r="530" spans="2:3" ht="16.5" hidden="1" customHeight="1" x14ac:dyDescent="0.35">
      <c r="B530" s="16"/>
      <c r="C530" s="16"/>
    </row>
    <row r="531" spans="2:3" ht="16.5" hidden="1" customHeight="1" x14ac:dyDescent="0.35">
      <c r="B531" s="16"/>
      <c r="C531" s="16"/>
    </row>
    <row r="532" spans="2:3" ht="16.5" hidden="1" customHeight="1" x14ac:dyDescent="0.35">
      <c r="B532" s="16"/>
      <c r="C532" s="16"/>
    </row>
    <row r="533" spans="2:3" ht="16.5" hidden="1" customHeight="1" x14ac:dyDescent="0.35">
      <c r="B533" s="16"/>
      <c r="C533" s="16"/>
    </row>
    <row r="534" spans="2:3" ht="16.5" hidden="1" customHeight="1" x14ac:dyDescent="0.35">
      <c r="B534" s="16"/>
      <c r="C534" s="16"/>
    </row>
    <row r="535" spans="2:3" ht="16.5" hidden="1" customHeight="1" x14ac:dyDescent="0.35">
      <c r="B535" s="16"/>
      <c r="C535" s="16"/>
    </row>
    <row r="536" spans="2:3" ht="16.5" hidden="1" customHeight="1" x14ac:dyDescent="0.35">
      <c r="B536" s="16"/>
      <c r="C536" s="16"/>
    </row>
    <row r="537" spans="2:3" ht="16.5" hidden="1" customHeight="1" x14ac:dyDescent="0.35">
      <c r="B537" s="16"/>
      <c r="C537" s="16"/>
    </row>
    <row r="538" spans="2:3" ht="16.5" hidden="1" customHeight="1" x14ac:dyDescent="0.35">
      <c r="B538" s="16"/>
      <c r="C538" s="16"/>
    </row>
    <row r="539" spans="2:3" ht="16.5" hidden="1" customHeight="1" x14ac:dyDescent="0.35">
      <c r="B539" s="16"/>
      <c r="C539" s="16"/>
    </row>
    <row r="540" spans="2:3" ht="16.5" hidden="1" customHeight="1" x14ac:dyDescent="0.35">
      <c r="B540" s="16"/>
      <c r="C540" s="16"/>
    </row>
    <row r="541" spans="2:3" ht="16.5" hidden="1" customHeight="1" x14ac:dyDescent="0.35">
      <c r="B541" s="16"/>
      <c r="C541" s="16"/>
    </row>
    <row r="542" spans="2:3" ht="16.5" hidden="1" customHeight="1" x14ac:dyDescent="0.35">
      <c r="B542" s="16"/>
      <c r="C542" s="16"/>
    </row>
    <row r="543" spans="2:3" ht="16.5" hidden="1" customHeight="1" x14ac:dyDescent="0.35">
      <c r="B543" s="16"/>
      <c r="C543" s="16"/>
    </row>
    <row r="544" spans="2:3" ht="16.5" hidden="1" customHeight="1" x14ac:dyDescent="0.35">
      <c r="B544" s="16"/>
      <c r="C544" s="16"/>
    </row>
    <row r="545" spans="2:3" ht="16.5" hidden="1" customHeight="1" x14ac:dyDescent="0.35">
      <c r="B545" s="16"/>
      <c r="C545" s="16"/>
    </row>
    <row r="546" spans="2:3" ht="16.5" hidden="1" customHeight="1" x14ac:dyDescent="0.35">
      <c r="B546" s="16"/>
      <c r="C546" s="16"/>
    </row>
    <row r="547" spans="2:3" ht="16.5" hidden="1" customHeight="1" x14ac:dyDescent="0.35">
      <c r="B547" s="16"/>
      <c r="C547" s="16"/>
    </row>
    <row r="548" spans="2:3" ht="16.5" hidden="1" customHeight="1" x14ac:dyDescent="0.35">
      <c r="B548" s="16"/>
      <c r="C548" s="16"/>
    </row>
    <row r="549" spans="2:3" ht="16.5" hidden="1" customHeight="1" x14ac:dyDescent="0.35">
      <c r="B549" s="16"/>
      <c r="C549" s="16"/>
    </row>
    <row r="550" spans="2:3" ht="16.5" hidden="1" customHeight="1" x14ac:dyDescent="0.35">
      <c r="B550" s="16"/>
      <c r="C550" s="16"/>
    </row>
    <row r="551" spans="2:3" ht="16.5" hidden="1" customHeight="1" x14ac:dyDescent="0.35">
      <c r="B551" s="16"/>
      <c r="C551" s="16"/>
    </row>
    <row r="552" spans="2:3" ht="16.5" hidden="1" customHeight="1" x14ac:dyDescent="0.35">
      <c r="B552" s="16"/>
      <c r="C552" s="16"/>
    </row>
    <row r="553" spans="2:3" ht="16.5" hidden="1" customHeight="1" x14ac:dyDescent="0.35">
      <c r="B553" s="16"/>
      <c r="C553" s="16"/>
    </row>
    <row r="554" spans="2:3" ht="16.5" hidden="1" customHeight="1" x14ac:dyDescent="0.35"/>
    <row r="555" spans="2:3" ht="16.5" hidden="1" customHeight="1" x14ac:dyDescent="0.35"/>
    <row r="556" spans="2:3" ht="16.5" hidden="1" customHeight="1" x14ac:dyDescent="0.35"/>
    <row r="557" spans="2:3" ht="16.5" hidden="1" customHeight="1" x14ac:dyDescent="0.35"/>
    <row r="558" spans="2:3" ht="16.5" hidden="1" customHeight="1" x14ac:dyDescent="0.35"/>
    <row r="559" spans="2:3" ht="16.5" hidden="1" customHeight="1" x14ac:dyDescent="0.35"/>
    <row r="560" spans="2:3" ht="16.5" hidden="1" customHeight="1" x14ac:dyDescent="0.35"/>
    <row r="561" ht="16.5" hidden="1" customHeight="1" x14ac:dyDescent="0.35"/>
    <row r="562" ht="16.5" hidden="1" customHeight="1" x14ac:dyDescent="0.35"/>
    <row r="563" ht="16.5" hidden="1" customHeight="1" x14ac:dyDescent="0.35"/>
    <row r="564" ht="16.5" hidden="1" customHeight="1" x14ac:dyDescent="0.35"/>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590550</xdr:colOff>
                <xdr:row>10</xdr:row>
                <xdr:rowOff>203200</xdr:rowOff>
              </from>
              <to>
                <xdr:col>14</xdr:col>
                <xdr:colOff>323850</xdr:colOff>
                <xdr:row>46</xdr:row>
                <xdr:rowOff>152400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85" zoomScaleNormal="85" workbookViewId="0">
      <selection activeCell="U9" sqref="U9"/>
    </sheetView>
  </sheetViews>
  <sheetFormatPr defaultColWidth="0" defaultRowHeight="0" customHeight="1" zeroHeight="1" x14ac:dyDescent="0.35"/>
  <cols>
    <col min="1" max="3" width="2.1796875" style="1" customWidth="1"/>
    <col min="4" max="4" width="18.7265625" style="1" customWidth="1"/>
    <col min="5" max="8" width="9.1796875" style="1" customWidth="1"/>
    <col min="9" max="9" width="7" style="1" customWidth="1"/>
    <col min="10" max="12" width="9.1796875" style="1" customWidth="1"/>
    <col min="13" max="13" width="12.1796875" style="1" customWidth="1"/>
    <col min="14" max="14" width="5.7265625" style="1" customWidth="1"/>
    <col min="15" max="15" width="9.1796875" style="1" customWidth="1"/>
    <col min="16" max="16" width="30" style="1" customWidth="1"/>
    <col min="17" max="17" width="13.7265625" style="1" bestFit="1" customWidth="1"/>
    <col min="18" max="18" width="12.81640625" style="1" bestFit="1" customWidth="1"/>
    <col min="19" max="19" width="6.54296875" style="1" bestFit="1" customWidth="1"/>
    <col min="20" max="20" width="12.81640625" style="1" bestFit="1" customWidth="1"/>
    <col min="21" max="21" width="6.54296875" style="1" bestFit="1" customWidth="1"/>
    <col min="22" max="22" width="12.81640625" style="1" bestFit="1" customWidth="1"/>
    <col min="23" max="23" width="6.54296875" style="1" bestFit="1" customWidth="1"/>
    <col min="24" max="31" width="9.1796875" style="1" customWidth="1"/>
    <col min="32" max="16384" width="9.1796875" style="1" hidden="1"/>
  </cols>
  <sheetData>
    <row r="1" spans="1:23" ht="15.75" customHeight="1" x14ac:dyDescent="0.7">
      <c r="B1" s="2"/>
      <c r="C1" s="2"/>
      <c r="E1" s="6"/>
      <c r="F1" s="719"/>
      <c r="G1" s="719"/>
      <c r="H1" s="719"/>
      <c r="I1" s="719"/>
      <c r="J1" s="719"/>
      <c r="K1" s="720"/>
      <c r="L1" s="720"/>
      <c r="M1" s="720"/>
      <c r="N1" s="720"/>
      <c r="O1" s="720"/>
    </row>
    <row r="2" spans="1:23" ht="15.75" customHeight="1" x14ac:dyDescent="0.35">
      <c r="B2" s="2"/>
      <c r="C2" s="2"/>
      <c r="D2" s="724"/>
      <c r="E2" s="724"/>
    </row>
    <row r="3" spans="1:23" ht="15.75" customHeight="1" x14ac:dyDescent="0.7">
      <c r="A3" s="6"/>
      <c r="B3" s="6"/>
      <c r="C3" s="6"/>
      <c r="D3" s="6"/>
      <c r="E3" s="6"/>
      <c r="F3" s="7"/>
      <c r="G3" s="7"/>
      <c r="H3" s="7"/>
      <c r="I3" s="7"/>
      <c r="J3" s="7"/>
      <c r="K3" s="7"/>
      <c r="L3" s="7"/>
      <c r="M3" s="7"/>
      <c r="N3" s="7"/>
      <c r="O3" s="7"/>
      <c r="P3" s="7"/>
      <c r="Q3" s="717" t="s">
        <v>15</v>
      </c>
      <c r="R3" s="718"/>
      <c r="S3" s="718"/>
    </row>
    <row r="4" spans="1:23" ht="35.25" customHeight="1" x14ac:dyDescent="0.7">
      <c r="A4" s="6"/>
      <c r="B4" s="6"/>
      <c r="C4" s="6"/>
      <c r="D4" s="6"/>
      <c r="E4" s="6"/>
      <c r="F4" s="7"/>
      <c r="G4" s="7"/>
      <c r="H4" s="7"/>
      <c r="I4" s="7"/>
      <c r="J4" s="7"/>
      <c r="K4" s="7"/>
      <c r="L4" s="7"/>
      <c r="M4" s="7"/>
      <c r="N4" s="7"/>
      <c r="O4" s="7"/>
      <c r="P4" s="7"/>
      <c r="Q4" s="722" t="s">
        <v>16</v>
      </c>
      <c r="R4" s="715" t="s">
        <v>17</v>
      </c>
      <c r="S4" s="715"/>
      <c r="T4" s="715"/>
      <c r="U4" s="715"/>
      <c r="V4" s="715"/>
      <c r="W4" s="716"/>
    </row>
    <row r="5" spans="1:23" ht="16.5" customHeight="1" x14ac:dyDescent="0.7">
      <c r="A5" s="6"/>
      <c r="B5" s="6"/>
      <c r="C5" s="6"/>
      <c r="D5" s="6"/>
      <c r="E5" s="6"/>
      <c r="F5" s="4"/>
      <c r="G5" s="4"/>
      <c r="H5" s="4"/>
      <c r="I5" s="4"/>
      <c r="J5" s="4"/>
      <c r="K5" s="4"/>
      <c r="L5" s="4"/>
      <c r="M5" s="4"/>
      <c r="N5" s="4"/>
      <c r="O5" s="4"/>
      <c r="P5" s="4"/>
      <c r="Q5" s="723"/>
      <c r="R5" s="627" t="s">
        <v>18</v>
      </c>
      <c r="S5" s="628" t="s">
        <v>19</v>
      </c>
      <c r="T5" s="629" t="s">
        <v>20</v>
      </c>
      <c r="U5" s="628" t="s">
        <v>19</v>
      </c>
      <c r="V5" s="628" t="s">
        <v>21</v>
      </c>
      <c r="W5" s="628" t="s">
        <v>19</v>
      </c>
    </row>
    <row r="6" spans="1:23" ht="16.5" customHeight="1" x14ac:dyDescent="0.7">
      <c r="B6" s="2"/>
      <c r="C6" s="2"/>
      <c r="D6" s="6"/>
      <c r="E6" s="6"/>
      <c r="F6" s="4"/>
      <c r="G6" s="4"/>
      <c r="H6" s="4"/>
      <c r="I6" s="4"/>
      <c r="J6" s="4"/>
      <c r="K6" s="4"/>
      <c r="L6" s="4"/>
      <c r="M6" s="4"/>
      <c r="N6" s="4"/>
      <c r="O6" s="4"/>
      <c r="P6" s="4"/>
      <c r="Q6" s="626" t="s">
        <v>22</v>
      </c>
      <c r="R6" s="21"/>
      <c r="S6" s="561">
        <f>R6*'G-3 Multipliers'!$Z$4</f>
        <v>0</v>
      </c>
      <c r="T6" s="21">
        <v>45</v>
      </c>
      <c r="U6" s="561">
        <f>T6*'G-3 Multipliers'!$Z$4</f>
        <v>0.18312479999999998</v>
      </c>
      <c r="V6" s="21"/>
      <c r="W6" s="561">
        <f>V6*'G-3 Multipliers'!$Z$4</f>
        <v>0</v>
      </c>
    </row>
    <row r="7" spans="1:23" ht="16.5" customHeight="1" x14ac:dyDescent="0.7">
      <c r="B7" s="2"/>
      <c r="C7" s="6"/>
      <c r="D7" s="6"/>
      <c r="E7" s="6"/>
      <c r="F7" s="4"/>
      <c r="G7" s="4"/>
      <c r="H7" s="4"/>
      <c r="I7" s="4"/>
      <c r="J7" s="4"/>
      <c r="K7" s="4"/>
      <c r="L7" s="4"/>
      <c r="M7" s="4"/>
      <c r="N7" s="4"/>
      <c r="O7" s="4"/>
      <c r="P7" s="4"/>
      <c r="Q7" s="626" t="s">
        <v>23</v>
      </c>
      <c r="R7" s="21"/>
      <c r="S7" s="561">
        <f>R7*'G-3 Multipliers'!$Z$5</f>
        <v>0</v>
      </c>
      <c r="T7" s="21"/>
      <c r="U7" s="561">
        <f>T7*'G-3 Multipliers'!$Z$5</f>
        <v>0</v>
      </c>
      <c r="V7" s="21"/>
      <c r="W7" s="561">
        <f>V7*'G-3 Multipliers'!$Z$5</f>
        <v>0</v>
      </c>
    </row>
    <row r="8" spans="1:23" ht="18" customHeight="1" x14ac:dyDescent="0.7">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x14ac:dyDescent="0.35">
      <c r="B9" s="2"/>
      <c r="C9" s="2"/>
      <c r="D9" s="3"/>
      <c r="E9" s="3"/>
      <c r="F9" s="4"/>
      <c r="G9" s="4"/>
      <c r="H9" s="4"/>
      <c r="I9" s="4"/>
      <c r="J9" s="4"/>
      <c r="K9" s="4"/>
      <c r="L9" s="4"/>
      <c r="M9" s="4"/>
      <c r="N9" s="4"/>
      <c r="O9" s="4"/>
      <c r="P9" s="4"/>
      <c r="Q9" s="626" t="s">
        <v>25</v>
      </c>
      <c r="R9" s="652">
        <f t="shared" ref="R9:W9" si="0">SUM(R6:R8)</f>
        <v>0</v>
      </c>
      <c r="S9" s="560">
        <f t="shared" si="0"/>
        <v>0</v>
      </c>
      <c r="T9" s="652">
        <f t="shared" si="0"/>
        <v>45</v>
      </c>
      <c r="U9" s="560">
        <f t="shared" si="0"/>
        <v>0.18312479999999998</v>
      </c>
      <c r="V9" s="652">
        <f t="shared" si="0"/>
        <v>0</v>
      </c>
      <c r="W9" s="560">
        <f t="shared" si="0"/>
        <v>0</v>
      </c>
    </row>
    <row r="10" spans="1:23" ht="30" customHeight="1" x14ac:dyDescent="0.5">
      <c r="B10" s="2"/>
      <c r="C10" s="2"/>
      <c r="D10" s="5"/>
      <c r="E10" s="5"/>
      <c r="F10" s="721"/>
      <c r="G10" s="721"/>
      <c r="H10" s="721"/>
      <c r="I10" s="721"/>
      <c r="J10" s="721"/>
      <c r="K10" s="721"/>
      <c r="L10" s="721"/>
      <c r="M10" s="721"/>
      <c r="N10" s="721"/>
      <c r="O10" s="721"/>
      <c r="P10" s="721"/>
    </row>
    <row r="11" spans="1:23" ht="16.5" customHeight="1" x14ac:dyDescent="0.35">
      <c r="B11" s="2"/>
      <c r="C11" s="2"/>
    </row>
    <row r="12" spans="1:23" ht="16.5" customHeight="1" x14ac:dyDescent="0.35">
      <c r="B12" s="2"/>
      <c r="C12" s="2"/>
    </row>
    <row r="13" spans="1:23" ht="16.5" customHeight="1" x14ac:dyDescent="0.35">
      <c r="B13" s="2"/>
      <c r="C13" s="2"/>
    </row>
    <row r="14" spans="1:23" ht="16.5" customHeight="1" x14ac:dyDescent="0.35">
      <c r="B14" s="2"/>
      <c r="C14" s="2"/>
    </row>
    <row r="15" spans="1:23" ht="16.5" customHeight="1" x14ac:dyDescent="0.35">
      <c r="B15" s="2"/>
      <c r="C15" s="2"/>
    </row>
    <row r="16" spans="1:23"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ht="14.5" x14ac:dyDescent="0.35"/>
    <row r="28" ht="14.5" x14ac:dyDescent="0.35"/>
    <row r="29" ht="14.5" x14ac:dyDescent="0.35"/>
    <row r="30" ht="14.5" x14ac:dyDescent="0.35"/>
    <row r="31" ht="14.5" x14ac:dyDescent="0.35"/>
    <row r="32" ht="14.5" x14ac:dyDescent="0.35"/>
    <row r="33" ht="14.5" x14ac:dyDescent="0.35"/>
    <row r="34" ht="14.5" x14ac:dyDescent="0.35"/>
    <row r="35" ht="14.5" x14ac:dyDescent="0.35"/>
    <row r="36" ht="14.5" x14ac:dyDescent="0.35"/>
    <row r="37" ht="14.5" x14ac:dyDescent="0.35"/>
    <row r="38" ht="14.5" x14ac:dyDescent="0.35"/>
    <row r="39" ht="89.5" customHeight="1"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ht="14.5" x14ac:dyDescent="0.35"/>
    <row r="50" ht="14.5" x14ac:dyDescent="0.35"/>
    <row r="51" ht="14.5" x14ac:dyDescent="0.35"/>
    <row r="52" ht="18.649999999999999" customHeight="1" x14ac:dyDescent="0.35"/>
    <row r="53" ht="14.5" hidden="1" x14ac:dyDescent="0.35"/>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D2:E2"/>
    <mergeCell ref="R4:W4"/>
    <mergeCell ref="Q3:S3"/>
    <mergeCell ref="F1:J1"/>
    <mergeCell ref="K1:O1"/>
    <mergeCell ref="F10:P10"/>
    <mergeCell ref="Q4:Q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defaultColWidth="0" defaultRowHeight="0" customHeight="1" zeroHeight="1" x14ac:dyDescent="0.3"/>
  <cols>
    <col min="1" max="3" width="2.1796875" style="253" customWidth="1"/>
    <col min="4" max="4" width="18.7265625" style="253" customWidth="1"/>
    <col min="5" max="8" width="9.1796875" style="253" customWidth="1"/>
    <col min="9" max="9" width="7" style="253" customWidth="1"/>
    <col min="10" max="12" width="9.1796875" style="253" customWidth="1"/>
    <col min="13" max="13" width="12.1796875" style="253" customWidth="1"/>
    <col min="14" max="14" width="5.7265625" style="253" customWidth="1"/>
    <col min="15" max="15" width="9.1796875" style="253" customWidth="1"/>
    <col min="16" max="16" width="34.54296875" style="253" customWidth="1"/>
    <col min="17" max="17" width="13.7265625" style="253" bestFit="1" customWidth="1"/>
    <col min="18" max="18" width="19.26953125" style="253" customWidth="1"/>
    <col min="19" max="31" width="9.1796875" style="253" customWidth="1"/>
    <col min="32" max="16384" width="9.1796875" style="253" hidden="1"/>
  </cols>
  <sheetData>
    <row r="1" spans="1:18" ht="15.75" customHeight="1" x14ac:dyDescent="0.6">
      <c r="B1" s="254"/>
      <c r="C1" s="254"/>
      <c r="E1" s="255"/>
      <c r="F1" s="725"/>
      <c r="G1" s="725"/>
      <c r="H1" s="725"/>
      <c r="I1" s="725"/>
      <c r="J1" s="725"/>
      <c r="K1" s="726"/>
      <c r="L1" s="726"/>
      <c r="M1" s="726"/>
      <c r="N1" s="726"/>
      <c r="O1" s="726"/>
    </row>
    <row r="2" spans="1:18" ht="15.75" customHeight="1" x14ac:dyDescent="0.6">
      <c r="B2" s="254"/>
      <c r="C2" s="254"/>
      <c r="E2" s="255"/>
    </row>
    <row r="3" spans="1:18" ht="15.75" customHeight="1" x14ac:dyDescent="0.6">
      <c r="A3" s="255"/>
      <c r="B3" s="255"/>
      <c r="C3" s="255"/>
      <c r="D3" s="255"/>
      <c r="E3" s="255"/>
      <c r="F3" s="256"/>
      <c r="G3" s="256"/>
      <c r="H3" s="256"/>
      <c r="I3" s="256"/>
      <c r="J3" s="256"/>
      <c r="K3" s="256"/>
      <c r="L3" s="256"/>
      <c r="M3" s="256"/>
      <c r="N3" s="256"/>
      <c r="O3" s="256"/>
      <c r="P3" s="256"/>
    </row>
    <row r="4" spans="1:18" ht="16.5" customHeight="1" x14ac:dyDescent="0.6">
      <c r="A4" s="255"/>
      <c r="B4" s="255"/>
      <c r="C4" s="255"/>
      <c r="D4" s="255"/>
      <c r="E4" s="255"/>
      <c r="F4" s="256"/>
      <c r="G4" s="256"/>
      <c r="H4" s="256"/>
      <c r="I4" s="256"/>
      <c r="J4" s="256"/>
      <c r="K4" s="256"/>
      <c r="L4" s="256"/>
      <c r="M4" s="256"/>
      <c r="N4" s="256"/>
      <c r="O4" s="256"/>
      <c r="P4" s="256"/>
    </row>
    <row r="5" spans="1:18" ht="16.5" customHeight="1" x14ac:dyDescent="0.6">
      <c r="A5" s="255"/>
      <c r="B5" s="255"/>
      <c r="C5" s="255"/>
      <c r="D5" s="255"/>
      <c r="E5" s="255"/>
      <c r="F5" s="257"/>
      <c r="G5" s="257"/>
      <c r="H5" s="257"/>
      <c r="I5" s="257"/>
      <c r="J5" s="257"/>
      <c r="K5" s="257"/>
      <c r="L5" s="257"/>
      <c r="M5" s="257"/>
      <c r="N5" s="257"/>
      <c r="O5" s="257"/>
      <c r="P5" s="257"/>
      <c r="Q5" s="257"/>
      <c r="R5" s="257"/>
    </row>
    <row r="6" spans="1:18" ht="16.5" customHeight="1" x14ac:dyDescent="0.6">
      <c r="B6" s="254"/>
      <c r="C6" s="254"/>
      <c r="D6" s="255"/>
      <c r="E6" s="255"/>
      <c r="F6" s="257"/>
      <c r="G6" s="257"/>
      <c r="H6" s="257"/>
      <c r="I6" s="257"/>
      <c r="J6" s="257"/>
      <c r="K6" s="257"/>
      <c r="L6" s="257"/>
      <c r="M6" s="257"/>
      <c r="N6" s="257"/>
      <c r="O6" s="257"/>
      <c r="P6" s="257"/>
      <c r="Q6" s="257"/>
      <c r="R6" s="257"/>
    </row>
    <row r="7" spans="1:18" ht="16.5" customHeight="1" x14ac:dyDescent="0.6">
      <c r="B7" s="254"/>
      <c r="C7" s="255"/>
      <c r="D7" s="255"/>
      <c r="E7" s="255"/>
      <c r="F7" s="257"/>
      <c r="G7" s="257"/>
      <c r="H7" s="257"/>
      <c r="I7" s="257"/>
      <c r="J7" s="257"/>
      <c r="K7" s="257"/>
      <c r="L7" s="257"/>
      <c r="M7" s="257"/>
      <c r="N7" s="257"/>
      <c r="O7" s="257"/>
      <c r="P7" s="257"/>
      <c r="Q7" s="257"/>
      <c r="R7" s="257"/>
    </row>
    <row r="8" spans="1:18" ht="16.5" customHeight="1" x14ac:dyDescent="0.6">
      <c r="B8" s="254"/>
      <c r="C8" s="254"/>
      <c r="D8" s="255"/>
      <c r="E8" s="255"/>
      <c r="F8" s="257"/>
      <c r="G8" s="257"/>
      <c r="H8" s="257"/>
      <c r="I8" s="257"/>
      <c r="J8" s="257"/>
      <c r="K8" s="257"/>
      <c r="L8" s="257"/>
      <c r="M8" s="257"/>
      <c r="N8" s="257"/>
      <c r="O8" s="257"/>
      <c r="P8" s="257"/>
      <c r="Q8" s="257"/>
      <c r="R8" s="257"/>
    </row>
    <row r="9" spans="1:18" ht="16.5" customHeight="1" x14ac:dyDescent="0.3">
      <c r="B9" s="254"/>
      <c r="C9" s="254"/>
      <c r="D9" s="258"/>
      <c r="E9" s="258"/>
      <c r="F9" s="257"/>
      <c r="G9" s="257"/>
      <c r="H9" s="257"/>
      <c r="I9" s="257"/>
      <c r="J9" s="257"/>
      <c r="K9" s="257"/>
      <c r="L9" s="257"/>
      <c r="M9" s="257"/>
      <c r="N9" s="257"/>
      <c r="O9" s="257"/>
      <c r="P9" s="257"/>
      <c r="Q9" s="257"/>
      <c r="R9" s="257"/>
    </row>
    <row r="10" spans="1:18" ht="30" customHeight="1" x14ac:dyDescent="0.4">
      <c r="B10" s="254"/>
      <c r="C10" s="254"/>
      <c r="D10" s="727"/>
      <c r="E10" s="727"/>
      <c r="F10" s="727"/>
      <c r="G10" s="727"/>
      <c r="H10" s="727"/>
      <c r="I10" s="727"/>
      <c r="J10" s="727"/>
      <c r="K10" s="727"/>
      <c r="L10" s="727"/>
      <c r="M10" s="727"/>
    </row>
    <row r="11" spans="1:18" ht="16.5" customHeight="1" x14ac:dyDescent="0.3">
      <c r="B11" s="254"/>
      <c r="C11" s="254"/>
    </row>
    <row r="12" spans="1:18" ht="16.5" customHeight="1" x14ac:dyDescent="0.3">
      <c r="B12" s="254"/>
      <c r="C12" s="254"/>
    </row>
    <row r="13" spans="1:18" ht="16.5" customHeight="1" x14ac:dyDescent="0.3">
      <c r="B13" s="254"/>
      <c r="C13" s="254"/>
    </row>
    <row r="14" spans="1:18" ht="16.5" customHeight="1" x14ac:dyDescent="0.3">
      <c r="B14" s="254"/>
      <c r="C14" s="254"/>
    </row>
    <row r="15" spans="1:18" ht="16.5" customHeight="1" x14ac:dyDescent="0.3">
      <c r="B15" s="254"/>
      <c r="C15" s="254"/>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 x14ac:dyDescent="0.3"/>
    <row r="28" ht="14" x14ac:dyDescent="0.3"/>
    <row r="29" ht="14" x14ac:dyDescent="0.3"/>
    <row r="30" ht="14" x14ac:dyDescent="0.3"/>
    <row r="31" ht="14" x14ac:dyDescent="0.3"/>
    <row r="32" ht="14" x14ac:dyDescent="0.3"/>
    <row r="33" ht="14" x14ac:dyDescent="0.3"/>
    <row r="34" ht="14" x14ac:dyDescent="0.3"/>
    <row r="35" ht="14" x14ac:dyDescent="0.3"/>
    <row r="36" ht="14" x14ac:dyDescent="0.3"/>
    <row r="37" ht="14" x14ac:dyDescent="0.3"/>
    <row r="38" ht="14" x14ac:dyDescent="0.3"/>
    <row r="39" ht="14" x14ac:dyDescent="0.3"/>
    <row r="40" ht="14" x14ac:dyDescent="0.3"/>
    <row r="41" ht="14" x14ac:dyDescent="0.3"/>
    <row r="42" ht="14" x14ac:dyDescent="0.3"/>
    <row r="43" ht="14" x14ac:dyDescent="0.3"/>
    <row r="44" ht="14" x14ac:dyDescent="0.3"/>
    <row r="45" ht="14" x14ac:dyDescent="0.3"/>
    <row r="46" ht="14" x14ac:dyDescent="0.3"/>
    <row r="47" ht="14" x14ac:dyDescent="0.3"/>
    <row r="48" ht="14" x14ac:dyDescent="0.3"/>
    <row r="49" ht="14" x14ac:dyDescent="0.3"/>
    <row r="50" ht="14" x14ac:dyDescent="0.3"/>
    <row r="51" ht="14" x14ac:dyDescent="0.3"/>
    <row r="52" ht="14" x14ac:dyDescent="0.3"/>
    <row r="53" ht="14" hidden="1" x14ac:dyDescent="0.3"/>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abSelected="1" topLeftCell="A14" zoomScale="85" zoomScaleNormal="85" workbookViewId="0"/>
  </sheetViews>
  <sheetFormatPr defaultColWidth="0" defaultRowHeight="14" zeroHeight="1" x14ac:dyDescent="0.3"/>
  <cols>
    <col min="1" max="1" width="4.26953125" style="22" customWidth="1"/>
    <col min="2" max="2" width="31.453125" style="22" customWidth="1"/>
    <col min="3" max="3" width="13.81640625" style="22" customWidth="1"/>
    <col min="4" max="4" width="13.453125" style="22" customWidth="1"/>
    <col min="5" max="5" width="36.54296875" style="22" customWidth="1"/>
    <col min="6" max="7" width="11.7265625" style="22" customWidth="1"/>
    <col min="8" max="8" width="13.26953125" style="22" customWidth="1"/>
    <col min="9" max="9" width="11.7265625" style="22" customWidth="1"/>
    <col min="10" max="10" width="12.54296875" style="22" customWidth="1"/>
    <col min="11" max="11" width="33.1796875" style="22" bestFit="1" customWidth="1"/>
    <col min="12" max="14" width="15" style="22" customWidth="1"/>
    <col min="15" max="15" width="8.81640625" style="22" customWidth="1"/>
    <col min="16" max="16" width="14.54296875" style="22" bestFit="1" customWidth="1"/>
    <col min="17" max="17" width="14" style="22" customWidth="1"/>
    <col min="18" max="18" width="12.26953125" style="22" customWidth="1"/>
    <col min="19" max="19" width="13.453125" style="22" hidden="1" customWidth="1"/>
    <col min="20" max="20" width="10.54296875" style="22" hidden="1" customWidth="1"/>
    <col min="21" max="30" width="8.81640625" style="22" hidden="1" customWidth="1"/>
    <col min="31" max="31" width="12.1796875" style="22" hidden="1" customWidth="1"/>
    <col min="32" max="51" width="0" style="22" hidden="1" customWidth="1"/>
    <col min="52" max="16384" width="8.81640625" style="22" hidden="1"/>
  </cols>
  <sheetData>
    <row r="1" spans="2:22" ht="15.75" customHeight="1" thickBot="1" x14ac:dyDescent="0.35"/>
    <row r="2" spans="2:22" ht="19.149999999999999" customHeight="1" thickBot="1" x14ac:dyDescent="0.35">
      <c r="B2" s="743" t="str">
        <f>IF(Start!$F$12="","",Start!$F$12)</f>
        <v/>
      </c>
      <c r="C2" s="744"/>
      <c r="D2" s="745"/>
    </row>
    <row r="3" spans="2:22" ht="15.75" customHeight="1" x14ac:dyDescent="0.3">
      <c r="B3" s="728" t="str">
        <f ca="1">MID(CELL("filename",A1),FIND("]",CELL("filename",A1))+1,256)</f>
        <v>Headline Results</v>
      </c>
      <c r="C3" s="729"/>
      <c r="D3" s="730"/>
    </row>
    <row r="4" spans="2:22" ht="15.75" customHeight="1" thickBot="1" x14ac:dyDescent="0.35">
      <c r="B4" s="731"/>
      <c r="C4" s="732"/>
      <c r="D4" s="733"/>
    </row>
    <row r="5" spans="2:22" ht="10" customHeight="1" x14ac:dyDescent="0.3"/>
    <row r="6" spans="2:22" ht="10" customHeight="1" x14ac:dyDescent="0.6">
      <c r="B6" s="734"/>
      <c r="C6" s="734"/>
      <c r="K6" s="23"/>
      <c r="L6" s="23"/>
      <c r="M6" s="23"/>
      <c r="N6" s="23"/>
    </row>
    <row r="7" spans="2:22" ht="10" customHeight="1" thickBot="1" x14ac:dyDescent="0.65">
      <c r="B7" s="24"/>
      <c r="C7" s="24"/>
      <c r="K7" s="23"/>
      <c r="L7" s="23"/>
      <c r="M7" s="23"/>
      <c r="N7" s="23"/>
      <c r="O7" s="25"/>
      <c r="Q7" s="25"/>
      <c r="R7" s="25"/>
    </row>
    <row r="8" spans="2:22" ht="22" customHeight="1" x14ac:dyDescent="0.6">
      <c r="B8" s="735" t="s">
        <v>26</v>
      </c>
      <c r="C8" s="736"/>
      <c r="D8" s="736"/>
      <c r="E8" s="736"/>
      <c r="F8" s="741" t="s">
        <v>27</v>
      </c>
      <c r="G8" s="742"/>
      <c r="H8" s="746">
        <f>IFERROR('A-1 Site Habitat Baseline'!Q259,"Check Data ⚠")</f>
        <v>1.6199999999999999E-2</v>
      </c>
      <c r="I8" s="747"/>
      <c r="J8" s="26"/>
      <c r="K8" s="23"/>
      <c r="L8" s="23"/>
      <c r="M8" s="23"/>
      <c r="N8" s="23"/>
      <c r="O8" s="25"/>
      <c r="P8" s="25"/>
      <c r="Q8" s="25"/>
      <c r="R8" s="25"/>
      <c r="S8" s="25"/>
    </row>
    <row r="9" spans="2:22" ht="22" customHeight="1" x14ac:dyDescent="0.6">
      <c r="B9" s="737"/>
      <c r="C9" s="738"/>
      <c r="D9" s="738"/>
      <c r="E9" s="738"/>
      <c r="F9" s="748" t="s">
        <v>28</v>
      </c>
      <c r="G9" s="749"/>
      <c r="H9" s="750">
        <f>IFERROR('B-1 Site Hedge Baseline'!N258,"Check Data ⚠")</f>
        <v>0</v>
      </c>
      <c r="I9" s="751"/>
      <c r="K9" s="23"/>
      <c r="L9" s="23"/>
      <c r="M9" s="23"/>
      <c r="N9" s="23"/>
    </row>
    <row r="10" spans="2:22" ht="22" customHeight="1" thickBot="1" x14ac:dyDescent="0.65">
      <c r="B10" s="739"/>
      <c r="C10" s="740"/>
      <c r="D10" s="740"/>
      <c r="E10" s="740"/>
      <c r="F10" s="752" t="s">
        <v>29</v>
      </c>
      <c r="G10" s="753"/>
      <c r="H10" s="754">
        <f>'C-1 Site River Baseline'!R258</f>
        <v>0</v>
      </c>
      <c r="I10" s="755"/>
      <c r="K10" s="23"/>
      <c r="L10" s="23"/>
      <c r="M10" s="23"/>
      <c r="N10" s="23"/>
    </row>
    <row r="11" spans="2:22" ht="4.5" customHeight="1" thickBot="1" x14ac:dyDescent="0.65">
      <c r="H11" s="311"/>
      <c r="I11" s="311"/>
      <c r="K11" s="23"/>
      <c r="L11" s="23"/>
      <c r="M11" s="23"/>
      <c r="N11" s="23"/>
    </row>
    <row r="12" spans="2:22" ht="22" customHeight="1" x14ac:dyDescent="0.6">
      <c r="B12" s="735" t="s">
        <v>30</v>
      </c>
      <c r="C12" s="736"/>
      <c r="D12" s="736"/>
      <c r="E12" s="758"/>
      <c r="F12" s="741" t="s">
        <v>27</v>
      </c>
      <c r="G12" s="742"/>
      <c r="H12" s="761">
        <f>IFERROR('A-2 Site Habitat Creation'!Y257+'A-3 Site Habitat Enhancement'!AN258+'A-1 Site Habitat Baseline'!U259,"Check Data ⚠")</f>
        <v>0.67600177752251378</v>
      </c>
      <c r="I12" s="762"/>
      <c r="K12" s="23"/>
      <c r="L12" s="23"/>
      <c r="M12" s="23"/>
      <c r="N12" s="23"/>
      <c r="U12" s="734"/>
      <c r="V12" s="734"/>
    </row>
    <row r="13" spans="2:22" ht="22" customHeight="1" x14ac:dyDescent="0.6">
      <c r="B13" s="737"/>
      <c r="C13" s="738"/>
      <c r="D13" s="738"/>
      <c r="E13" s="759"/>
      <c r="F13" s="748" t="s">
        <v>28</v>
      </c>
      <c r="G13" s="749"/>
      <c r="H13" s="763">
        <f>IFERROR('B-2 Site Hedge Creation'!W260+'B-3 Site Hedge Enhancement'!AH258+'B-1 Site Hedge Baseline'!R258,"Check Data⚠")</f>
        <v>4.4931606250000006E-2</v>
      </c>
      <c r="I13" s="764"/>
      <c r="K13" s="23"/>
      <c r="L13" s="23"/>
      <c r="M13" s="23"/>
      <c r="N13" s="23"/>
      <c r="U13" s="734"/>
      <c r="V13" s="734"/>
    </row>
    <row r="14" spans="2:22" ht="22" customHeight="1" thickBot="1" x14ac:dyDescent="0.65">
      <c r="B14" s="739"/>
      <c r="C14" s="740"/>
      <c r="D14" s="740"/>
      <c r="E14" s="760"/>
      <c r="F14" s="752" t="s">
        <v>29</v>
      </c>
      <c r="G14" s="753"/>
      <c r="H14" s="754">
        <f>IFERROR('C-2 Site River Creation'!Z260 + 'C-3 Site River Enhancement'!AM258+'C-1 Site River Baseline'!V258,"Check Data ⚠")</f>
        <v>0</v>
      </c>
      <c r="I14" s="755"/>
      <c r="K14" s="23"/>
      <c r="L14" s="23"/>
      <c r="M14" s="23"/>
      <c r="N14" s="23"/>
    </row>
    <row r="15" spans="2:22" ht="4.5" customHeight="1" thickBot="1" x14ac:dyDescent="0.65">
      <c r="B15" s="453"/>
      <c r="C15" s="453"/>
      <c r="D15" s="453"/>
      <c r="E15" s="453"/>
      <c r="F15" s="454"/>
      <c r="G15" s="454"/>
      <c r="H15" s="455"/>
      <c r="I15" s="455"/>
      <c r="K15" s="23"/>
      <c r="L15" s="23"/>
      <c r="M15" s="23"/>
      <c r="N15" s="23"/>
    </row>
    <row r="16" spans="2:22" ht="22" customHeight="1" x14ac:dyDescent="0.6">
      <c r="B16" s="735" t="s">
        <v>31</v>
      </c>
      <c r="C16" s="736"/>
      <c r="D16" s="736"/>
      <c r="E16" s="758"/>
      <c r="F16" s="741" t="s">
        <v>27</v>
      </c>
      <c r="G16" s="742"/>
      <c r="H16" s="781">
        <f>IF(H8=0,0,IF(AND(H8=0,H12&gt;0),1,IFERROR((H12/H8)-1,"Check Data ⚠")))</f>
        <v>40.728504785340363</v>
      </c>
      <c r="I16" s="782"/>
      <c r="J16" s="456"/>
      <c r="K16" s="23"/>
      <c r="L16" s="23"/>
      <c r="M16" s="23"/>
      <c r="N16" s="23"/>
    </row>
    <row r="17" spans="2:14" ht="22" customHeight="1" x14ac:dyDescent="0.6">
      <c r="B17" s="737"/>
      <c r="C17" s="738"/>
      <c r="D17" s="738"/>
      <c r="E17" s="759"/>
      <c r="F17" s="748" t="s">
        <v>28</v>
      </c>
      <c r="G17" s="749"/>
      <c r="H17" s="783">
        <f>IF(H9=0,0,IF(AND(H9=0,H13&gt;0),1,IFERROR((H13/H9)-1,"Check Data ⚠")))</f>
        <v>0</v>
      </c>
      <c r="I17" s="784"/>
      <c r="K17" s="23"/>
      <c r="L17" s="23"/>
      <c r="M17" s="23"/>
      <c r="N17" s="23"/>
    </row>
    <row r="18" spans="2:14" ht="22" customHeight="1" thickBot="1" x14ac:dyDescent="0.65">
      <c r="B18" s="739"/>
      <c r="C18" s="740"/>
      <c r="D18" s="740"/>
      <c r="E18" s="760"/>
      <c r="F18" s="752" t="s">
        <v>29</v>
      </c>
      <c r="G18" s="785"/>
      <c r="H18" s="786">
        <f>IF(H10=0,0,IF(AND(H10=0,H14&gt;0),1,IFERROR((H14/H10)-1,"Check Data ⚠")))</f>
        <v>0</v>
      </c>
      <c r="I18" s="787"/>
      <c r="K18" s="23"/>
      <c r="L18" s="23"/>
      <c r="M18" s="23"/>
      <c r="N18" s="23"/>
    </row>
    <row r="19" spans="2:14" ht="25" customHeight="1" thickBot="1" x14ac:dyDescent="0.65">
      <c r="H19" s="311"/>
      <c r="I19" s="311"/>
      <c r="K19" s="23"/>
      <c r="L19" s="23"/>
      <c r="M19" s="23"/>
      <c r="N19" s="23"/>
    </row>
    <row r="20" spans="2:14" ht="22" customHeight="1" x14ac:dyDescent="0.6">
      <c r="B20" s="735" t="s">
        <v>32</v>
      </c>
      <c r="C20" s="736"/>
      <c r="D20" s="736"/>
      <c r="E20" s="736"/>
      <c r="F20" s="741" t="s">
        <v>27</v>
      </c>
      <c r="G20" s="742"/>
      <c r="H20" s="765">
        <f>IFERROR('D-1 Off Site Habitat Baseline'!Q259,"Check Data ⚠")</f>
        <v>0</v>
      </c>
      <c r="I20" s="766"/>
      <c r="K20" s="23"/>
      <c r="L20" s="23"/>
      <c r="M20" s="23"/>
      <c r="N20" s="23"/>
    </row>
    <row r="21" spans="2:14" ht="22" customHeight="1" x14ac:dyDescent="0.6">
      <c r="B21" s="737"/>
      <c r="C21" s="738"/>
      <c r="D21" s="738"/>
      <c r="E21" s="738"/>
      <c r="F21" s="748" t="s">
        <v>28</v>
      </c>
      <c r="G21" s="749"/>
      <c r="H21" s="767">
        <f>IFERROR('E-1 Off Site Hedge Baseline'!N258,"Check Data ⚠")</f>
        <v>0</v>
      </c>
      <c r="I21" s="768"/>
      <c r="K21" s="23"/>
      <c r="L21" s="23"/>
      <c r="M21" s="23"/>
      <c r="N21" s="23"/>
    </row>
    <row r="22" spans="2:14" ht="22" customHeight="1" thickBot="1" x14ac:dyDescent="0.65">
      <c r="B22" s="739"/>
      <c r="C22" s="740"/>
      <c r="D22" s="740"/>
      <c r="E22" s="740"/>
      <c r="F22" s="752" t="s">
        <v>29</v>
      </c>
      <c r="G22" s="753"/>
      <c r="H22" s="756">
        <f>IFERROR('F-1 Off Site River Baseline'!R258,"Check Data ⚠")</f>
        <v>0</v>
      </c>
      <c r="I22" s="757"/>
      <c r="K22" s="23"/>
      <c r="L22" s="23"/>
      <c r="M22" s="23"/>
      <c r="N22" s="23"/>
    </row>
    <row r="23" spans="2:14" ht="4.5" customHeight="1" thickBot="1" x14ac:dyDescent="0.65">
      <c r="H23" s="311"/>
      <c r="I23" s="311"/>
      <c r="K23" s="23"/>
      <c r="L23" s="23"/>
      <c r="M23" s="23"/>
      <c r="N23" s="23"/>
    </row>
    <row r="24" spans="2:14" ht="22" customHeight="1" x14ac:dyDescent="0.6">
      <c r="B24" s="735" t="s">
        <v>33</v>
      </c>
      <c r="C24" s="736"/>
      <c r="D24" s="736"/>
      <c r="E24" s="758"/>
      <c r="F24" s="741" t="s">
        <v>27</v>
      </c>
      <c r="G24" s="742"/>
      <c r="H24" s="761">
        <f>IFERROR('D-1 Off Site Habitat Baseline'!$U$259+'D-2 Off Site Habitat Creation'!AA257+'D-3 Off Site Habitat Enhancment'!AP259,"Check Data ⚠")</f>
        <v>0</v>
      </c>
      <c r="I24" s="762"/>
      <c r="K24" s="23"/>
      <c r="L24" s="23"/>
      <c r="M24" s="23"/>
      <c r="N24" s="23"/>
    </row>
    <row r="25" spans="2:14" ht="22" customHeight="1" x14ac:dyDescent="0.6">
      <c r="B25" s="737"/>
      <c r="C25" s="738"/>
      <c r="D25" s="738"/>
      <c r="E25" s="759"/>
      <c r="F25" s="748" t="s">
        <v>28</v>
      </c>
      <c r="G25" s="749"/>
      <c r="H25" s="769">
        <f>IFERROR('E-1 Off Site Hedge Baseline'!R258+'E-2 Off Site Hedge Creation'!Y260+'E-3 Off Site Hedge Enhancement'!AJ258,"Check Data ⚠")</f>
        <v>0</v>
      </c>
      <c r="I25" s="764"/>
      <c r="K25" s="23"/>
      <c r="L25" s="23"/>
      <c r="M25" s="23"/>
      <c r="N25" s="23"/>
    </row>
    <row r="26" spans="2:14" ht="22" customHeight="1" thickBot="1" x14ac:dyDescent="0.65">
      <c r="B26" s="739"/>
      <c r="C26" s="740"/>
      <c r="D26" s="740"/>
      <c r="E26" s="760"/>
      <c r="F26" s="752" t="s">
        <v>29</v>
      </c>
      <c r="G26" s="753"/>
      <c r="H26" s="754">
        <f>IFERROR('F-1 Off Site River Baseline'!V258+'F-2 Off Site River Creation'!AB260+'F-3 Off Site River Enhancement'!AO258,"Check Data ⚠")</f>
        <v>0</v>
      </c>
      <c r="I26" s="755"/>
      <c r="K26" s="23"/>
      <c r="L26" s="23"/>
      <c r="M26" s="23"/>
      <c r="N26" s="23"/>
    </row>
    <row r="27" spans="2:14" ht="25" customHeight="1" thickBot="1" x14ac:dyDescent="0.65">
      <c r="H27" s="311"/>
      <c r="I27" s="311"/>
      <c r="K27" s="23"/>
      <c r="L27" s="23"/>
      <c r="M27" s="23"/>
      <c r="N27" s="23"/>
    </row>
    <row r="28" spans="2:14" ht="22" customHeight="1" x14ac:dyDescent="0.6">
      <c r="B28" s="735" t="s">
        <v>34</v>
      </c>
      <c r="C28" s="736"/>
      <c r="D28" s="736"/>
      <c r="E28" s="758"/>
      <c r="F28" s="741" t="s">
        <v>27</v>
      </c>
      <c r="G28" s="742"/>
      <c r="H28" s="761">
        <f>IFERROR((H12-H8)+((H24-H20)),"Check Data ⚠")</f>
        <v>0.65980177752251379</v>
      </c>
      <c r="I28" s="762"/>
      <c r="J28" s="776"/>
      <c r="K28" s="777"/>
      <c r="L28" s="23"/>
      <c r="M28" s="23"/>
      <c r="N28" s="23"/>
    </row>
    <row r="29" spans="2:14" ht="22" customHeight="1" x14ac:dyDescent="0.6">
      <c r="B29" s="737"/>
      <c r="C29" s="738"/>
      <c r="D29" s="738"/>
      <c r="E29" s="759"/>
      <c r="F29" s="748" t="s">
        <v>28</v>
      </c>
      <c r="G29" s="749"/>
      <c r="H29" s="769">
        <f>IFERROR((H13-H9)+((H25-H21)),"Check Data ⚠")</f>
        <v>4.4931606250000006E-2</v>
      </c>
      <c r="I29" s="764"/>
      <c r="J29" s="776"/>
      <c r="K29" s="777"/>
      <c r="L29" s="23"/>
      <c r="M29" s="23"/>
      <c r="N29" s="23"/>
    </row>
    <row r="30" spans="2:14" ht="22" customHeight="1" thickBot="1" x14ac:dyDescent="0.65">
      <c r="B30" s="739"/>
      <c r="C30" s="740"/>
      <c r="D30" s="740"/>
      <c r="E30" s="760"/>
      <c r="F30" s="752" t="s">
        <v>29</v>
      </c>
      <c r="G30" s="753"/>
      <c r="H30" s="754">
        <f>IFERROR((H14-H10)+((H26-H22)),"Check Data ⚠")</f>
        <v>0</v>
      </c>
      <c r="I30" s="755"/>
      <c r="J30" s="776"/>
      <c r="K30" s="777"/>
      <c r="L30" s="23"/>
      <c r="M30" s="23"/>
      <c r="N30" s="23"/>
    </row>
    <row r="31" spans="2:14" ht="4.5" customHeight="1" thickBot="1" x14ac:dyDescent="0.65">
      <c r="H31" s="312"/>
      <c r="I31" s="312"/>
      <c r="K31" s="23"/>
      <c r="L31" s="23"/>
      <c r="M31" s="23"/>
      <c r="N31" s="23"/>
    </row>
    <row r="32" spans="2:14" ht="22" customHeight="1" x14ac:dyDescent="0.6">
      <c r="B32" s="735" t="s">
        <v>35</v>
      </c>
      <c r="C32" s="736"/>
      <c r="D32" s="736"/>
      <c r="E32" s="758"/>
      <c r="F32" s="741" t="s">
        <v>27</v>
      </c>
      <c r="G32" s="742"/>
      <c r="H32" s="781">
        <f>IF(H28=0,0,IF(AND(H8=0,H20=0,H28&gt;0),1,IFERROR((H28/H8),"Check Data ⚠")))</f>
        <v>40.728504785340363</v>
      </c>
      <c r="I32" s="782"/>
      <c r="J32" s="776"/>
      <c r="K32" s="777"/>
      <c r="L32" s="23"/>
      <c r="M32" s="23"/>
      <c r="N32" s="23"/>
    </row>
    <row r="33" spans="1:33" ht="22" customHeight="1" x14ac:dyDescent="0.6">
      <c r="A33" s="27"/>
      <c r="B33" s="737"/>
      <c r="C33" s="738"/>
      <c r="D33" s="738"/>
      <c r="E33" s="759"/>
      <c r="F33" s="748" t="s">
        <v>28</v>
      </c>
      <c r="G33" s="749"/>
      <c r="H33" s="783">
        <f>IF(H29=0,0,IF(AND(H9=0,H21=0,H29&gt;0),1,IFERROR((H29/H9),"Check Data ⚠")))</f>
        <v>1</v>
      </c>
      <c r="I33" s="784"/>
      <c r="J33" s="776"/>
      <c r="K33" s="777"/>
      <c r="L33" s="23"/>
      <c r="M33" s="23"/>
      <c r="N33" s="23"/>
    </row>
    <row r="34" spans="1:33" ht="22" customHeight="1" thickBot="1" x14ac:dyDescent="0.65">
      <c r="A34" s="27"/>
      <c r="B34" s="739"/>
      <c r="C34" s="740"/>
      <c r="D34" s="740"/>
      <c r="E34" s="760"/>
      <c r="F34" s="752" t="s">
        <v>29</v>
      </c>
      <c r="G34" s="785"/>
      <c r="H34" s="786">
        <f>IF(H30=0,0,IF(AND(H10=0,H22=0,H30&gt;0),1,IFERROR((H30/H10),"Check Data ⚠")))</f>
        <v>0</v>
      </c>
      <c r="I34" s="787"/>
      <c r="J34" s="778"/>
      <c r="K34" s="779"/>
      <c r="L34" s="23"/>
      <c r="M34" s="23"/>
      <c r="N34" s="23"/>
    </row>
    <row r="35" spans="1:33" ht="25" customHeight="1" thickBot="1" x14ac:dyDescent="0.65">
      <c r="B35" s="780"/>
      <c r="C35" s="780"/>
      <c r="D35" s="780"/>
      <c r="F35" s="28"/>
      <c r="G35" s="28"/>
      <c r="H35" s="28"/>
      <c r="I35" s="28"/>
      <c r="J35" s="28"/>
      <c r="K35" s="28"/>
      <c r="L35" s="28"/>
      <c r="M35" s="28"/>
    </row>
    <row r="36" spans="1:33" s="29" customFormat="1" ht="38.25" customHeight="1" thickBot="1" x14ac:dyDescent="0.35">
      <c r="B36" s="770" t="s">
        <v>36</v>
      </c>
      <c r="C36" s="771"/>
      <c r="D36" s="771"/>
      <c r="E36" s="772"/>
      <c r="F36" s="773" t="str">
        <f>IF(OR('Trading Summary'!G5="No ▲",'Trading Summary'!G6="No ▲",'Trading Summary'!G7="No ▲",'Trading Summary'!G8="No ▲"),"No - Check Trading Summary ▲","Yes ✓")</f>
        <v>Yes ✓</v>
      </c>
      <c r="G36" s="774"/>
      <c r="H36" s="774"/>
      <c r="I36" s="775"/>
      <c r="J36" s="30"/>
      <c r="K36" s="30"/>
      <c r="L36" s="30"/>
      <c r="M36" s="30"/>
      <c r="N36" s="22"/>
      <c r="O36" s="22"/>
      <c r="P36" s="22"/>
      <c r="Q36" s="22"/>
      <c r="X36" s="22"/>
      <c r="Y36" s="22"/>
      <c r="Z36" s="22"/>
      <c r="AA36" s="22"/>
      <c r="AB36" s="22"/>
      <c r="AC36" s="22"/>
      <c r="AD36" s="22"/>
      <c r="AE36" s="22"/>
      <c r="AF36" s="22"/>
      <c r="AG36" s="22"/>
    </row>
    <row r="37" spans="1:33" ht="15" x14ac:dyDescent="0.3">
      <c r="B37" s="30"/>
      <c r="C37" s="30"/>
      <c r="D37" s="30"/>
      <c r="E37" s="30"/>
      <c r="F37" s="30"/>
      <c r="G37" s="30"/>
      <c r="H37" s="30"/>
      <c r="I37" s="30"/>
      <c r="J37" s="30"/>
      <c r="K37" s="30"/>
      <c r="L37" s="30"/>
      <c r="M37" s="30"/>
      <c r="X37" s="29"/>
      <c r="Y37" s="29"/>
      <c r="Z37" s="29"/>
      <c r="AA37" s="29"/>
      <c r="AB37" s="29"/>
    </row>
    <row r="38" spans="1:33" ht="15" x14ac:dyDescent="0.3">
      <c r="B38" s="30"/>
      <c r="C38" s="30"/>
      <c r="D38" s="30"/>
      <c r="E38" s="30"/>
      <c r="F38" s="30"/>
      <c r="G38" s="30"/>
      <c r="H38" s="30"/>
      <c r="I38" s="30"/>
      <c r="J38" s="30"/>
      <c r="K38" s="30"/>
      <c r="L38" s="30"/>
      <c r="M38" s="30"/>
      <c r="X38" s="29"/>
      <c r="Y38" s="29"/>
      <c r="Z38" s="29"/>
      <c r="AA38" s="29"/>
      <c r="AB38" s="29"/>
    </row>
    <row r="39" spans="1:33" ht="15" hidden="1" x14ac:dyDescent="0.3">
      <c r="B39" s="30"/>
      <c r="C39" s="30"/>
      <c r="D39" s="30"/>
      <c r="E39" s="30"/>
      <c r="F39" s="30"/>
      <c r="G39" s="30"/>
      <c r="H39" s="30"/>
      <c r="I39" s="30"/>
      <c r="J39" s="30"/>
      <c r="K39" s="30"/>
      <c r="L39" s="30"/>
      <c r="M39" s="30"/>
      <c r="X39" s="29"/>
      <c r="Y39" s="29"/>
      <c r="Z39" s="29"/>
      <c r="AA39" s="29"/>
      <c r="AB39" s="29"/>
    </row>
    <row r="40" spans="1:33" ht="15.75" hidden="1" customHeight="1" x14ac:dyDescent="0.3"/>
    <row r="46" spans="1:33" ht="15.75" hidden="1" customHeight="1" x14ac:dyDescent="0.3"/>
    <row r="47" spans="1:33" ht="15.75" hidden="1" customHeight="1" x14ac:dyDescent="0.3"/>
    <row r="48" spans="1:33" ht="15.75" hidden="1" customHeight="1" x14ac:dyDescent="0.3"/>
    <row r="49" ht="15.75" hidden="1" customHeight="1" x14ac:dyDescent="0.3"/>
    <row r="50" ht="15.75" hidden="1" customHeight="1" x14ac:dyDescent="0.3"/>
    <row r="51" ht="15.75" hidden="1" customHeight="1" x14ac:dyDescent="0.3"/>
    <row r="52" ht="15.75" hidden="1" customHeight="1" x14ac:dyDescent="0.3"/>
    <row r="53" ht="15.75" hidden="1" customHeight="1" x14ac:dyDescent="0.3"/>
    <row r="54" ht="15.75" hidden="1" customHeight="1" x14ac:dyDescent="0.3"/>
    <row r="55" ht="15.75" hidden="1" customHeight="1" x14ac:dyDescent="0.3"/>
    <row r="56" ht="15.75" hidden="1" customHeight="1" x14ac:dyDescent="0.3"/>
    <row r="57" ht="15.75" hidden="1" customHeight="1" x14ac:dyDescent="0.3"/>
    <row r="58" ht="15.75" hidden="1" customHeight="1" x14ac:dyDescent="0.3"/>
    <row r="59" ht="15.75" hidden="1" customHeight="1" x14ac:dyDescent="0.3"/>
    <row r="60" ht="15.75" hidden="1" customHeight="1" x14ac:dyDescent="0.3"/>
    <row r="61" ht="15.75" hidden="1" customHeight="1" x14ac:dyDescent="0.3"/>
    <row r="62" ht="15.75" hidden="1" customHeight="1" x14ac:dyDescent="0.3"/>
    <row r="63" ht="15.75" hidden="1" customHeight="1" x14ac:dyDescent="0.3"/>
    <row r="90" ht="21.65" hidden="1" customHeight="1" x14ac:dyDescent="0.3"/>
    <row r="103" ht="64.900000000000006" hidden="1" customHeight="1" x14ac:dyDescent="0.3"/>
    <row r="106" ht="29.5" hidden="1" customHeight="1" x14ac:dyDescent="0.3"/>
    <row r="109" x14ac:dyDescent="0.3"/>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F16:G16"/>
    <mergeCell ref="H16:I16"/>
    <mergeCell ref="F17:G17"/>
    <mergeCell ref="H17:I17"/>
    <mergeCell ref="F18:G18"/>
    <mergeCell ref="H18:I18"/>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B28:E30"/>
    <mergeCell ref="F28:G28"/>
    <mergeCell ref="H28:I28"/>
    <mergeCell ref="F29:G29"/>
    <mergeCell ref="H29:I29"/>
    <mergeCell ref="F30:G30"/>
    <mergeCell ref="H30:I30"/>
    <mergeCell ref="B24:E26"/>
    <mergeCell ref="F24:G24"/>
    <mergeCell ref="H24:I24"/>
    <mergeCell ref="F25:G25"/>
    <mergeCell ref="H25:I25"/>
    <mergeCell ref="F26:G26"/>
    <mergeCell ref="H26:I26"/>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H8:I8"/>
    <mergeCell ref="F9:G9"/>
    <mergeCell ref="H9:I9"/>
    <mergeCell ref="F10:G10"/>
    <mergeCell ref="H10:I10"/>
    <mergeCell ref="B3:D4"/>
    <mergeCell ref="B6:C6"/>
    <mergeCell ref="B8:E10"/>
    <mergeCell ref="F8:G8"/>
    <mergeCell ref="B2:D2"/>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90" zoomScaleNormal="90" workbookViewId="0"/>
  </sheetViews>
  <sheetFormatPr defaultColWidth="8.81640625" defaultRowHeight="14" x14ac:dyDescent="0.3"/>
  <cols>
    <col min="1" max="1" width="4.26953125" style="31" customWidth="1"/>
    <col min="2" max="2" width="72.81640625" style="31" customWidth="1"/>
    <col min="3" max="3" width="13.81640625" style="31" customWidth="1"/>
    <col min="4" max="4" width="18.26953125" style="31" customWidth="1"/>
    <col min="5" max="5" width="16" style="31" customWidth="1"/>
    <col min="6" max="6" width="14.54296875" style="31" customWidth="1"/>
    <col min="7" max="7" width="12.453125" style="31" customWidth="1"/>
    <col min="8" max="8" width="15.54296875" style="31" customWidth="1"/>
    <col min="9" max="9" width="16.1796875" style="31" customWidth="1"/>
    <col min="10" max="10" width="20.26953125" style="31" customWidth="1"/>
    <col min="11" max="11" width="23.26953125" style="31" customWidth="1"/>
    <col min="12" max="12" width="28.26953125" style="31" customWidth="1"/>
    <col min="13" max="13" width="15" style="31" customWidth="1"/>
    <col min="14" max="14" width="16.26953125" style="31" customWidth="1"/>
    <col min="15" max="15" width="11.1796875" style="31" customWidth="1"/>
    <col min="16" max="16" width="16.26953125" style="31" customWidth="1"/>
    <col min="17" max="17" width="14" style="31" customWidth="1"/>
    <col min="18" max="18" width="12.26953125" style="31" customWidth="1"/>
    <col min="19" max="19" width="13.453125" style="31" customWidth="1"/>
    <col min="20" max="20" width="10.54296875" style="31" customWidth="1"/>
    <col min="21" max="30" width="8.81640625" style="31"/>
    <col min="31" max="31" width="12.1796875" style="31" customWidth="1"/>
    <col min="32" max="16384" width="8.81640625" style="31"/>
  </cols>
  <sheetData>
    <row r="1" spans="2:19" ht="15.75" customHeight="1" thickBot="1" x14ac:dyDescent="0.35"/>
    <row r="2" spans="2:19" ht="22.15" customHeight="1" thickBot="1" x14ac:dyDescent="0.35">
      <c r="B2" s="832" t="str">
        <f>IF(Start!$F$12="","",Start!$F$12)</f>
        <v/>
      </c>
      <c r="C2" s="833"/>
      <c r="D2" s="834"/>
    </row>
    <row r="3" spans="2:19" ht="19.899999999999999" customHeight="1" x14ac:dyDescent="0.3">
      <c r="B3" s="728" t="str">
        <f ca="1">MID(CELL("filename",A1),FIND("]",CELL("filename",A1))+1,256)</f>
        <v>Detailed Results</v>
      </c>
      <c r="C3" s="729"/>
      <c r="D3" s="730"/>
    </row>
    <row r="4" spans="2:19" ht="21.65" customHeight="1" thickBot="1" x14ac:dyDescent="0.35">
      <c r="B4" s="731"/>
      <c r="C4" s="732"/>
      <c r="D4" s="733"/>
    </row>
    <row r="5" spans="2:19" ht="15.75" customHeight="1" x14ac:dyDescent="0.3"/>
    <row r="6" spans="2:19" ht="25.5" customHeight="1" thickBot="1" x14ac:dyDescent="0.35"/>
    <row r="7" spans="2:19" ht="18.75" customHeight="1" x14ac:dyDescent="0.3">
      <c r="B7" s="839" t="s">
        <v>37</v>
      </c>
      <c r="C7" s="840"/>
    </row>
    <row r="8" spans="2:19" ht="20.25" customHeight="1" thickBot="1" x14ac:dyDescent="0.35">
      <c r="B8" s="841"/>
      <c r="C8" s="842"/>
    </row>
    <row r="9" spans="2:19" ht="15.75" customHeight="1" thickBot="1" x14ac:dyDescent="0.65">
      <c r="B9" s="32"/>
      <c r="C9" s="32"/>
      <c r="O9" s="33"/>
      <c r="Q9" s="33"/>
      <c r="R9" s="33"/>
    </row>
    <row r="10" spans="2:19" ht="18" customHeight="1" x14ac:dyDescent="0.35">
      <c r="B10" s="735" t="s">
        <v>38</v>
      </c>
      <c r="C10" s="736"/>
      <c r="D10" s="736"/>
      <c r="E10" s="758"/>
      <c r="F10" s="845" t="s">
        <v>27</v>
      </c>
      <c r="G10" s="846"/>
      <c r="H10" s="843">
        <f>IFERROR('Headline Results'!$H$28:$I$28,"Check Data ⚠")</f>
        <v>0.65980177752251379</v>
      </c>
      <c r="I10" s="844"/>
      <c r="J10" s="34"/>
      <c r="O10" s="33"/>
      <c r="P10" s="33"/>
      <c r="Q10" s="33"/>
      <c r="R10" s="33"/>
      <c r="S10" s="33"/>
    </row>
    <row r="11" spans="2:19" ht="15.75" customHeight="1" x14ac:dyDescent="0.35">
      <c r="B11" s="737"/>
      <c r="C11" s="738"/>
      <c r="D11" s="738"/>
      <c r="E11" s="759"/>
      <c r="F11" s="849" t="s">
        <v>28</v>
      </c>
      <c r="G11" s="856"/>
      <c r="H11" s="854">
        <f>IFERROR('Headline Results'!$H$29:$I$29,"Check Data ⚠")</f>
        <v>4.4931606250000006E-2</v>
      </c>
      <c r="I11" s="855"/>
    </row>
    <row r="12" spans="2:19" ht="18.649999999999999" customHeight="1" thickBot="1" x14ac:dyDescent="0.4">
      <c r="B12" s="739"/>
      <c r="C12" s="740"/>
      <c r="D12" s="740"/>
      <c r="E12" s="760"/>
      <c r="F12" s="835" t="s">
        <v>29</v>
      </c>
      <c r="G12" s="836"/>
      <c r="H12" s="837">
        <f>IFERROR('Headline Results'!$H$30:$I$30,"Check Data ⚠")</f>
        <v>0</v>
      </c>
      <c r="I12" s="838"/>
    </row>
    <row r="13" spans="2:19" ht="15.75" customHeight="1" thickBot="1" x14ac:dyDescent="0.35"/>
    <row r="14" spans="2:19" ht="18.75" customHeight="1" x14ac:dyDescent="0.3">
      <c r="B14" s="735" t="s">
        <v>39</v>
      </c>
      <c r="C14" s="736"/>
      <c r="D14" s="736"/>
      <c r="E14" s="758"/>
      <c r="F14" s="845" t="s">
        <v>27</v>
      </c>
      <c r="G14" s="853"/>
      <c r="H14" s="851">
        <f>IFERROR('Headline Results'!$H$32:$I$32,"Check Data ⚠")</f>
        <v>40.728504785340363</v>
      </c>
      <c r="I14" s="852"/>
    </row>
    <row r="15" spans="2:19" ht="18.75" customHeight="1" x14ac:dyDescent="0.3">
      <c r="B15" s="737"/>
      <c r="C15" s="738"/>
      <c r="D15" s="738"/>
      <c r="E15" s="759"/>
      <c r="F15" s="849" t="s">
        <v>28</v>
      </c>
      <c r="G15" s="850"/>
      <c r="H15" s="847">
        <f>IFERROR('Headline Results'!$H$33:$I$33,"Check Data ⚠")</f>
        <v>1</v>
      </c>
      <c r="I15" s="848"/>
    </row>
    <row r="16" spans="2:19" ht="18.75" customHeight="1" thickBot="1" x14ac:dyDescent="0.35">
      <c r="B16" s="739"/>
      <c r="C16" s="740"/>
      <c r="D16" s="740"/>
      <c r="E16" s="760"/>
      <c r="F16" s="835" t="s">
        <v>29</v>
      </c>
      <c r="G16" s="859"/>
      <c r="H16" s="857">
        <f>IFERROR('Headline Results'!$H$34:$I$34,"Check Data ⚠")</f>
        <v>0</v>
      </c>
      <c r="I16" s="858"/>
    </row>
    <row r="17" spans="2:9" ht="18.75" customHeight="1" thickBot="1" x14ac:dyDescent="0.35"/>
    <row r="18" spans="2:9" ht="25.5" customHeight="1" x14ac:dyDescent="0.3">
      <c r="B18" s="860" t="s">
        <v>40</v>
      </c>
      <c r="C18" s="860"/>
      <c r="D18" s="860"/>
      <c r="E18" s="860"/>
      <c r="F18" s="860"/>
      <c r="G18" s="860"/>
      <c r="H18" s="860"/>
      <c r="I18" s="860"/>
    </row>
    <row r="19" spans="2:9" ht="22.5" customHeight="1" thickBot="1" x14ac:dyDescent="0.35">
      <c r="B19" s="861"/>
      <c r="C19" s="861"/>
      <c r="D19" s="861"/>
      <c r="E19" s="861"/>
      <c r="F19" s="861"/>
      <c r="G19" s="861"/>
      <c r="H19" s="861"/>
      <c r="I19" s="861"/>
    </row>
    <row r="20" spans="2:9" ht="18.75" customHeight="1" thickBot="1" x14ac:dyDescent="0.65">
      <c r="B20" s="828"/>
      <c r="C20" s="828"/>
      <c r="D20" s="831" t="s">
        <v>41</v>
      </c>
      <c r="E20" s="831"/>
      <c r="F20" s="831" t="s">
        <v>42</v>
      </c>
      <c r="G20" s="831"/>
      <c r="H20" s="831" t="s">
        <v>43</v>
      </c>
      <c r="I20" s="831"/>
    </row>
    <row r="21" spans="2:9" ht="18.75" customHeight="1" x14ac:dyDescent="0.3">
      <c r="B21" s="789" t="s">
        <v>44</v>
      </c>
      <c r="C21" s="790"/>
      <c r="D21" s="829">
        <f>IF(AND($K$40=0,'A-1 Site Habitat Baseline'!Y11:Y258&lt;&gt;"No",'D-1 Off Site Habitat Baseline'!Y11:Y258&lt;&gt;"No"),'A-1 Site Habitat Baseline'!$H259+'D-1 Off Site Habitat Baseline'!H259,"Error ▲")</f>
        <v>0.44850000000000001</v>
      </c>
      <c r="E21" s="829"/>
      <c r="F21" s="821">
        <f>'B-1 Site Hedge Baseline'!$E$258+'E-1 Off Site Hedge Baseline'!$E$258</f>
        <v>0</v>
      </c>
      <c r="G21" s="821"/>
      <c r="H21" s="821">
        <f>'C-1 Site River Baseline'!$E$258+'F-1 Off Site River Baseline'!$E$258</f>
        <v>0</v>
      </c>
      <c r="I21" s="822"/>
    </row>
    <row r="22" spans="2:9" ht="18.75" customHeight="1" thickBot="1" x14ac:dyDescent="0.35">
      <c r="B22" s="791" t="s">
        <v>45</v>
      </c>
      <c r="C22" s="792"/>
      <c r="D22" s="830">
        <f>IF(AND($K$40=0,'A-1 Site Habitat Baseline'!Y11:Y258&lt;&gt;"No",'D-1 Off Site Habitat Baseline'!Y11:Y258&lt;&gt;"No"),'A-1 Site Habitat Baseline'!$Q259+'D-1 Off Site Habitat Baseline'!Q259,"Error ▲")</f>
        <v>1.6199999999999999E-2</v>
      </c>
      <c r="E22" s="830"/>
      <c r="F22" s="823">
        <f>'B-1 Site Hedge Baseline'!$N$258+'E-1 Off Site Hedge Baseline'!$N$258</f>
        <v>0</v>
      </c>
      <c r="G22" s="823"/>
      <c r="H22" s="823">
        <f>'C-1 Site River Baseline'!$R$258+'F-1 Off Site River Baseline'!$R$258</f>
        <v>0</v>
      </c>
      <c r="I22" s="824"/>
    </row>
    <row r="23" spans="2:9" ht="18.75" customHeight="1" thickBot="1" x14ac:dyDescent="0.35">
      <c r="D23" s="34"/>
      <c r="F23" s="34"/>
      <c r="H23" s="34"/>
    </row>
    <row r="24" spans="2:9" ht="18.75" customHeight="1" x14ac:dyDescent="0.3">
      <c r="B24" s="789" t="s">
        <v>46</v>
      </c>
      <c r="C24" s="790"/>
      <c r="D24" s="829">
        <f>IF(AND($K$40=0,'A-1 Site Habitat Baseline'!Y11:Y258&lt;&gt;"No",'D-1 Off Site Habitat Baseline'!Y11:Y258&lt;&gt;"No"),'A-1 Site Habitat Baseline'!$S259+'D-1 Off Site Habitat Baseline'!S259,"Error ▲")</f>
        <v>5.1999999999999998E-3</v>
      </c>
      <c r="E24" s="829"/>
      <c r="F24" s="821">
        <f>'B-1 Site Hedge Baseline'!$P$258+'E-1 Off Site Hedge Baseline'!$P$258</f>
        <v>0</v>
      </c>
      <c r="G24" s="821"/>
      <c r="H24" s="821">
        <f>'C-1 Site River Baseline'!T258+'F-1 Off Site River Baseline'!T258</f>
        <v>0</v>
      </c>
      <c r="I24" s="822"/>
    </row>
    <row r="25" spans="2:9" ht="18.75" customHeight="1" thickBot="1" x14ac:dyDescent="0.35">
      <c r="B25" s="791" t="s">
        <v>47</v>
      </c>
      <c r="C25" s="792"/>
      <c r="D25" s="830">
        <f>IF(AND($K$40=0,'A-1 Site Habitat Baseline'!Y11:Y258&lt;&gt;"No",'D-1 Off Site Habitat Baseline'!Y11:Y258&lt;&gt;"No"),'A-1 Site Habitat Baseline'!$U259+'D-1 Off Site Habitat Baseline'!U259,"Error ▲")</f>
        <v>1.04E-2</v>
      </c>
      <c r="E25" s="830"/>
      <c r="F25" s="823">
        <f>'B-1 Site Hedge Baseline'!R258+'E-1 Off Site Hedge Baseline'!R258</f>
        <v>0</v>
      </c>
      <c r="G25" s="823"/>
      <c r="H25" s="823">
        <f>'C-1 Site River Baseline'!V258+'F-1 Off Site River Baseline'!V258</f>
        <v>0</v>
      </c>
      <c r="I25" s="824"/>
    </row>
    <row r="26" spans="2:9" ht="18.75" customHeight="1" thickBot="1" x14ac:dyDescent="0.35">
      <c r="D26" s="34"/>
      <c r="F26" s="34"/>
      <c r="H26" s="34"/>
    </row>
    <row r="27" spans="2:9" ht="18.75" customHeight="1" x14ac:dyDescent="0.3">
      <c r="B27" s="789" t="s">
        <v>48</v>
      </c>
      <c r="C27" s="790"/>
      <c r="D27" s="829">
        <f>IF(AND($K$40=0,'A-1 Site Habitat Baseline'!Y11:Y258&lt;&gt;"No",'D-1 Off Site Habitat Baseline'!Y11:Y258&lt;&gt;"No"),'A-1 Site Habitat Baseline'!$T259+'D-1 Off Site Habitat Baseline'!T259,"Error ▲")</f>
        <v>0</v>
      </c>
      <c r="E27" s="829"/>
      <c r="F27" s="821">
        <f>'B-1 Site Hedge Baseline'!$Q$258+'E-1 Off Site Hedge Baseline'!$Q$258</f>
        <v>0</v>
      </c>
      <c r="G27" s="821"/>
      <c r="H27" s="821">
        <f>'C-1 Site River Baseline'!U258+'F-1 Off Site River Baseline'!U258</f>
        <v>0</v>
      </c>
      <c r="I27" s="822"/>
    </row>
    <row r="28" spans="2:9" ht="18.75" customHeight="1" thickBot="1" x14ac:dyDescent="0.35">
      <c r="B28" s="791" t="s">
        <v>49</v>
      </c>
      <c r="C28" s="792"/>
      <c r="D28" s="830">
        <f>IF(AND($K$40=0,'A-1 Site Habitat Baseline'!Y11:Y258&lt;&gt;"No",'D-1 Off Site Habitat Baseline'!Y11:Y258&lt;&gt;"No"),'A-1 Site Habitat Baseline'!$V259+'D-1 Off Site Habitat Baseline'!V259,"Error ▲")</f>
        <v>0</v>
      </c>
      <c r="E28" s="830"/>
      <c r="F28" s="823">
        <f>'B-1 Site Hedge Baseline'!$S$258+'E-1 Off Site Hedge Baseline'!$S$258</f>
        <v>0</v>
      </c>
      <c r="G28" s="823"/>
      <c r="H28" s="823">
        <f>'C-1 Site River Baseline'!W258+'F-1 Off Site River Baseline'!W258</f>
        <v>0</v>
      </c>
      <c r="I28" s="824"/>
    </row>
    <row r="29" spans="2:9" ht="18.75" customHeight="1" thickBot="1" x14ac:dyDescent="0.35">
      <c r="D29" s="34"/>
      <c r="F29" s="34"/>
      <c r="H29" s="34"/>
    </row>
    <row r="30" spans="2:9" ht="18.75" customHeight="1" x14ac:dyDescent="0.3">
      <c r="B30" s="789" t="s">
        <v>50</v>
      </c>
      <c r="C30" s="790"/>
      <c r="D30" s="829">
        <f>IF(AND($K$40=0,'A-1 Site Habitat Baseline'!Y11:Y258&lt;&gt;"No",'D-1 Off Site Habitat Baseline'!Y11:Y258&lt;&gt;"No"),'A-1 Site Habitat Baseline'!$W259+'D-1 Off Site Habitat Baseline'!W259,"Error ▲")</f>
        <v>0.44330000000000003</v>
      </c>
      <c r="E30" s="829"/>
      <c r="F30" s="821">
        <f>'B-1 Site Hedge Baseline'!$T$258+'E-1 Off Site Hedge Baseline'!$T$258</f>
        <v>0</v>
      </c>
      <c r="G30" s="821"/>
      <c r="H30" s="821">
        <f>'C-1 Site River Baseline'!X258+'F-1 Off Site River Baseline'!X258</f>
        <v>0</v>
      </c>
      <c r="I30" s="822"/>
    </row>
    <row r="31" spans="2:9" ht="18.75" customHeight="1" thickBot="1" x14ac:dyDescent="0.35">
      <c r="B31" s="791" t="s">
        <v>51</v>
      </c>
      <c r="C31" s="792"/>
      <c r="D31" s="830">
        <f>IF(AND($K$40=0,'A-1 Site Habitat Baseline'!Y11:Y258&lt;&gt;"No",'D-1 Off Site Habitat Baseline'!Y11:Y258&lt;&gt;"No"),'A-1 Site Habitat Baseline'!$X259+'D-1 Off Site Habitat Baseline'!X259,"Error ▲")</f>
        <v>5.7999999999999996E-3</v>
      </c>
      <c r="E31" s="830"/>
      <c r="F31" s="823">
        <f>'B-1 Site Hedge Baseline'!$U$258+'E-1 Off Site Hedge Baseline'!$U$258</f>
        <v>0</v>
      </c>
      <c r="G31" s="823"/>
      <c r="H31" s="823">
        <f>'C-1 Site River Baseline'!Y258+'F-1 Off Site River Baseline'!Y258</f>
        <v>0</v>
      </c>
      <c r="I31" s="824"/>
    </row>
    <row r="32" spans="2:9" ht="25.9" customHeight="1" thickBot="1" x14ac:dyDescent="0.35">
      <c r="C32" s="34"/>
      <c r="D32" s="34"/>
      <c r="E32" s="34"/>
    </row>
    <row r="33" spans="1:22" s="333" customFormat="1" ht="43.9" customHeight="1" thickTop="1" thickBot="1" x14ac:dyDescent="0.35">
      <c r="A33" s="793" t="s">
        <v>52</v>
      </c>
      <c r="C33" s="334"/>
      <c r="D33" s="334"/>
      <c r="E33" s="334"/>
    </row>
    <row r="34" spans="1:22" ht="25.5" thickBot="1" x14ac:dyDescent="0.55000000000000004">
      <c r="A34" s="794"/>
      <c r="B34" s="463" t="s">
        <v>53</v>
      </c>
    </row>
    <row r="35" spans="1:22" ht="18.75" customHeight="1" thickBot="1" x14ac:dyDescent="0.35">
      <c r="A35" s="794"/>
    </row>
    <row r="36" spans="1:22" ht="22.15" customHeight="1" thickBot="1" x14ac:dyDescent="0.4">
      <c r="A36" s="794"/>
      <c r="B36" s="805" t="s">
        <v>54</v>
      </c>
      <c r="C36" s="805"/>
      <c r="D36" s="805"/>
      <c r="E36" s="805"/>
      <c r="F36" s="805"/>
      <c r="G36" s="805"/>
      <c r="H36" s="805"/>
      <c r="J36" s="809" t="s">
        <v>55</v>
      </c>
      <c r="K36" s="810"/>
      <c r="L36" s="811"/>
    </row>
    <row r="37" spans="1:22" ht="34.15" customHeight="1" thickBot="1" x14ac:dyDescent="0.35">
      <c r="A37" s="794"/>
      <c r="B37" s="35"/>
      <c r="C37" s="788" t="s">
        <v>56</v>
      </c>
      <c r="D37" s="788"/>
      <c r="E37" s="788" t="s">
        <v>57</v>
      </c>
      <c r="F37" s="788"/>
      <c r="G37" s="788" t="s">
        <v>58</v>
      </c>
      <c r="H37" s="788"/>
      <c r="J37" s="812"/>
      <c r="K37" s="813"/>
      <c r="L37" s="814"/>
      <c r="U37" s="862"/>
      <c r="V37" s="862"/>
    </row>
    <row r="38" spans="1:22" ht="52.9" customHeight="1" thickBot="1" x14ac:dyDescent="0.35">
      <c r="A38" s="794"/>
      <c r="B38" s="323" t="s">
        <v>59</v>
      </c>
      <c r="C38" s="35" t="s">
        <v>60</v>
      </c>
      <c r="D38" s="35" t="s">
        <v>61</v>
      </c>
      <c r="E38" s="35" t="s">
        <v>62</v>
      </c>
      <c r="F38" s="35" t="s">
        <v>63</v>
      </c>
      <c r="G38" s="35" t="s">
        <v>64</v>
      </c>
      <c r="H38" s="35" t="s">
        <v>65</v>
      </c>
      <c r="J38" s="815" t="s">
        <v>66</v>
      </c>
      <c r="K38" s="817" t="s">
        <v>67</v>
      </c>
      <c r="L38" s="819" t="s">
        <v>68</v>
      </c>
      <c r="U38" s="862"/>
      <c r="V38" s="862"/>
    </row>
    <row r="39" spans="1:22" ht="15" x14ac:dyDescent="0.3">
      <c r="A39" s="794"/>
      <c r="B39" s="43" t="s">
        <v>69</v>
      </c>
      <c r="C39" s="464">
        <f>'G-2 Habitat groups'!$AK$4</f>
        <v>0</v>
      </c>
      <c r="D39" s="464">
        <f>'G-2 Habitat groups'!$AL$4</f>
        <v>0</v>
      </c>
      <c r="E39" s="464">
        <f>'G-2 Habitat groups'!$AM$4</f>
        <v>0</v>
      </c>
      <c r="F39" s="464">
        <f>'G-2 Habitat groups'!$AN$4</f>
        <v>0</v>
      </c>
      <c r="G39" s="464">
        <f>E39-C39</f>
        <v>0</v>
      </c>
      <c r="H39" s="464">
        <f>F39-D39</f>
        <v>0</v>
      </c>
      <c r="J39" s="816"/>
      <c r="K39" s="818"/>
      <c r="L39" s="820"/>
    </row>
    <row r="40" spans="1:22" ht="15" x14ac:dyDescent="0.3">
      <c r="A40" s="794"/>
      <c r="B40" s="37" t="s">
        <v>70</v>
      </c>
      <c r="C40" s="466">
        <f>'G-2 Habitat groups'!$AK$5</f>
        <v>8.0000000000000004E-4</v>
      </c>
      <c r="D40" s="466">
        <f>'G-2 Habitat groups'!$AL$5</f>
        <v>1.6000000000000001E-3</v>
      </c>
      <c r="E40" s="466">
        <f>'G-2 Habitat groups'!$AM$5</f>
        <v>0</v>
      </c>
      <c r="F40" s="466">
        <f>'G-2 Habitat groups'!$AN$5</f>
        <v>0</v>
      </c>
      <c r="G40" s="466">
        <f t="shared" ref="G40:G50" si="0">E40-C40</f>
        <v>-8.0000000000000004E-4</v>
      </c>
      <c r="H40" s="466">
        <f t="shared" ref="H40:H50" si="1">F40-D40</f>
        <v>-1.6000000000000001E-3</v>
      </c>
      <c r="J40" s="801" t="str">
        <f>'G-1 All Habitats'!$V$3</f>
        <v>V.High</v>
      </c>
      <c r="K40" s="803">
        <f>SUMIF('A-1 Site Habitat Baseline'!$I$11:$I$258,'Detailed Results'!J40,'A-1 Site Habitat Baseline'!$W$11:$W$258)+SUMIF('D-1 Off Site Habitat Baseline'!$I$11:$I$258,'Detailed Results'!J40,'D-1 Off Site Habitat Baseline'!$W$11:$W$258)</f>
        <v>0</v>
      </c>
      <c r="L40" s="807" t="str">
        <f>IF(K40=0,"",(K40/(SUM($K$40:$K$49)))*100)</f>
        <v/>
      </c>
    </row>
    <row r="41" spans="1:22" ht="15" x14ac:dyDescent="0.3">
      <c r="A41" s="794"/>
      <c r="B41" s="37" t="s">
        <v>71</v>
      </c>
      <c r="C41" s="466">
        <f>'G-2 Habitat groups'!$AK$6</f>
        <v>0</v>
      </c>
      <c r="D41" s="466">
        <f>'G-2 Habitat groups'!$AL$6</f>
        <v>0</v>
      </c>
      <c r="E41" s="466">
        <f>'G-2 Habitat groups'!$AM$6</f>
        <v>0</v>
      </c>
      <c r="F41" s="466">
        <f>'G-2 Habitat groups'!$AN$6</f>
        <v>0</v>
      </c>
      <c r="G41" s="466">
        <f t="shared" si="0"/>
        <v>0</v>
      </c>
      <c r="H41" s="466">
        <f t="shared" si="1"/>
        <v>0</v>
      </c>
      <c r="J41" s="802"/>
      <c r="K41" s="804"/>
      <c r="L41" s="808"/>
    </row>
    <row r="42" spans="1:22" ht="15" x14ac:dyDescent="0.3">
      <c r="A42" s="794"/>
      <c r="B42" s="37" t="s">
        <v>72</v>
      </c>
      <c r="C42" s="466">
        <f>'G-2 Habitat groups'!$AK$7</f>
        <v>0</v>
      </c>
      <c r="D42" s="466">
        <f>'G-2 Habitat groups'!$AL$7</f>
        <v>0</v>
      </c>
      <c r="E42" s="466">
        <f>'G-2 Habitat groups'!$AM$7</f>
        <v>0</v>
      </c>
      <c r="F42" s="466">
        <f>'G-2 Habitat groups'!$AN$7</f>
        <v>0</v>
      </c>
      <c r="G42" s="466">
        <f t="shared" si="0"/>
        <v>0</v>
      </c>
      <c r="H42" s="466">
        <f t="shared" si="1"/>
        <v>0</v>
      </c>
      <c r="J42" s="801" t="str">
        <f>'G-1 All Habitats'!$V$4</f>
        <v>High</v>
      </c>
      <c r="K42" s="803">
        <f>SUMIF('A-1 Site Habitat Baseline'!$I$11:$I$258,'Detailed Results'!J42,'A-1 Site Habitat Baseline'!$W$11:$W$258)+SUMIF('D-1 Off Site Habitat Baseline'!$I$11:$I$258,'Detailed Results'!J42,'D-1 Off Site Habitat Baseline'!$W$11:$W$258)</f>
        <v>0</v>
      </c>
      <c r="L42" s="807" t="str">
        <f>IF(K42=0,"",(K42/(SUM($K$40:$K$49)))*100)</f>
        <v/>
      </c>
    </row>
    <row r="43" spans="1:22" ht="15" x14ac:dyDescent="0.3">
      <c r="A43" s="794"/>
      <c r="B43" s="37" t="s">
        <v>73</v>
      </c>
      <c r="C43" s="466">
        <f>'G-2 Habitat groups'!$AK$8</f>
        <v>0</v>
      </c>
      <c r="D43" s="466">
        <f>'G-2 Habitat groups'!$AL$8</f>
        <v>0</v>
      </c>
      <c r="E43" s="466">
        <f>'G-2 Habitat groups'!$AM$8</f>
        <v>0</v>
      </c>
      <c r="F43" s="466">
        <f>'G-2 Habitat groups'!$AN$8</f>
        <v>0</v>
      </c>
      <c r="G43" s="466">
        <f t="shared" si="0"/>
        <v>0</v>
      </c>
      <c r="H43" s="466">
        <f t="shared" si="1"/>
        <v>0</v>
      </c>
      <c r="J43" s="802"/>
      <c r="K43" s="804"/>
      <c r="L43" s="808"/>
    </row>
    <row r="44" spans="1:22" ht="15" x14ac:dyDescent="0.3">
      <c r="A44" s="794"/>
      <c r="B44" s="37" t="s">
        <v>74</v>
      </c>
      <c r="C44" s="466">
        <f>'G-2 Habitat groups'!$AK$9</f>
        <v>0.44769999999999999</v>
      </c>
      <c r="D44" s="466">
        <f>'G-2 Habitat groups'!$AL$9</f>
        <v>1.4599999999999998E-2</v>
      </c>
      <c r="E44" s="466">
        <f>'G-2 Habitat groups'!$AM$9</f>
        <v>0.63162479999999999</v>
      </c>
      <c r="F44" s="466">
        <f>'G-2 Habitat groups'!$AN$9</f>
        <v>0.67600177752251378</v>
      </c>
      <c r="G44" s="466">
        <f t="shared" si="0"/>
        <v>0.1839248</v>
      </c>
      <c r="H44" s="466">
        <f t="shared" si="1"/>
        <v>0.66140177752251383</v>
      </c>
      <c r="J44" s="801" t="str">
        <f>'G-1 All Habitats'!$V5</f>
        <v>Medium</v>
      </c>
      <c r="K44" s="803">
        <f>SUMIF('A-1 Site Habitat Baseline'!$I$11:$I$258,'Detailed Results'!J44,'A-1 Site Habitat Baseline'!$W$11:$W$258)+SUMIF('D-1 Off Site Habitat Baseline'!$I$11:$I$258,'Detailed Results'!J44,'D-1 Off Site Habitat Baseline'!$W$11:$W$258)</f>
        <v>0</v>
      </c>
      <c r="L44" s="807" t="str">
        <f>IF(K44=0,"",(K44/(SUM($K$40:$K$49)))*100)</f>
        <v/>
      </c>
    </row>
    <row r="45" spans="1:22" ht="15" x14ac:dyDescent="0.3">
      <c r="A45" s="794"/>
      <c r="B45" s="37" t="s">
        <v>75</v>
      </c>
      <c r="C45" s="466">
        <f>'G-2 Habitat groups'!$AK$10</f>
        <v>0</v>
      </c>
      <c r="D45" s="466">
        <f>'G-2 Habitat groups'!$AL$10</f>
        <v>0</v>
      </c>
      <c r="E45" s="466">
        <f>'G-2 Habitat groups'!$AM$10</f>
        <v>0</v>
      </c>
      <c r="F45" s="466">
        <f>'G-2 Habitat groups'!$AN$10</f>
        <v>0</v>
      </c>
      <c r="G45" s="466">
        <f t="shared" si="0"/>
        <v>0</v>
      </c>
      <c r="H45" s="466">
        <f t="shared" si="1"/>
        <v>0</v>
      </c>
      <c r="J45" s="802"/>
      <c r="K45" s="804"/>
      <c r="L45" s="808"/>
    </row>
    <row r="46" spans="1:22" ht="15" x14ac:dyDescent="0.3">
      <c r="A46" s="794"/>
      <c r="B46" s="38" t="s">
        <v>76</v>
      </c>
      <c r="C46" s="466">
        <f>'G-2 Habitat groups'!$AK$11</f>
        <v>0</v>
      </c>
      <c r="D46" s="466">
        <f>'G-2 Habitat groups'!$AL$11</f>
        <v>0</v>
      </c>
      <c r="E46" s="466">
        <f>'G-2 Habitat groups'!$AM$11</f>
        <v>0</v>
      </c>
      <c r="F46" s="466">
        <f>'G-2 Habitat groups'!$AN$11</f>
        <v>0</v>
      </c>
      <c r="G46" s="466">
        <f t="shared" si="0"/>
        <v>0</v>
      </c>
      <c r="H46" s="466">
        <f t="shared" si="1"/>
        <v>0</v>
      </c>
      <c r="J46" s="801" t="str">
        <f>'G-1 All Habitats'!$V$6</f>
        <v>Low</v>
      </c>
      <c r="K46" s="803">
        <f>SUMIF('A-1 Site Habitat Baseline'!$I$11:$I$258,'Detailed Results'!J46,'A-1 Site Habitat Baseline'!$W$11:$W$258)+SUMIF('D-1 Off Site Habitat Baseline'!$I$11:$I$258,'Detailed Results'!J46,'D-1 Off Site Habitat Baseline'!$W$11:$W$258)</f>
        <v>2.8999999999999998E-3</v>
      </c>
      <c r="L46" s="807">
        <f>IF(K46=0,"",(K46/(SUM($K$40:$K$49)))*100)</f>
        <v>0.65418452515226699</v>
      </c>
    </row>
    <row r="47" spans="1:22" ht="15" x14ac:dyDescent="0.3">
      <c r="A47" s="794"/>
      <c r="B47" s="39" t="s">
        <v>77</v>
      </c>
      <c r="C47" s="466">
        <f>'G-2 Habitat groups'!$AK$12</f>
        <v>0</v>
      </c>
      <c r="D47" s="466">
        <f>'G-2 Habitat groups'!$AL$12</f>
        <v>0</v>
      </c>
      <c r="E47" s="466">
        <f>'G-2 Habitat groups'!$AM$12</f>
        <v>0</v>
      </c>
      <c r="F47" s="466">
        <f>'G-2 Habitat groups'!$AN$12</f>
        <v>0</v>
      </c>
      <c r="G47" s="466">
        <f t="shared" si="0"/>
        <v>0</v>
      </c>
      <c r="H47" s="466">
        <f t="shared" si="1"/>
        <v>0</v>
      </c>
      <c r="J47" s="802"/>
      <c r="K47" s="804"/>
      <c r="L47" s="808"/>
    </row>
    <row r="48" spans="1:22" ht="15" x14ac:dyDescent="0.3">
      <c r="A48" s="794"/>
      <c r="B48" s="39" t="s">
        <v>78</v>
      </c>
      <c r="C48" s="466">
        <f>'G-2 Habitat groups'!$AK$13</f>
        <v>0</v>
      </c>
      <c r="D48" s="466">
        <f>'G-2 Habitat groups'!$AL$13</f>
        <v>0</v>
      </c>
      <c r="E48" s="466">
        <f>'G-2 Habitat groups'!$AM$13</f>
        <v>0</v>
      </c>
      <c r="F48" s="466">
        <f>'G-2 Habitat groups'!$AN$13</f>
        <v>0</v>
      </c>
      <c r="G48" s="466">
        <f t="shared" si="0"/>
        <v>0</v>
      </c>
      <c r="H48" s="466">
        <f t="shared" si="1"/>
        <v>0</v>
      </c>
      <c r="J48" s="801" t="str">
        <f>'G-1 All Habitats'!$V$7</f>
        <v>V.Low</v>
      </c>
      <c r="K48" s="803">
        <f>SUMIF('A-1 Site Habitat Baseline'!$I$11:$I$258,'Detailed Results'!J48,'A-1 Site Habitat Baseline'!$W$11:$W$258)+SUMIF('D-1 Off Site Habitat Baseline'!$I$11:$I$258,'Detailed Results'!J48,'D-1 Off Site Habitat Baseline'!$W$11:$W$258)</f>
        <v>0.44040000000000001</v>
      </c>
      <c r="L48" s="807">
        <f>IF(K48=0,"",(K48/(SUM($K$40:$K$49)))*100)</f>
        <v>99.345815474847726</v>
      </c>
    </row>
    <row r="49" spans="1:33" ht="15.5" thickBot="1" x14ac:dyDescent="0.35">
      <c r="A49" s="794"/>
      <c r="B49" s="39" t="s">
        <v>79</v>
      </c>
      <c r="C49" s="466">
        <f>'G-2 Habitat groups'!$AK$14</f>
        <v>0</v>
      </c>
      <c r="D49" s="466">
        <f>'G-2 Habitat groups'!$AL$14</f>
        <v>0</v>
      </c>
      <c r="E49" s="466">
        <f>'G-2 Habitat groups'!$AM$14</f>
        <v>0</v>
      </c>
      <c r="F49" s="466">
        <f>'G-2 Habitat groups'!$AN$14</f>
        <v>0</v>
      </c>
      <c r="G49" s="466">
        <f t="shared" si="0"/>
        <v>0</v>
      </c>
      <c r="H49" s="466">
        <f t="shared" si="1"/>
        <v>0</v>
      </c>
      <c r="J49" s="806"/>
      <c r="K49" s="804"/>
      <c r="L49" s="808"/>
    </row>
    <row r="50" spans="1:33" ht="15" x14ac:dyDescent="0.3">
      <c r="A50" s="794"/>
      <c r="B50" s="39" t="s">
        <v>80</v>
      </c>
      <c r="C50" s="466">
        <f>'G-2 Habitat groups'!$AK$15</f>
        <v>0</v>
      </c>
      <c r="D50" s="466">
        <f>'G-2 Habitat groups'!$AL$15</f>
        <v>0</v>
      </c>
      <c r="E50" s="466">
        <f>'G-2 Habitat groups'!$AM$15</f>
        <v>0</v>
      </c>
      <c r="F50" s="466">
        <f>'G-2 Habitat groups'!$AN$15</f>
        <v>0</v>
      </c>
      <c r="G50" s="466">
        <f t="shared" si="0"/>
        <v>0</v>
      </c>
      <c r="H50" s="466">
        <f t="shared" si="1"/>
        <v>0</v>
      </c>
    </row>
    <row r="51" spans="1:33" ht="15" x14ac:dyDescent="0.3">
      <c r="A51" s="794"/>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x14ac:dyDescent="0.3">
      <c r="A52" s="794"/>
    </row>
    <row r="53" spans="1:33" ht="15.75" customHeight="1" x14ac:dyDescent="0.3">
      <c r="A53" s="794"/>
    </row>
    <row r="54" spans="1:33" ht="10.15" customHeight="1" thickBot="1" x14ac:dyDescent="0.35">
      <c r="A54" s="794"/>
    </row>
    <row r="55" spans="1:33" ht="22.9" customHeight="1" thickBot="1" x14ac:dyDescent="0.6">
      <c r="A55" s="794"/>
      <c r="B55" s="805" t="s">
        <v>82</v>
      </c>
      <c r="C55" s="805"/>
      <c r="D55" s="805"/>
      <c r="E55" s="805"/>
      <c r="F55" s="805"/>
      <c r="G55" s="805"/>
      <c r="H55" s="805"/>
      <c r="I55" s="41"/>
      <c r="J55" s="41"/>
      <c r="K55" s="41"/>
      <c r="L55" s="41"/>
      <c r="M55" s="41"/>
    </row>
    <row r="56" spans="1:33" s="42" customFormat="1" ht="38.25" customHeight="1" thickBot="1" x14ac:dyDescent="0.35">
      <c r="A56" s="794"/>
      <c r="B56" s="35"/>
      <c r="C56" s="788" t="s">
        <v>56</v>
      </c>
      <c r="D56" s="788"/>
      <c r="E56" s="788" t="s">
        <v>83</v>
      </c>
      <c r="F56" s="788"/>
      <c r="G56" s="788" t="s">
        <v>84</v>
      </c>
      <c r="H56" s="788"/>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5">
      <c r="A57" s="794"/>
      <c r="B57" s="323" t="s">
        <v>59</v>
      </c>
      <c r="C57" s="35" t="s">
        <v>60</v>
      </c>
      <c r="D57" s="35" t="s">
        <v>85</v>
      </c>
      <c r="E57" s="35" t="s">
        <v>86</v>
      </c>
      <c r="F57" s="35" t="s">
        <v>87</v>
      </c>
      <c r="G57" s="35" t="s">
        <v>88</v>
      </c>
      <c r="H57" s="35" t="s">
        <v>89</v>
      </c>
      <c r="I57" s="40"/>
      <c r="J57" s="40"/>
    </row>
    <row r="58" spans="1:33" ht="15" x14ac:dyDescent="0.3">
      <c r="A58" s="794"/>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5" x14ac:dyDescent="0.3">
      <c r="A59" s="794"/>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x14ac:dyDescent="0.3">
      <c r="A60" s="794"/>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5" x14ac:dyDescent="0.3">
      <c r="A61" s="794"/>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5" x14ac:dyDescent="0.3">
      <c r="A62" s="794"/>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5" x14ac:dyDescent="0.3">
      <c r="A63" s="794"/>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5" x14ac:dyDescent="0.3">
      <c r="A64" s="794"/>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5" x14ac:dyDescent="0.3">
      <c r="A65" s="794"/>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x14ac:dyDescent="0.3">
      <c r="A66" s="794"/>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x14ac:dyDescent="0.3">
      <c r="A67" s="794"/>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x14ac:dyDescent="0.3">
      <c r="A68" s="794"/>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x14ac:dyDescent="0.3">
      <c r="A69" s="794"/>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x14ac:dyDescent="0.35">
      <c r="A70" s="794"/>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x14ac:dyDescent="0.3">
      <c r="A71" s="794"/>
      <c r="B71" s="40"/>
      <c r="C71" s="40"/>
      <c r="D71" s="40"/>
      <c r="E71" s="40"/>
      <c r="F71" s="40"/>
      <c r="G71" s="40"/>
      <c r="H71" s="40"/>
      <c r="I71" s="40"/>
      <c r="J71" s="40"/>
    </row>
    <row r="72" spans="1:10" ht="15.75" customHeight="1" x14ac:dyDescent="0.3">
      <c r="A72" s="794"/>
      <c r="B72" s="40"/>
      <c r="C72" s="40"/>
      <c r="D72" s="40"/>
      <c r="E72" s="40"/>
      <c r="F72" s="40"/>
      <c r="G72" s="40"/>
      <c r="H72" s="40"/>
      <c r="I72" s="40"/>
      <c r="J72" s="40"/>
    </row>
    <row r="73" spans="1:10" ht="10.9" customHeight="1" thickBot="1" x14ac:dyDescent="0.35">
      <c r="A73" s="794"/>
      <c r="B73" s="40"/>
      <c r="C73" s="40"/>
      <c r="D73" s="40"/>
      <c r="E73" s="40"/>
      <c r="F73" s="40"/>
      <c r="G73" s="40"/>
      <c r="H73" s="40"/>
      <c r="I73" s="40"/>
      <c r="J73" s="40"/>
    </row>
    <row r="74" spans="1:10" ht="18" thickBot="1" x14ac:dyDescent="0.4">
      <c r="A74" s="794"/>
      <c r="B74" s="805" t="s">
        <v>90</v>
      </c>
      <c r="C74" s="805"/>
      <c r="D74" s="805"/>
      <c r="E74" s="805"/>
      <c r="F74" s="805"/>
      <c r="G74" s="805"/>
      <c r="H74" s="805"/>
      <c r="I74" s="40"/>
      <c r="J74" s="40"/>
    </row>
    <row r="75" spans="1:10" ht="33.65" customHeight="1" thickBot="1" x14ac:dyDescent="0.35">
      <c r="A75" s="794"/>
      <c r="B75" s="35"/>
      <c r="C75" s="788" t="s">
        <v>56</v>
      </c>
      <c r="D75" s="788"/>
      <c r="E75" s="788" t="s">
        <v>91</v>
      </c>
      <c r="F75" s="788"/>
      <c r="G75" s="788" t="s">
        <v>92</v>
      </c>
      <c r="H75" s="788"/>
      <c r="I75" s="40"/>
      <c r="J75" s="40"/>
    </row>
    <row r="76" spans="1:10" ht="45.65" customHeight="1" x14ac:dyDescent="0.3">
      <c r="A76" s="794"/>
      <c r="B76" s="36" t="s">
        <v>59</v>
      </c>
      <c r="C76" s="324" t="s">
        <v>60</v>
      </c>
      <c r="D76" s="324" t="s">
        <v>61</v>
      </c>
      <c r="E76" s="324" t="s">
        <v>93</v>
      </c>
      <c r="F76" s="324" t="s">
        <v>94</v>
      </c>
      <c r="G76" s="324" t="s">
        <v>62</v>
      </c>
      <c r="H76" s="324" t="s">
        <v>63</v>
      </c>
      <c r="I76" s="40"/>
      <c r="J76" s="40"/>
    </row>
    <row r="77" spans="1:10" ht="15.75" customHeight="1" x14ac:dyDescent="0.3">
      <c r="A77" s="794"/>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x14ac:dyDescent="0.3">
      <c r="A78" s="794"/>
      <c r="B78" s="37" t="s">
        <v>70</v>
      </c>
      <c r="C78" s="466">
        <f t="shared" si="8"/>
        <v>8.0000000000000004E-4</v>
      </c>
      <c r="D78" s="466">
        <f t="shared" si="8"/>
        <v>1.6000000000000001E-3</v>
      </c>
      <c r="E78" s="466">
        <f t="shared" si="8"/>
        <v>0</v>
      </c>
      <c r="F78" s="466">
        <f t="shared" si="8"/>
        <v>0</v>
      </c>
      <c r="G78" s="466">
        <f t="shared" si="8"/>
        <v>-8.0000000000000004E-4</v>
      </c>
      <c r="H78" s="467">
        <f t="shared" si="8"/>
        <v>-1.6000000000000001E-3</v>
      </c>
      <c r="I78" s="40"/>
      <c r="J78" s="40"/>
    </row>
    <row r="79" spans="1:10" ht="15.75" customHeight="1" x14ac:dyDescent="0.3">
      <c r="A79" s="794"/>
      <c r="B79" s="37" t="s">
        <v>71</v>
      </c>
      <c r="C79" s="466">
        <f t="shared" si="8"/>
        <v>0</v>
      </c>
      <c r="D79" s="466">
        <f t="shared" si="8"/>
        <v>0</v>
      </c>
      <c r="E79" s="466">
        <f t="shared" si="8"/>
        <v>0</v>
      </c>
      <c r="F79" s="466">
        <f t="shared" si="8"/>
        <v>0</v>
      </c>
      <c r="G79" s="466">
        <f t="shared" si="8"/>
        <v>0</v>
      </c>
      <c r="H79" s="467">
        <f t="shared" si="8"/>
        <v>0</v>
      </c>
      <c r="I79" s="40"/>
      <c r="J79" s="40"/>
    </row>
    <row r="80" spans="1:10" ht="15.75" customHeight="1" x14ac:dyDescent="0.3">
      <c r="A80" s="794"/>
      <c r="B80" s="37" t="s">
        <v>72</v>
      </c>
      <c r="C80" s="466">
        <f t="shared" si="8"/>
        <v>0</v>
      </c>
      <c r="D80" s="466">
        <f t="shared" si="8"/>
        <v>0</v>
      </c>
      <c r="E80" s="466">
        <f t="shared" si="8"/>
        <v>0</v>
      </c>
      <c r="F80" s="466">
        <f t="shared" si="8"/>
        <v>0</v>
      </c>
      <c r="G80" s="466">
        <f t="shared" si="8"/>
        <v>0</v>
      </c>
      <c r="H80" s="467">
        <f t="shared" si="8"/>
        <v>0</v>
      </c>
      <c r="I80" s="40"/>
      <c r="J80" s="40"/>
    </row>
    <row r="81" spans="1:12" ht="15.75" customHeight="1" x14ac:dyDescent="0.3">
      <c r="A81" s="794"/>
      <c r="B81" s="37" t="s">
        <v>73</v>
      </c>
      <c r="C81" s="466">
        <f t="shared" si="8"/>
        <v>0</v>
      </c>
      <c r="D81" s="466">
        <f t="shared" si="8"/>
        <v>0</v>
      </c>
      <c r="E81" s="466">
        <f t="shared" si="8"/>
        <v>0</v>
      </c>
      <c r="F81" s="466">
        <f t="shared" si="8"/>
        <v>0</v>
      </c>
      <c r="G81" s="466">
        <f t="shared" si="8"/>
        <v>0</v>
      </c>
      <c r="H81" s="467">
        <f t="shared" si="8"/>
        <v>0</v>
      </c>
      <c r="I81" s="40"/>
      <c r="J81" s="40"/>
    </row>
    <row r="82" spans="1:12" ht="15.75" customHeight="1" x14ac:dyDescent="0.3">
      <c r="A82" s="794"/>
      <c r="B82" s="37" t="s">
        <v>74</v>
      </c>
      <c r="C82" s="466">
        <f t="shared" si="8"/>
        <v>0.44769999999999999</v>
      </c>
      <c r="D82" s="466">
        <f t="shared" si="8"/>
        <v>1.4599999999999998E-2</v>
      </c>
      <c r="E82" s="466">
        <f t="shared" si="8"/>
        <v>0.63162479999999999</v>
      </c>
      <c r="F82" s="466">
        <f t="shared" si="8"/>
        <v>0.67600177752251378</v>
      </c>
      <c r="G82" s="466">
        <f t="shared" si="8"/>
        <v>0.1839248</v>
      </c>
      <c r="H82" s="467">
        <f t="shared" si="8"/>
        <v>0.66140177752251383</v>
      </c>
      <c r="I82" s="40"/>
      <c r="J82" s="40"/>
    </row>
    <row r="83" spans="1:12" ht="15.75" customHeight="1" x14ac:dyDescent="0.3">
      <c r="A83" s="794"/>
      <c r="B83" s="37" t="s">
        <v>75</v>
      </c>
      <c r="C83" s="466">
        <f t="shared" si="8"/>
        <v>0</v>
      </c>
      <c r="D83" s="466">
        <f t="shared" si="8"/>
        <v>0</v>
      </c>
      <c r="E83" s="466">
        <f t="shared" si="8"/>
        <v>0</v>
      </c>
      <c r="F83" s="466">
        <f t="shared" si="8"/>
        <v>0</v>
      </c>
      <c r="G83" s="466">
        <f t="shared" si="8"/>
        <v>0</v>
      </c>
      <c r="H83" s="467">
        <f t="shared" si="8"/>
        <v>0</v>
      </c>
      <c r="I83" s="40"/>
      <c r="J83" s="40"/>
    </row>
    <row r="84" spans="1:12" ht="18" customHeight="1" x14ac:dyDescent="0.3">
      <c r="A84" s="794"/>
      <c r="B84" s="38" t="s">
        <v>76</v>
      </c>
      <c r="C84" s="466">
        <f t="shared" si="8"/>
        <v>0</v>
      </c>
      <c r="D84" s="466">
        <f t="shared" si="8"/>
        <v>0</v>
      </c>
      <c r="E84" s="466">
        <f t="shared" si="8"/>
        <v>0</v>
      </c>
      <c r="F84" s="466">
        <f t="shared" si="8"/>
        <v>0</v>
      </c>
      <c r="G84" s="466">
        <f t="shared" si="8"/>
        <v>0</v>
      </c>
      <c r="H84" s="467">
        <f t="shared" si="8"/>
        <v>0</v>
      </c>
      <c r="I84" s="40"/>
      <c r="J84" s="40"/>
    </row>
    <row r="85" spans="1:12" ht="15" x14ac:dyDescent="0.3">
      <c r="A85" s="794"/>
      <c r="B85" s="44" t="s">
        <v>77</v>
      </c>
      <c r="C85" s="466">
        <f t="shared" si="8"/>
        <v>0</v>
      </c>
      <c r="D85" s="466">
        <f t="shared" si="8"/>
        <v>0</v>
      </c>
      <c r="E85" s="466">
        <f t="shared" si="8"/>
        <v>0</v>
      </c>
      <c r="F85" s="466">
        <f t="shared" si="8"/>
        <v>0</v>
      </c>
      <c r="G85" s="466">
        <f t="shared" si="8"/>
        <v>0</v>
      </c>
      <c r="H85" s="467">
        <f t="shared" si="8"/>
        <v>0</v>
      </c>
      <c r="I85" s="40"/>
      <c r="J85" s="40"/>
    </row>
    <row r="86" spans="1:12" ht="15" x14ac:dyDescent="0.3">
      <c r="A86" s="794"/>
      <c r="B86" s="44" t="s">
        <v>78</v>
      </c>
      <c r="C86" s="466">
        <f t="shared" si="8"/>
        <v>0</v>
      </c>
      <c r="D86" s="466">
        <f t="shared" si="8"/>
        <v>0</v>
      </c>
      <c r="E86" s="466">
        <f t="shared" si="8"/>
        <v>0</v>
      </c>
      <c r="F86" s="466">
        <f t="shared" si="8"/>
        <v>0</v>
      </c>
      <c r="G86" s="466">
        <f t="shared" si="8"/>
        <v>0</v>
      </c>
      <c r="H86" s="467">
        <f t="shared" si="8"/>
        <v>0</v>
      </c>
      <c r="I86" s="40"/>
      <c r="J86" s="40"/>
    </row>
    <row r="87" spans="1:12" ht="15" x14ac:dyDescent="0.3">
      <c r="A87" s="794"/>
      <c r="B87" s="44" t="s">
        <v>79</v>
      </c>
      <c r="C87" s="466">
        <f t="shared" si="8"/>
        <v>0</v>
      </c>
      <c r="D87" s="466">
        <f t="shared" si="8"/>
        <v>0</v>
      </c>
      <c r="E87" s="466">
        <f t="shared" si="8"/>
        <v>0</v>
      </c>
      <c r="F87" s="466">
        <f t="shared" si="8"/>
        <v>0</v>
      </c>
      <c r="G87" s="466">
        <f t="shared" si="8"/>
        <v>0</v>
      </c>
      <c r="H87" s="467">
        <f t="shared" si="8"/>
        <v>0</v>
      </c>
      <c r="I87" s="40"/>
      <c r="J87" s="40"/>
    </row>
    <row r="88" spans="1:12" ht="15" x14ac:dyDescent="0.3">
      <c r="A88" s="794"/>
      <c r="B88" s="44" t="s">
        <v>80</v>
      </c>
      <c r="C88" s="466">
        <f t="shared" si="8"/>
        <v>0</v>
      </c>
      <c r="D88" s="466">
        <f t="shared" si="8"/>
        <v>0</v>
      </c>
      <c r="E88" s="466">
        <f t="shared" si="8"/>
        <v>0</v>
      </c>
      <c r="F88" s="466">
        <f t="shared" si="8"/>
        <v>0</v>
      </c>
      <c r="G88" s="466">
        <f t="shared" si="8"/>
        <v>0</v>
      </c>
      <c r="H88" s="467">
        <f t="shared" si="8"/>
        <v>0</v>
      </c>
      <c r="I88" s="40"/>
      <c r="J88" s="40"/>
    </row>
    <row r="89" spans="1:12" ht="15.5" thickBot="1" x14ac:dyDescent="0.35">
      <c r="A89" s="794"/>
      <c r="B89" s="45" t="s">
        <v>81</v>
      </c>
      <c r="C89" s="469">
        <f t="shared" si="8"/>
        <v>0</v>
      </c>
      <c r="D89" s="469">
        <f t="shared" si="8"/>
        <v>0</v>
      </c>
      <c r="E89" s="469">
        <f t="shared" si="8"/>
        <v>0</v>
      </c>
      <c r="F89" s="469">
        <f t="shared" si="8"/>
        <v>0</v>
      </c>
      <c r="G89" s="469">
        <f t="shared" si="8"/>
        <v>0</v>
      </c>
      <c r="H89" s="470">
        <f t="shared" si="8"/>
        <v>0</v>
      </c>
      <c r="I89" s="40"/>
      <c r="J89" s="40"/>
    </row>
    <row r="90" spans="1:12" ht="15" customHeight="1" x14ac:dyDescent="0.3">
      <c r="A90" s="794"/>
      <c r="B90" s="40"/>
      <c r="C90" s="40"/>
      <c r="D90" s="40"/>
      <c r="E90" s="40"/>
      <c r="F90" s="40"/>
      <c r="G90" s="40"/>
      <c r="H90" s="40"/>
      <c r="I90" s="40"/>
      <c r="J90" s="40"/>
    </row>
    <row r="91" spans="1:12" s="332" customFormat="1" ht="66" customHeight="1" thickBot="1" x14ac:dyDescent="0.35">
      <c r="A91" s="795"/>
    </row>
    <row r="92" spans="1:12" ht="37.9" customHeight="1" thickTop="1" thickBot="1" x14ac:dyDescent="0.35">
      <c r="A92" s="796" t="s">
        <v>95</v>
      </c>
    </row>
    <row r="93" spans="1:12" ht="25.5" thickBot="1" x14ac:dyDescent="0.55000000000000004">
      <c r="A93" s="797"/>
      <c r="B93" s="825" t="s">
        <v>96</v>
      </c>
      <c r="C93" s="826"/>
      <c r="D93" s="827"/>
    </row>
    <row r="94" spans="1:12" x14ac:dyDescent="0.3">
      <c r="A94" s="797"/>
    </row>
    <row r="95" spans="1:12" ht="15" customHeight="1" thickBot="1" x14ac:dyDescent="0.35">
      <c r="A95" s="797"/>
    </row>
    <row r="96" spans="1:12" ht="18" customHeight="1" thickBot="1" x14ac:dyDescent="0.4">
      <c r="A96" s="797"/>
      <c r="B96" s="805" t="s">
        <v>97</v>
      </c>
      <c r="C96" s="805"/>
      <c r="D96" s="805"/>
      <c r="E96" s="805"/>
      <c r="F96" s="805"/>
      <c r="G96" s="805"/>
      <c r="H96" s="805"/>
      <c r="J96" s="809" t="s">
        <v>98</v>
      </c>
      <c r="K96" s="810"/>
      <c r="L96" s="811"/>
    </row>
    <row r="97" spans="1:12" ht="16.149999999999999" customHeight="1" thickBot="1" x14ac:dyDescent="0.35">
      <c r="A97" s="797"/>
      <c r="B97" s="35"/>
      <c r="C97" s="788" t="s">
        <v>56</v>
      </c>
      <c r="D97" s="788"/>
      <c r="E97" s="788" t="s">
        <v>57</v>
      </c>
      <c r="F97" s="788"/>
      <c r="G97" s="788" t="s">
        <v>58</v>
      </c>
      <c r="H97" s="788"/>
      <c r="J97" s="812"/>
      <c r="K97" s="813"/>
      <c r="L97" s="814"/>
    </row>
    <row r="98" spans="1:12" ht="45.5" thickBot="1" x14ac:dyDescent="0.35">
      <c r="A98" s="797"/>
      <c r="B98" s="323" t="s">
        <v>99</v>
      </c>
      <c r="C98" s="35" t="s">
        <v>100</v>
      </c>
      <c r="D98" s="35" t="s">
        <v>61</v>
      </c>
      <c r="E98" s="35" t="s">
        <v>101</v>
      </c>
      <c r="F98" s="35" t="s">
        <v>102</v>
      </c>
      <c r="G98" s="35" t="s">
        <v>103</v>
      </c>
      <c r="H98" s="35" t="s">
        <v>104</v>
      </c>
      <c r="J98" s="815" t="s">
        <v>66</v>
      </c>
      <c r="K98" s="817" t="s">
        <v>105</v>
      </c>
      <c r="L98" s="819" t="s">
        <v>106</v>
      </c>
    </row>
    <row r="99" spans="1:12" ht="15" x14ac:dyDescent="0.3">
      <c r="A99" s="797"/>
      <c r="B99" s="328" t="s">
        <v>107</v>
      </c>
      <c r="C99" s="464">
        <f>'G-2 Habitat groups'!E146</f>
        <v>0</v>
      </c>
      <c r="D99" s="464">
        <f>'G-2 Habitat groups'!F146</f>
        <v>0</v>
      </c>
      <c r="E99" s="464">
        <f>'G-2 Habitat groups'!O146</f>
        <v>0</v>
      </c>
      <c r="F99" s="464">
        <f>'G-2 Habitat groups'!P146</f>
        <v>0</v>
      </c>
      <c r="G99" s="464">
        <f>E99-C99</f>
        <v>0</v>
      </c>
      <c r="H99" s="464">
        <f t="shared" ref="H99:H111" si="9">F99-D99</f>
        <v>0</v>
      </c>
      <c r="J99" s="816"/>
      <c r="K99" s="818"/>
      <c r="L99" s="820"/>
    </row>
    <row r="100" spans="1:12" ht="15" x14ac:dyDescent="0.3">
      <c r="A100" s="797"/>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801" t="str">
        <f>'G-1 All Habitats'!$V$3</f>
        <v>V.High</v>
      </c>
      <c r="K100" s="803">
        <f>SUMIF('B-1 Site Hedge Baseline'!$F$10:$F$257,'Detailed Results'!J100,'B-1 Site Hedge Baseline'!$T$10:$T$257)+SUMIF('E-1 Off Site Hedge Baseline'!$F$10:$F$257,'Detailed Results'!J100,'E-1 Off Site Hedge Baseline'!$T$10:$T$257)</f>
        <v>0</v>
      </c>
      <c r="L100" s="807" t="str">
        <f>IF(K100=0,"",(K100/(SUM($K$100:$K$109)))*100)</f>
        <v/>
      </c>
    </row>
    <row r="101" spans="1:12" ht="15" x14ac:dyDescent="0.3">
      <c r="A101" s="797"/>
      <c r="B101" s="329" t="s">
        <v>109</v>
      </c>
      <c r="C101" s="464">
        <f>'G-2 Habitat groups'!E148</f>
        <v>0</v>
      </c>
      <c r="D101" s="464">
        <f>'G-2 Habitat groups'!F148</f>
        <v>0</v>
      </c>
      <c r="E101" s="464">
        <f>'G-2 Habitat groups'!O148</f>
        <v>0</v>
      </c>
      <c r="F101" s="464">
        <f>'G-2 Habitat groups'!P148</f>
        <v>0</v>
      </c>
      <c r="G101" s="464">
        <f t="shared" si="10"/>
        <v>0</v>
      </c>
      <c r="H101" s="464">
        <f t="shared" si="9"/>
        <v>0</v>
      </c>
      <c r="J101" s="802"/>
      <c r="K101" s="804"/>
      <c r="L101" s="808"/>
    </row>
    <row r="102" spans="1:12" ht="15" x14ac:dyDescent="0.3">
      <c r="A102" s="797"/>
      <c r="B102" s="329" t="s">
        <v>110</v>
      </c>
      <c r="C102" s="464">
        <f>'G-2 Habitat groups'!E149</f>
        <v>0</v>
      </c>
      <c r="D102" s="464">
        <f>'G-2 Habitat groups'!F149</f>
        <v>0</v>
      </c>
      <c r="E102" s="464">
        <f>'G-2 Habitat groups'!O149</f>
        <v>0</v>
      </c>
      <c r="F102" s="464">
        <f>'G-2 Habitat groups'!P149</f>
        <v>0</v>
      </c>
      <c r="G102" s="464">
        <f t="shared" si="10"/>
        <v>0</v>
      </c>
      <c r="H102" s="464">
        <f t="shared" si="9"/>
        <v>0</v>
      </c>
      <c r="J102" s="801" t="str">
        <f>'G-1 All Habitats'!$V$4</f>
        <v>High</v>
      </c>
      <c r="K102" s="803">
        <f>SUMIF('B-1 Site Hedge Baseline'!$F$10:$F$257,'Detailed Results'!J102,'B-1 Site Hedge Baseline'!$T$10:$T$257)+SUMIF('E-1 Off Site Hedge Baseline'!$F$10:$F$257,'Detailed Results'!J102,'E-1 Off Site Hedge Baseline'!$T$10:$T$257)</f>
        <v>0</v>
      </c>
      <c r="L102" s="807" t="str">
        <f t="shared" ref="L102" si="11">IF(K102=0,"",(K102/(SUM($K$100:$K$109)))*100)</f>
        <v/>
      </c>
    </row>
    <row r="103" spans="1:12" ht="15" x14ac:dyDescent="0.3">
      <c r="A103" s="797"/>
      <c r="B103" s="329" t="s">
        <v>111</v>
      </c>
      <c r="C103" s="464">
        <f>'G-2 Habitat groups'!E150</f>
        <v>0</v>
      </c>
      <c r="D103" s="464">
        <f>'G-2 Habitat groups'!F150</f>
        <v>0</v>
      </c>
      <c r="E103" s="464">
        <f>'G-2 Habitat groups'!O150</f>
        <v>0</v>
      </c>
      <c r="F103" s="464">
        <f>'G-2 Habitat groups'!P150</f>
        <v>0</v>
      </c>
      <c r="G103" s="464">
        <f t="shared" si="10"/>
        <v>0</v>
      </c>
      <c r="H103" s="464">
        <f t="shared" si="9"/>
        <v>0</v>
      </c>
      <c r="J103" s="802"/>
      <c r="K103" s="804"/>
      <c r="L103" s="808"/>
    </row>
    <row r="104" spans="1:12" ht="15" x14ac:dyDescent="0.3">
      <c r="A104" s="797"/>
      <c r="B104" s="329" t="s">
        <v>112</v>
      </c>
      <c r="C104" s="464">
        <f>'G-2 Habitat groups'!E151</f>
        <v>0</v>
      </c>
      <c r="D104" s="464">
        <f>'G-2 Habitat groups'!F151</f>
        <v>0</v>
      </c>
      <c r="E104" s="464">
        <f>'G-2 Habitat groups'!O151</f>
        <v>0</v>
      </c>
      <c r="F104" s="464">
        <f>'G-2 Habitat groups'!P151</f>
        <v>0</v>
      </c>
      <c r="G104" s="464">
        <f t="shared" si="10"/>
        <v>0</v>
      </c>
      <c r="H104" s="464">
        <f t="shared" si="9"/>
        <v>0</v>
      </c>
      <c r="J104" s="801" t="str">
        <f>'G-1 All Habitats'!$V$5</f>
        <v>Medium</v>
      </c>
      <c r="K104" s="803">
        <f>SUMIF('B-1 Site Hedge Baseline'!$F$10:$F$257,'Detailed Results'!J104,'B-1 Site Hedge Baseline'!$T$10:$T$257)+SUMIF('E-1 Off Site Hedge Baseline'!$F$10:$F$257,'Detailed Results'!J104,'E-1 Off Site Hedge Baseline'!$T$10:$T$257)</f>
        <v>0</v>
      </c>
      <c r="L104" s="807" t="str">
        <f t="shared" ref="L104" si="12">IF(K104=0,"",(K104/(SUM($K$100:$K$109)))*100)</f>
        <v/>
      </c>
    </row>
    <row r="105" spans="1:12" ht="15" x14ac:dyDescent="0.3">
      <c r="A105" s="797"/>
      <c r="B105" s="329" t="s">
        <v>113</v>
      </c>
      <c r="C105" s="464">
        <f>'G-2 Habitat groups'!E152</f>
        <v>0</v>
      </c>
      <c r="D105" s="464">
        <f>'G-2 Habitat groups'!F152</f>
        <v>0</v>
      </c>
      <c r="E105" s="464">
        <f>'G-2 Habitat groups'!O152</f>
        <v>0</v>
      </c>
      <c r="F105" s="464">
        <f>'G-2 Habitat groups'!P152</f>
        <v>0</v>
      </c>
      <c r="G105" s="464">
        <f t="shared" si="10"/>
        <v>0</v>
      </c>
      <c r="H105" s="464">
        <f t="shared" si="9"/>
        <v>0</v>
      </c>
      <c r="J105" s="802"/>
      <c r="K105" s="804"/>
      <c r="L105" s="808"/>
    </row>
    <row r="106" spans="1:12" ht="15" x14ac:dyDescent="0.3">
      <c r="A106" s="797"/>
      <c r="B106" s="330" t="s">
        <v>114</v>
      </c>
      <c r="C106" s="464">
        <f>'G-2 Habitat groups'!E153</f>
        <v>0</v>
      </c>
      <c r="D106" s="464">
        <f>'G-2 Habitat groups'!F153</f>
        <v>0</v>
      </c>
      <c r="E106" s="464">
        <f>'G-2 Habitat groups'!O153</f>
        <v>0</v>
      </c>
      <c r="F106" s="464">
        <f>'G-2 Habitat groups'!P153</f>
        <v>0</v>
      </c>
      <c r="G106" s="464">
        <f t="shared" si="10"/>
        <v>0</v>
      </c>
      <c r="H106" s="464">
        <f t="shared" si="9"/>
        <v>0</v>
      </c>
      <c r="J106" s="801" t="str">
        <f>'G-1 All Habitats'!$V$6</f>
        <v>Low</v>
      </c>
      <c r="K106" s="803">
        <f>SUMIF('B-1 Site Hedge Baseline'!$F$10:$F$257,'Detailed Results'!J106,'B-1 Site Hedge Baseline'!$T$10:$T$257)+SUMIF('E-1 Off Site Hedge Baseline'!$F$10:$F$257,'Detailed Results'!J106,'E-1 Off Site Hedge Baseline'!$T$10:$T$257)</f>
        <v>0</v>
      </c>
      <c r="L106" s="807" t="str">
        <f t="shared" ref="L106" si="13">IF(K106=0,"",(K106/(SUM($K$100:$K$109)))*100)</f>
        <v/>
      </c>
    </row>
    <row r="107" spans="1:12" ht="15" x14ac:dyDescent="0.3">
      <c r="A107" s="797"/>
      <c r="B107" s="331" t="s">
        <v>115</v>
      </c>
      <c r="C107" s="464">
        <f>'G-2 Habitat groups'!E154</f>
        <v>0</v>
      </c>
      <c r="D107" s="464">
        <f>'G-2 Habitat groups'!F154</f>
        <v>0</v>
      </c>
      <c r="E107" s="464">
        <f>'G-2 Habitat groups'!O154</f>
        <v>0</v>
      </c>
      <c r="F107" s="464">
        <f>'G-2 Habitat groups'!P154</f>
        <v>0</v>
      </c>
      <c r="G107" s="464">
        <f t="shared" si="10"/>
        <v>0</v>
      </c>
      <c r="H107" s="464">
        <f t="shared" si="9"/>
        <v>0</v>
      </c>
      <c r="J107" s="802"/>
      <c r="K107" s="804"/>
      <c r="L107" s="808"/>
    </row>
    <row r="108" spans="1:12" ht="15" x14ac:dyDescent="0.3">
      <c r="A108" s="797"/>
      <c r="B108" s="331" t="s">
        <v>116</v>
      </c>
      <c r="C108" s="464">
        <f>'G-2 Habitat groups'!E155</f>
        <v>0</v>
      </c>
      <c r="D108" s="464">
        <f>'G-2 Habitat groups'!F155</f>
        <v>0</v>
      </c>
      <c r="E108" s="464">
        <f>'G-2 Habitat groups'!O155</f>
        <v>2.5000000000000001E-2</v>
      </c>
      <c r="F108" s="464">
        <f>'G-2 Habitat groups'!P155</f>
        <v>4.4931606250000006E-2</v>
      </c>
      <c r="G108" s="464">
        <f t="shared" si="10"/>
        <v>2.5000000000000001E-2</v>
      </c>
      <c r="H108" s="464">
        <f t="shared" si="9"/>
        <v>4.4931606250000006E-2</v>
      </c>
      <c r="J108" s="801" t="str">
        <f>'G-1 All Habitats'!$V$7</f>
        <v>V.Low</v>
      </c>
      <c r="K108" s="803">
        <f>SUMIF('B-1 Site Hedge Baseline'!$F$10:$F$257,'Detailed Results'!J108,'B-1 Site Hedge Baseline'!$T$10:$T$257)+SUMIF('E-1 Off Site Hedge Baseline'!$F$10:$F$257,'Detailed Results'!J108,'E-1 Off Site Hedge Baseline'!$T$10:$T$257)</f>
        <v>0</v>
      </c>
      <c r="L108" s="807" t="str">
        <f t="shared" ref="L108" si="14">IF(K108=0,"",(K108/(SUM($K$100:$K$109)))*100)</f>
        <v/>
      </c>
    </row>
    <row r="109" spans="1:12" ht="15.5" thickBot="1" x14ac:dyDescent="0.35">
      <c r="A109" s="797"/>
      <c r="B109" s="331" t="s">
        <v>117</v>
      </c>
      <c r="C109" s="464">
        <f>'G-2 Habitat groups'!E156</f>
        <v>0</v>
      </c>
      <c r="D109" s="464">
        <f>'G-2 Habitat groups'!F156</f>
        <v>0</v>
      </c>
      <c r="E109" s="464">
        <f>'G-2 Habitat groups'!O156</f>
        <v>0</v>
      </c>
      <c r="F109" s="464">
        <f>'G-2 Habitat groups'!P156</f>
        <v>0</v>
      </c>
      <c r="G109" s="464">
        <f t="shared" si="10"/>
        <v>0</v>
      </c>
      <c r="H109" s="464">
        <f t="shared" si="9"/>
        <v>0</v>
      </c>
      <c r="J109" s="806"/>
      <c r="K109" s="804"/>
      <c r="L109" s="808"/>
    </row>
    <row r="110" spans="1:12" ht="15" x14ac:dyDescent="0.3">
      <c r="A110" s="797"/>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5" x14ac:dyDescent="0.3">
      <c r="A111" s="797"/>
      <c r="B111" s="331" t="s">
        <v>119</v>
      </c>
      <c r="C111" s="464">
        <f>'G-2 Habitat groups'!E158</f>
        <v>0</v>
      </c>
      <c r="D111" s="464">
        <f>'G-2 Habitat groups'!F158</f>
        <v>0</v>
      </c>
      <c r="E111" s="464">
        <f>'G-2 Habitat groups'!O158</f>
        <v>0</v>
      </c>
      <c r="F111" s="464">
        <f>'G-2 Habitat groups'!P158</f>
        <v>0</v>
      </c>
      <c r="G111" s="464">
        <f t="shared" si="10"/>
        <v>0</v>
      </c>
      <c r="H111" s="464">
        <f t="shared" si="9"/>
        <v>0</v>
      </c>
    </row>
    <row r="112" spans="1:12" x14ac:dyDescent="0.3">
      <c r="A112" s="797"/>
    </row>
    <row r="113" spans="1:8" x14ac:dyDescent="0.3">
      <c r="A113" s="797"/>
    </row>
    <row r="114" spans="1:8" x14ac:dyDescent="0.3">
      <c r="A114" s="797"/>
    </row>
    <row r="115" spans="1:8" ht="14.5" thickBot="1" x14ac:dyDescent="0.35">
      <c r="A115" s="797"/>
    </row>
    <row r="116" spans="1:8" ht="18" thickBot="1" x14ac:dyDescent="0.4">
      <c r="A116" s="797"/>
      <c r="B116" s="805" t="s">
        <v>120</v>
      </c>
      <c r="C116" s="805"/>
      <c r="D116" s="805"/>
      <c r="E116" s="805"/>
      <c r="F116" s="805"/>
      <c r="G116" s="805"/>
      <c r="H116" s="805"/>
    </row>
    <row r="117" spans="1:8" ht="15.5" thickBot="1" x14ac:dyDescent="0.35">
      <c r="A117" s="797"/>
      <c r="B117" s="35"/>
      <c r="C117" s="788" t="s">
        <v>121</v>
      </c>
      <c r="D117" s="788"/>
      <c r="E117" s="788" t="s">
        <v>122</v>
      </c>
      <c r="F117" s="788"/>
      <c r="G117" s="788" t="s">
        <v>123</v>
      </c>
      <c r="H117" s="788"/>
    </row>
    <row r="118" spans="1:8" ht="45.5" thickBot="1" x14ac:dyDescent="0.35">
      <c r="A118" s="797"/>
      <c r="B118" s="323" t="s">
        <v>99</v>
      </c>
      <c r="C118" s="35" t="s">
        <v>124</v>
      </c>
      <c r="D118" s="35" t="s">
        <v>125</v>
      </c>
      <c r="E118" s="35" t="s">
        <v>126</v>
      </c>
      <c r="F118" s="35" t="s">
        <v>127</v>
      </c>
      <c r="G118" s="35" t="s">
        <v>128</v>
      </c>
      <c r="H118" s="35" t="s">
        <v>129</v>
      </c>
    </row>
    <row r="119" spans="1:8" ht="15" x14ac:dyDescent="0.3">
      <c r="A119" s="797"/>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5" x14ac:dyDescent="0.3">
      <c r="A120" s="797"/>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5" x14ac:dyDescent="0.3">
      <c r="A121" s="797"/>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5" x14ac:dyDescent="0.3">
      <c r="A122" s="797"/>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5" x14ac:dyDescent="0.3">
      <c r="A123" s="797"/>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5" x14ac:dyDescent="0.3">
      <c r="A124" s="797"/>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5" x14ac:dyDescent="0.3">
      <c r="A125" s="797"/>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5" x14ac:dyDescent="0.3">
      <c r="A126" s="797"/>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5" x14ac:dyDescent="0.3">
      <c r="A127" s="797"/>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5" x14ac:dyDescent="0.3">
      <c r="A128" s="797"/>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5" x14ac:dyDescent="0.3">
      <c r="A129" s="797"/>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5" x14ac:dyDescent="0.3">
      <c r="A130" s="797"/>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5" x14ac:dyDescent="0.3">
      <c r="A131" s="797"/>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x14ac:dyDescent="0.3">
      <c r="A132" s="797"/>
      <c r="B132" s="40"/>
      <c r="C132" s="40"/>
    </row>
    <row r="133" spans="1:8" x14ac:dyDescent="0.3">
      <c r="A133" s="797"/>
      <c r="B133" s="40"/>
      <c r="C133" s="40"/>
    </row>
    <row r="134" spans="1:8" x14ac:dyDescent="0.3">
      <c r="A134" s="797"/>
      <c r="B134" s="40"/>
      <c r="C134" s="40"/>
    </row>
    <row r="135" spans="1:8" ht="14.5" thickBot="1" x14ac:dyDescent="0.35">
      <c r="A135" s="797"/>
      <c r="B135" s="40"/>
      <c r="C135" s="40"/>
    </row>
    <row r="136" spans="1:8" ht="18" thickBot="1" x14ac:dyDescent="0.4">
      <c r="A136" s="797"/>
      <c r="B136" s="805" t="s">
        <v>131</v>
      </c>
      <c r="C136" s="805"/>
      <c r="D136" s="805"/>
      <c r="E136" s="805"/>
      <c r="F136" s="805"/>
      <c r="G136" s="805"/>
      <c r="H136" s="805"/>
    </row>
    <row r="137" spans="1:8" ht="15.5" thickBot="1" x14ac:dyDescent="0.35">
      <c r="A137" s="797"/>
      <c r="B137" s="35"/>
      <c r="C137" s="788" t="s">
        <v>56</v>
      </c>
      <c r="D137" s="788"/>
      <c r="E137" s="788" t="s">
        <v>57</v>
      </c>
      <c r="F137" s="788"/>
      <c r="G137" s="788" t="s">
        <v>58</v>
      </c>
      <c r="H137" s="788"/>
    </row>
    <row r="138" spans="1:8" ht="30.5" thickBot="1" x14ac:dyDescent="0.35">
      <c r="A138" s="797"/>
      <c r="B138" s="323" t="s">
        <v>99</v>
      </c>
      <c r="C138" s="35" t="s">
        <v>132</v>
      </c>
      <c r="D138" s="35" t="s">
        <v>61</v>
      </c>
      <c r="E138" s="35" t="s">
        <v>133</v>
      </c>
      <c r="F138" s="35" t="s">
        <v>63</v>
      </c>
      <c r="G138" s="35" t="s">
        <v>134</v>
      </c>
      <c r="H138" s="35" t="s">
        <v>65</v>
      </c>
    </row>
    <row r="139" spans="1:8" ht="15" x14ac:dyDescent="0.3">
      <c r="A139" s="797"/>
      <c r="B139" s="335" t="s">
        <v>107</v>
      </c>
      <c r="C139" s="466">
        <f>C99+C119</f>
        <v>0</v>
      </c>
      <c r="D139" s="466">
        <f t="shared" ref="D139:H139" si="17">D99+D119</f>
        <v>0</v>
      </c>
      <c r="E139" s="466">
        <f t="shared" si="17"/>
        <v>0</v>
      </c>
      <c r="F139" s="466">
        <f t="shared" si="17"/>
        <v>0</v>
      </c>
      <c r="G139" s="466">
        <f>G99+G119</f>
        <v>0</v>
      </c>
      <c r="H139" s="466">
        <f t="shared" si="17"/>
        <v>0</v>
      </c>
    </row>
    <row r="140" spans="1:8" ht="15" x14ac:dyDescent="0.3">
      <c r="A140" s="797"/>
      <c r="B140" s="336" t="s">
        <v>108</v>
      </c>
      <c r="C140" s="466">
        <f t="shared" ref="C140:H140" si="18">C100+C120</f>
        <v>0</v>
      </c>
      <c r="D140" s="466">
        <f t="shared" si="18"/>
        <v>0</v>
      </c>
      <c r="E140" s="466">
        <f t="shared" si="18"/>
        <v>0</v>
      </c>
      <c r="F140" s="466">
        <f t="shared" si="18"/>
        <v>0</v>
      </c>
      <c r="G140" s="466">
        <f t="shared" si="18"/>
        <v>0</v>
      </c>
      <c r="H140" s="466">
        <f t="shared" si="18"/>
        <v>0</v>
      </c>
    </row>
    <row r="141" spans="1:8" ht="15" x14ac:dyDescent="0.3">
      <c r="A141" s="797"/>
      <c r="B141" s="336" t="s">
        <v>109</v>
      </c>
      <c r="C141" s="466">
        <f>C101+C121</f>
        <v>0</v>
      </c>
      <c r="D141" s="466">
        <f t="shared" ref="D141:H141" si="19">D101+D121</f>
        <v>0</v>
      </c>
      <c r="E141" s="466">
        <f t="shared" si="19"/>
        <v>0</v>
      </c>
      <c r="F141" s="466">
        <f t="shared" si="19"/>
        <v>0</v>
      </c>
      <c r="G141" s="466">
        <f t="shared" si="19"/>
        <v>0</v>
      </c>
      <c r="H141" s="466">
        <f t="shared" si="19"/>
        <v>0</v>
      </c>
    </row>
    <row r="142" spans="1:8" ht="15" x14ac:dyDescent="0.3">
      <c r="A142" s="797"/>
      <c r="B142" s="336" t="s">
        <v>110</v>
      </c>
      <c r="C142" s="466">
        <f t="shared" ref="C142:H142" si="20">C102+C122</f>
        <v>0</v>
      </c>
      <c r="D142" s="466">
        <f t="shared" si="20"/>
        <v>0</v>
      </c>
      <c r="E142" s="466">
        <f t="shared" si="20"/>
        <v>0</v>
      </c>
      <c r="F142" s="466">
        <f t="shared" si="20"/>
        <v>0</v>
      </c>
      <c r="G142" s="466">
        <f t="shared" si="20"/>
        <v>0</v>
      </c>
      <c r="H142" s="466">
        <f t="shared" si="20"/>
        <v>0</v>
      </c>
    </row>
    <row r="143" spans="1:8" ht="15" x14ac:dyDescent="0.3">
      <c r="A143" s="797"/>
      <c r="B143" s="336" t="s">
        <v>111</v>
      </c>
      <c r="C143" s="466">
        <f t="shared" ref="C143:H143" si="21">C103+C123</f>
        <v>0</v>
      </c>
      <c r="D143" s="466">
        <f t="shared" si="21"/>
        <v>0</v>
      </c>
      <c r="E143" s="466">
        <f t="shared" si="21"/>
        <v>0</v>
      </c>
      <c r="F143" s="466">
        <f t="shared" si="21"/>
        <v>0</v>
      </c>
      <c r="G143" s="466">
        <f t="shared" si="21"/>
        <v>0</v>
      </c>
      <c r="H143" s="466">
        <f t="shared" si="21"/>
        <v>0</v>
      </c>
    </row>
    <row r="144" spans="1:8" ht="15" x14ac:dyDescent="0.3">
      <c r="A144" s="797"/>
      <c r="B144" s="336" t="s">
        <v>112</v>
      </c>
      <c r="C144" s="466">
        <f t="shared" ref="C144:H144" si="22">C104+C124</f>
        <v>0</v>
      </c>
      <c r="D144" s="466">
        <f t="shared" si="22"/>
        <v>0</v>
      </c>
      <c r="E144" s="466">
        <f t="shared" si="22"/>
        <v>0</v>
      </c>
      <c r="F144" s="466">
        <f t="shared" si="22"/>
        <v>0</v>
      </c>
      <c r="G144" s="466">
        <f t="shared" si="22"/>
        <v>0</v>
      </c>
      <c r="H144" s="466">
        <f t="shared" si="22"/>
        <v>0</v>
      </c>
    </row>
    <row r="145" spans="1:12" ht="15" x14ac:dyDescent="0.3">
      <c r="A145" s="797"/>
      <c r="B145" s="336" t="s">
        <v>113</v>
      </c>
      <c r="C145" s="466">
        <f t="shared" ref="C145:H145" si="23">C105+C125</f>
        <v>0</v>
      </c>
      <c r="D145" s="466">
        <f t="shared" si="23"/>
        <v>0</v>
      </c>
      <c r="E145" s="466">
        <f t="shared" si="23"/>
        <v>0</v>
      </c>
      <c r="F145" s="466">
        <f t="shared" si="23"/>
        <v>0</v>
      </c>
      <c r="G145" s="466">
        <f t="shared" si="23"/>
        <v>0</v>
      </c>
      <c r="H145" s="466">
        <f t="shared" si="23"/>
        <v>0</v>
      </c>
    </row>
    <row r="146" spans="1:12" ht="15" x14ac:dyDescent="0.3">
      <c r="A146" s="797"/>
      <c r="B146" s="336" t="s">
        <v>114</v>
      </c>
      <c r="C146" s="466">
        <f t="shared" ref="C146:H146" si="24">C106+C126</f>
        <v>0</v>
      </c>
      <c r="D146" s="466">
        <f t="shared" si="24"/>
        <v>0</v>
      </c>
      <c r="E146" s="466">
        <f t="shared" si="24"/>
        <v>0</v>
      </c>
      <c r="F146" s="466">
        <f t="shared" si="24"/>
        <v>0</v>
      </c>
      <c r="G146" s="466">
        <f t="shared" si="24"/>
        <v>0</v>
      </c>
      <c r="H146" s="466">
        <f t="shared" si="24"/>
        <v>0</v>
      </c>
    </row>
    <row r="147" spans="1:12" ht="15" x14ac:dyDescent="0.3">
      <c r="A147" s="797"/>
      <c r="B147" s="331" t="s">
        <v>115</v>
      </c>
      <c r="C147" s="466">
        <f t="shared" ref="C147:H147" si="25">C107+C127</f>
        <v>0</v>
      </c>
      <c r="D147" s="466">
        <f t="shared" si="25"/>
        <v>0</v>
      </c>
      <c r="E147" s="466">
        <f t="shared" si="25"/>
        <v>0</v>
      </c>
      <c r="F147" s="466">
        <f t="shared" si="25"/>
        <v>0</v>
      </c>
      <c r="G147" s="466">
        <f t="shared" si="25"/>
        <v>0</v>
      </c>
      <c r="H147" s="466">
        <f t="shared" si="25"/>
        <v>0</v>
      </c>
    </row>
    <row r="148" spans="1:12" ht="15" x14ac:dyDescent="0.3">
      <c r="A148" s="797"/>
      <c r="B148" s="331" t="s">
        <v>116</v>
      </c>
      <c r="C148" s="466">
        <f t="shared" ref="C148:H148" si="26">C108+C128</f>
        <v>0</v>
      </c>
      <c r="D148" s="466">
        <f t="shared" si="26"/>
        <v>0</v>
      </c>
      <c r="E148" s="466">
        <f t="shared" si="26"/>
        <v>2.5000000000000001E-2</v>
      </c>
      <c r="F148" s="466">
        <f t="shared" si="26"/>
        <v>4.4931606250000006E-2</v>
      </c>
      <c r="G148" s="466">
        <f t="shared" si="26"/>
        <v>2.5000000000000001E-2</v>
      </c>
      <c r="H148" s="466">
        <f t="shared" si="26"/>
        <v>4.4931606250000006E-2</v>
      </c>
    </row>
    <row r="149" spans="1:12" ht="15" x14ac:dyDescent="0.3">
      <c r="A149" s="797"/>
      <c r="B149" s="331" t="s">
        <v>117</v>
      </c>
      <c r="C149" s="466">
        <f t="shared" ref="C149:H149" si="27">C109+C129</f>
        <v>0</v>
      </c>
      <c r="D149" s="466">
        <f t="shared" si="27"/>
        <v>0</v>
      </c>
      <c r="E149" s="466">
        <f t="shared" si="27"/>
        <v>0</v>
      </c>
      <c r="F149" s="466">
        <f t="shared" si="27"/>
        <v>0</v>
      </c>
      <c r="G149" s="466">
        <f t="shared" si="27"/>
        <v>0</v>
      </c>
      <c r="H149" s="466">
        <f t="shared" si="27"/>
        <v>0</v>
      </c>
    </row>
    <row r="150" spans="1:12" ht="15" x14ac:dyDescent="0.3">
      <c r="A150" s="797"/>
      <c r="B150" s="331" t="s">
        <v>130</v>
      </c>
      <c r="C150" s="466">
        <f t="shared" ref="C150:H150" si="28">C110+C130</f>
        <v>0</v>
      </c>
      <c r="D150" s="466">
        <f t="shared" si="28"/>
        <v>0</v>
      </c>
      <c r="E150" s="466">
        <f t="shared" si="28"/>
        <v>0</v>
      </c>
      <c r="F150" s="466">
        <f t="shared" si="28"/>
        <v>0</v>
      </c>
      <c r="G150" s="466">
        <f t="shared" si="28"/>
        <v>0</v>
      </c>
      <c r="H150" s="466">
        <f t="shared" si="28"/>
        <v>0</v>
      </c>
    </row>
    <row r="151" spans="1:12" ht="15" x14ac:dyDescent="0.3">
      <c r="A151" s="797"/>
      <c r="B151" s="331" t="s">
        <v>119</v>
      </c>
      <c r="C151" s="466">
        <f t="shared" ref="C151:H151" si="29">C111+C131</f>
        <v>0</v>
      </c>
      <c r="D151" s="466">
        <f t="shared" si="29"/>
        <v>0</v>
      </c>
      <c r="E151" s="466">
        <f t="shared" si="29"/>
        <v>0</v>
      </c>
      <c r="F151" s="466">
        <f t="shared" si="29"/>
        <v>0</v>
      </c>
      <c r="G151" s="466">
        <f t="shared" si="29"/>
        <v>0</v>
      </c>
      <c r="H151" s="466">
        <f t="shared" si="29"/>
        <v>0</v>
      </c>
    </row>
    <row r="152" spans="1:12" x14ac:dyDescent="0.3">
      <c r="A152" s="797"/>
    </row>
    <row r="153" spans="1:12" ht="14.5" thickBot="1" x14ac:dyDescent="0.35">
      <c r="A153" s="798"/>
    </row>
    <row r="154" spans="1:12" s="333" customFormat="1" ht="31.9" customHeight="1" thickTop="1" x14ac:dyDescent="0.3">
      <c r="A154" s="799" t="s">
        <v>135</v>
      </c>
    </row>
    <row r="155" spans="1:12" ht="14.5" thickBot="1" x14ac:dyDescent="0.35">
      <c r="A155" s="800"/>
    </row>
    <row r="156" spans="1:12" ht="25.5" thickBot="1" x14ac:dyDescent="0.55000000000000004">
      <c r="A156" s="800"/>
      <c r="B156" s="825" t="s">
        <v>136</v>
      </c>
      <c r="C156" s="826"/>
      <c r="D156" s="827"/>
    </row>
    <row r="157" spans="1:12" x14ac:dyDescent="0.3">
      <c r="A157" s="800"/>
    </row>
    <row r="158" spans="1:12" ht="14.5" thickBot="1" x14ac:dyDescent="0.35">
      <c r="A158" s="800"/>
    </row>
    <row r="159" spans="1:12" ht="18" thickBot="1" x14ac:dyDescent="0.4">
      <c r="A159" s="800"/>
      <c r="B159" s="805" t="s">
        <v>137</v>
      </c>
      <c r="C159" s="805"/>
      <c r="D159" s="805"/>
      <c r="E159" s="805"/>
      <c r="F159" s="805"/>
      <c r="G159" s="805"/>
      <c r="H159" s="805"/>
      <c r="J159" s="809" t="s">
        <v>98</v>
      </c>
      <c r="K159" s="810"/>
      <c r="L159" s="811"/>
    </row>
    <row r="160" spans="1:12" ht="15.5" thickBot="1" x14ac:dyDescent="0.35">
      <c r="A160" s="800"/>
      <c r="B160" s="35"/>
      <c r="C160" s="788" t="s">
        <v>56</v>
      </c>
      <c r="D160" s="788"/>
      <c r="E160" s="788" t="s">
        <v>57</v>
      </c>
      <c r="F160" s="788"/>
      <c r="G160" s="788" t="s">
        <v>58</v>
      </c>
      <c r="H160" s="788"/>
      <c r="J160" s="812"/>
      <c r="K160" s="813"/>
      <c r="L160" s="814"/>
    </row>
    <row r="161" spans="1:12" ht="30.5" thickBot="1" x14ac:dyDescent="0.35">
      <c r="A161" s="800"/>
      <c r="B161" s="323" t="s">
        <v>138</v>
      </c>
      <c r="C161" s="35" t="s">
        <v>132</v>
      </c>
      <c r="D161" s="35" t="s">
        <v>61</v>
      </c>
      <c r="E161" s="35" t="s">
        <v>133</v>
      </c>
      <c r="F161" s="35" t="s">
        <v>63</v>
      </c>
      <c r="G161" s="35" t="s">
        <v>134</v>
      </c>
      <c r="H161" s="35" t="s">
        <v>65</v>
      </c>
      <c r="J161" s="815" t="s">
        <v>66</v>
      </c>
      <c r="K161" s="817" t="s">
        <v>105</v>
      </c>
      <c r="L161" s="819" t="s">
        <v>106</v>
      </c>
    </row>
    <row r="162" spans="1:12" ht="15" x14ac:dyDescent="0.3">
      <c r="A162" s="800"/>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816"/>
      <c r="K162" s="818"/>
      <c r="L162" s="820"/>
    </row>
    <row r="163" spans="1:12" ht="15" x14ac:dyDescent="0.3">
      <c r="A163" s="800"/>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801" t="str">
        <f>'G-1 All Habitats'!$V$3</f>
        <v>V.High</v>
      </c>
      <c r="K163" s="803">
        <f>SUMIF('C-1 Site River Baseline'!$F$10:$F$257,'Detailed Results'!J163,'C-1 Site River Baseline'!$X$10:$X$257)+SUMIF('F-1 Off Site River Baseline'!$F$10:$F$257,'Detailed Results'!J163,'F-1 Off Site River Baseline'!$X$10:$X$257)</f>
        <v>0</v>
      </c>
      <c r="L163" s="807" t="str">
        <f>IF(K163=0,"",(K163/(SUM($K$163:$K$170)))*100)</f>
        <v/>
      </c>
    </row>
    <row r="164" spans="1:12" ht="15" x14ac:dyDescent="0.3">
      <c r="A164" s="800"/>
      <c r="B164" s="329" t="s">
        <v>141</v>
      </c>
      <c r="C164" s="471">
        <f>'G-2 Habitat groups'!E170</f>
        <v>0</v>
      </c>
      <c r="D164" s="471">
        <f>'G-2 Habitat groups'!F170</f>
        <v>0</v>
      </c>
      <c r="E164" s="471">
        <f>'G-2 Habitat groups'!O170</f>
        <v>0</v>
      </c>
      <c r="F164" s="471">
        <f>'G-2 Habitat groups'!P170</f>
        <v>0</v>
      </c>
      <c r="G164" s="471">
        <f t="shared" si="31"/>
        <v>0</v>
      </c>
      <c r="H164" s="471">
        <f t="shared" si="32"/>
        <v>0</v>
      </c>
      <c r="J164" s="802"/>
      <c r="K164" s="804"/>
      <c r="L164" s="808"/>
    </row>
    <row r="165" spans="1:12" ht="15" x14ac:dyDescent="0.3">
      <c r="A165" s="800"/>
      <c r="B165" s="329" t="s">
        <v>142</v>
      </c>
      <c r="C165" s="471">
        <f>'G-2 Habitat groups'!E171</f>
        <v>0</v>
      </c>
      <c r="D165" s="471">
        <f>'G-2 Habitat groups'!F171</f>
        <v>0</v>
      </c>
      <c r="E165" s="471">
        <f>'G-2 Habitat groups'!O171</f>
        <v>0</v>
      </c>
      <c r="F165" s="471">
        <f>'G-2 Habitat groups'!P171</f>
        <v>0</v>
      </c>
      <c r="G165" s="471">
        <f t="shared" si="31"/>
        <v>0</v>
      </c>
      <c r="H165" s="471">
        <f t="shared" si="32"/>
        <v>0</v>
      </c>
      <c r="J165" s="801" t="str">
        <f>'G-1 All Habitats'!$V$4</f>
        <v>High</v>
      </c>
      <c r="K165" s="803">
        <f>SUMIF('C-1 Site River Baseline'!$F$10:$F$257,'Detailed Results'!J165,'C-1 Site River Baseline'!$X$10:$X$257)+SUMIF('F-1 Off Site River Baseline'!$F$10:$F$257,'Detailed Results'!J165,'F-1 Off Site River Baseline'!$X$10:$X$257)</f>
        <v>0</v>
      </c>
      <c r="L165" s="807" t="str">
        <f t="shared" ref="L165" si="33">IF(K165=0,"",(K165/(SUM($K$163:$K$170)))*100)</f>
        <v/>
      </c>
    </row>
    <row r="166" spans="1:12" ht="15" x14ac:dyDescent="0.3">
      <c r="A166" s="800"/>
      <c r="B166" s="329" t="s">
        <v>143</v>
      </c>
      <c r="C166" s="471">
        <f>'G-2 Habitat groups'!E172</f>
        <v>0</v>
      </c>
      <c r="D166" s="471">
        <f>'G-2 Habitat groups'!F172</f>
        <v>0</v>
      </c>
      <c r="E166" s="471">
        <f>'G-2 Habitat groups'!O172</f>
        <v>0</v>
      </c>
      <c r="F166" s="471">
        <f>'G-2 Habitat groups'!P172</f>
        <v>0</v>
      </c>
      <c r="G166" s="471">
        <f t="shared" si="31"/>
        <v>0</v>
      </c>
      <c r="H166" s="471">
        <f t="shared" si="32"/>
        <v>0</v>
      </c>
      <c r="J166" s="802"/>
      <c r="K166" s="804"/>
      <c r="L166" s="808"/>
    </row>
    <row r="167" spans="1:12" x14ac:dyDescent="0.3">
      <c r="A167" s="800"/>
      <c r="J167" s="801" t="str">
        <f>'G-1 All Habitats'!$V$5</f>
        <v>Medium</v>
      </c>
      <c r="K167" s="803">
        <f>SUMIF('C-1 Site River Baseline'!$F$10:$F$257,'Detailed Results'!J167,'C-1 Site River Baseline'!$X$10:$X$257)+SUMIF('F-1 Off Site River Baseline'!$F$10:$F$257,'Detailed Results'!J167,'F-1 Off Site River Baseline'!$X$10:$X$257)</f>
        <v>0</v>
      </c>
      <c r="L167" s="807" t="str">
        <f t="shared" ref="L167" si="34">IF(K167=0,"",(K167/(SUM($K$163:$K$170)))*100)</f>
        <v/>
      </c>
    </row>
    <row r="168" spans="1:12" x14ac:dyDescent="0.3">
      <c r="A168" s="800"/>
      <c r="J168" s="802"/>
      <c r="K168" s="804"/>
      <c r="L168" s="808"/>
    </row>
    <row r="169" spans="1:12" x14ac:dyDescent="0.3">
      <c r="A169" s="800"/>
      <c r="J169" s="801" t="str">
        <f>'G-1 All Habitats'!$V$6</f>
        <v>Low</v>
      </c>
      <c r="K169" s="803">
        <f>SUMIF('C-1 Site River Baseline'!$F$10:$F$257,'Detailed Results'!J169,'C-1 Site River Baseline'!$X$10:$X$257)+SUMIF('F-1 Off Site River Baseline'!$F$10:$F$257,'Detailed Results'!J169,'F-1 Off Site River Baseline'!$X$10:$X$257)</f>
        <v>0</v>
      </c>
      <c r="L169" s="807" t="str">
        <f t="shared" ref="L169" si="35">IF(K169=0,"",(K169/(SUM($K$163:$K$170)))*100)</f>
        <v/>
      </c>
    </row>
    <row r="170" spans="1:12" x14ac:dyDescent="0.3">
      <c r="A170" s="800"/>
      <c r="J170" s="802"/>
      <c r="K170" s="804"/>
      <c r="L170" s="808"/>
    </row>
    <row r="171" spans="1:12" x14ac:dyDescent="0.3">
      <c r="A171" s="800"/>
    </row>
    <row r="172" spans="1:12" x14ac:dyDescent="0.3">
      <c r="A172" s="800"/>
    </row>
    <row r="173" spans="1:12" x14ac:dyDescent="0.3">
      <c r="A173" s="800"/>
    </row>
    <row r="174" spans="1:12" x14ac:dyDescent="0.3">
      <c r="A174" s="800"/>
    </row>
    <row r="175" spans="1:12" x14ac:dyDescent="0.3">
      <c r="A175" s="800"/>
    </row>
    <row r="176" spans="1:12" x14ac:dyDescent="0.3">
      <c r="A176" s="800"/>
    </row>
    <row r="177" spans="1:8" x14ac:dyDescent="0.3">
      <c r="A177" s="800"/>
    </row>
    <row r="178" spans="1:8" ht="14.5" thickBot="1" x14ac:dyDescent="0.35">
      <c r="A178" s="800"/>
    </row>
    <row r="179" spans="1:8" ht="18" thickBot="1" x14ac:dyDescent="0.4">
      <c r="A179" s="800"/>
      <c r="B179" s="805" t="s">
        <v>144</v>
      </c>
      <c r="C179" s="805"/>
      <c r="D179" s="805"/>
      <c r="E179" s="805"/>
      <c r="F179" s="805"/>
      <c r="G179" s="805"/>
      <c r="H179" s="805"/>
    </row>
    <row r="180" spans="1:8" ht="15.5" thickBot="1" x14ac:dyDescent="0.35">
      <c r="A180" s="800"/>
      <c r="B180" s="35"/>
      <c r="C180" s="788" t="s">
        <v>56</v>
      </c>
      <c r="D180" s="788"/>
      <c r="E180" s="788" t="s">
        <v>145</v>
      </c>
      <c r="F180" s="788"/>
      <c r="G180" s="788" t="s">
        <v>84</v>
      </c>
      <c r="H180" s="788"/>
    </row>
    <row r="181" spans="1:8" ht="45.5" thickBot="1" x14ac:dyDescent="0.35">
      <c r="A181" s="800"/>
      <c r="B181" s="323" t="s">
        <v>138</v>
      </c>
      <c r="C181" s="35" t="s">
        <v>124</v>
      </c>
      <c r="D181" s="35" t="s">
        <v>125</v>
      </c>
      <c r="E181" s="35" t="s">
        <v>126</v>
      </c>
      <c r="F181" s="35" t="s">
        <v>127</v>
      </c>
      <c r="G181" s="35" t="s">
        <v>128</v>
      </c>
      <c r="H181" s="35" t="s">
        <v>89</v>
      </c>
    </row>
    <row r="182" spans="1:8" ht="15" x14ac:dyDescent="0.3">
      <c r="A182" s="800"/>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5" x14ac:dyDescent="0.3">
      <c r="A183" s="800"/>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5" x14ac:dyDescent="0.3">
      <c r="A184" s="800"/>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5" x14ac:dyDescent="0.3">
      <c r="A185" s="800"/>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5" x14ac:dyDescent="0.3">
      <c r="A186" s="800"/>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x14ac:dyDescent="0.3">
      <c r="A187" s="800"/>
      <c r="B187" s="40"/>
      <c r="C187" s="40"/>
      <c r="D187" s="40"/>
      <c r="E187" s="40"/>
      <c r="F187" s="40"/>
      <c r="G187" s="40"/>
      <c r="H187" s="40"/>
    </row>
    <row r="188" spans="1:8" x14ac:dyDescent="0.3">
      <c r="A188" s="800"/>
      <c r="B188" s="40"/>
      <c r="C188" s="40"/>
      <c r="D188" s="40"/>
      <c r="E188" s="40"/>
      <c r="F188" s="40"/>
      <c r="G188" s="40"/>
      <c r="H188" s="40"/>
    </row>
    <row r="189" spans="1:8" x14ac:dyDescent="0.3">
      <c r="A189" s="800"/>
      <c r="B189" s="40"/>
      <c r="C189" s="40"/>
      <c r="D189" s="40"/>
      <c r="E189" s="40"/>
      <c r="F189" s="40"/>
      <c r="G189" s="40"/>
      <c r="H189" s="40"/>
    </row>
    <row r="190" spans="1:8" x14ac:dyDescent="0.3">
      <c r="A190" s="800"/>
      <c r="B190" s="40"/>
      <c r="C190" s="40"/>
      <c r="D190" s="40"/>
      <c r="E190" s="40"/>
      <c r="F190" s="40"/>
      <c r="G190" s="40"/>
      <c r="H190" s="40"/>
    </row>
    <row r="191" spans="1:8" x14ac:dyDescent="0.3">
      <c r="A191" s="800"/>
      <c r="B191" s="40"/>
      <c r="C191" s="40"/>
      <c r="D191" s="40"/>
      <c r="E191" s="40"/>
      <c r="F191" s="40"/>
      <c r="G191" s="40"/>
      <c r="H191" s="40"/>
    </row>
    <row r="192" spans="1:8" x14ac:dyDescent="0.3">
      <c r="A192" s="800"/>
      <c r="B192" s="40"/>
      <c r="C192" s="40"/>
      <c r="D192" s="40"/>
      <c r="E192" s="40"/>
      <c r="F192" s="40"/>
      <c r="G192" s="40"/>
      <c r="H192" s="40"/>
    </row>
    <row r="193" spans="1:8" x14ac:dyDescent="0.3">
      <c r="A193" s="800"/>
      <c r="B193" s="40"/>
      <c r="C193" s="40"/>
      <c r="D193" s="40"/>
      <c r="E193" s="40"/>
      <c r="F193" s="40"/>
      <c r="G193" s="40"/>
      <c r="H193" s="40"/>
    </row>
    <row r="194" spans="1:8" x14ac:dyDescent="0.3">
      <c r="A194" s="800"/>
      <c r="B194" s="40"/>
      <c r="C194" s="40"/>
      <c r="D194" s="40"/>
      <c r="E194" s="40"/>
      <c r="F194" s="40"/>
      <c r="G194" s="40"/>
      <c r="H194" s="40"/>
    </row>
    <row r="195" spans="1:8" x14ac:dyDescent="0.3">
      <c r="A195" s="800"/>
      <c r="B195" s="40"/>
      <c r="C195" s="40"/>
    </row>
    <row r="196" spans="1:8" x14ac:dyDescent="0.3">
      <c r="A196" s="800"/>
      <c r="B196" s="40"/>
      <c r="C196" s="40"/>
    </row>
    <row r="197" spans="1:8" x14ac:dyDescent="0.3">
      <c r="A197" s="800"/>
      <c r="B197" s="40"/>
      <c r="C197" s="40"/>
    </row>
    <row r="198" spans="1:8" ht="14.5" thickBot="1" x14ac:dyDescent="0.35">
      <c r="A198" s="800"/>
      <c r="B198" s="40"/>
      <c r="C198" s="40"/>
    </row>
    <row r="199" spans="1:8" ht="18" thickBot="1" x14ac:dyDescent="0.4">
      <c r="A199" s="800"/>
      <c r="B199" s="805" t="s">
        <v>146</v>
      </c>
      <c r="C199" s="805"/>
      <c r="D199" s="805"/>
      <c r="E199" s="805"/>
      <c r="F199" s="805"/>
      <c r="G199" s="805"/>
      <c r="H199" s="805"/>
    </row>
    <row r="200" spans="1:8" ht="15.5" thickBot="1" x14ac:dyDescent="0.35">
      <c r="A200" s="800"/>
      <c r="B200" s="35"/>
      <c r="C200" s="788" t="s">
        <v>56</v>
      </c>
      <c r="D200" s="788"/>
      <c r="E200" s="788" t="s">
        <v>57</v>
      </c>
      <c r="F200" s="788"/>
      <c r="G200" s="788" t="s">
        <v>58</v>
      </c>
      <c r="H200" s="788"/>
    </row>
    <row r="201" spans="1:8" ht="30.5" thickBot="1" x14ac:dyDescent="0.35">
      <c r="A201" s="800"/>
      <c r="B201" s="323" t="s">
        <v>138</v>
      </c>
      <c r="C201" s="35" t="s">
        <v>132</v>
      </c>
      <c r="D201" s="35" t="s">
        <v>61</v>
      </c>
      <c r="E201" s="35" t="s">
        <v>133</v>
      </c>
      <c r="F201" s="35" t="s">
        <v>63</v>
      </c>
      <c r="G201" s="35" t="s">
        <v>134</v>
      </c>
      <c r="H201" s="35" t="s">
        <v>65</v>
      </c>
    </row>
    <row r="202" spans="1:8" ht="15" x14ac:dyDescent="0.3">
      <c r="A202" s="800"/>
      <c r="B202" s="328" t="s">
        <v>139</v>
      </c>
      <c r="C202" s="471">
        <f>C162+C182</f>
        <v>0</v>
      </c>
      <c r="D202" s="471">
        <f t="shared" ref="D202:H202" si="38">D162+D182</f>
        <v>0</v>
      </c>
      <c r="E202" s="471">
        <f t="shared" si="38"/>
        <v>0</v>
      </c>
      <c r="F202" s="471">
        <f t="shared" si="38"/>
        <v>0</v>
      </c>
      <c r="G202" s="471">
        <f t="shared" si="38"/>
        <v>0</v>
      </c>
      <c r="H202" s="471">
        <f t="shared" si="38"/>
        <v>0</v>
      </c>
    </row>
    <row r="203" spans="1:8" ht="15" x14ac:dyDescent="0.3">
      <c r="A203" s="800"/>
      <c r="B203" s="329" t="s">
        <v>140</v>
      </c>
      <c r="C203" s="471">
        <f>C163+C183</f>
        <v>0</v>
      </c>
      <c r="D203" s="471">
        <f t="shared" ref="D203:H203" si="39">D163+D183</f>
        <v>0</v>
      </c>
      <c r="E203" s="471">
        <f t="shared" si="39"/>
        <v>0</v>
      </c>
      <c r="F203" s="471">
        <f t="shared" si="39"/>
        <v>0</v>
      </c>
      <c r="G203" s="471">
        <f t="shared" si="39"/>
        <v>0</v>
      </c>
      <c r="H203" s="471">
        <f t="shared" si="39"/>
        <v>0</v>
      </c>
    </row>
    <row r="204" spans="1:8" ht="15" x14ac:dyDescent="0.3">
      <c r="A204" s="800"/>
      <c r="B204" s="329" t="s">
        <v>141</v>
      </c>
      <c r="C204" s="471">
        <f t="shared" ref="C204:H204" si="40">C164+C184</f>
        <v>0</v>
      </c>
      <c r="D204" s="471">
        <f t="shared" si="40"/>
        <v>0</v>
      </c>
      <c r="E204" s="471">
        <f t="shared" si="40"/>
        <v>0</v>
      </c>
      <c r="F204" s="471">
        <f t="shared" si="40"/>
        <v>0</v>
      </c>
      <c r="G204" s="471">
        <f t="shared" si="40"/>
        <v>0</v>
      </c>
      <c r="H204" s="471">
        <f t="shared" si="40"/>
        <v>0</v>
      </c>
    </row>
    <row r="205" spans="1:8" ht="15" x14ac:dyDescent="0.3">
      <c r="A205" s="800"/>
      <c r="B205" s="329" t="s">
        <v>142</v>
      </c>
      <c r="C205" s="471">
        <f t="shared" ref="C205:H205" si="41">C165+C185</f>
        <v>0</v>
      </c>
      <c r="D205" s="471">
        <f t="shared" si="41"/>
        <v>0</v>
      </c>
      <c r="E205" s="471">
        <f t="shared" si="41"/>
        <v>0</v>
      </c>
      <c r="F205" s="471">
        <f t="shared" si="41"/>
        <v>0</v>
      </c>
      <c r="G205" s="471">
        <f t="shared" si="41"/>
        <v>0</v>
      </c>
      <c r="H205" s="471">
        <f t="shared" si="41"/>
        <v>0</v>
      </c>
    </row>
    <row r="206" spans="1:8" ht="15" x14ac:dyDescent="0.3">
      <c r="A206" s="800"/>
      <c r="B206" s="329" t="s">
        <v>143</v>
      </c>
      <c r="C206" s="471">
        <f t="shared" ref="C206:H206" si="42">C166+C186</f>
        <v>0</v>
      </c>
      <c r="D206" s="471">
        <f t="shared" si="42"/>
        <v>0</v>
      </c>
      <c r="E206" s="471">
        <f t="shared" si="42"/>
        <v>0</v>
      </c>
      <c r="F206" s="471">
        <f t="shared" si="42"/>
        <v>0</v>
      </c>
      <c r="G206" s="471">
        <f t="shared" si="42"/>
        <v>0</v>
      </c>
      <c r="H206" s="471">
        <f t="shared" si="42"/>
        <v>0</v>
      </c>
    </row>
    <row r="207" spans="1:8" x14ac:dyDescent="0.3">
      <c r="A207" s="800"/>
      <c r="B207" s="40"/>
      <c r="C207" s="40"/>
      <c r="D207" s="40"/>
      <c r="E207" s="40"/>
      <c r="F207" s="40"/>
      <c r="G207" s="40"/>
      <c r="H207" s="40"/>
    </row>
    <row r="208" spans="1:8" x14ac:dyDescent="0.3">
      <c r="A208" s="800"/>
      <c r="B208" s="40"/>
      <c r="C208" s="40"/>
      <c r="D208" s="40"/>
      <c r="E208" s="40"/>
      <c r="F208" s="40"/>
      <c r="G208" s="40"/>
      <c r="H208" s="40"/>
    </row>
    <row r="209" spans="1:8" x14ac:dyDescent="0.3">
      <c r="A209" s="800"/>
      <c r="B209" s="40"/>
      <c r="C209" s="40"/>
      <c r="D209" s="40"/>
      <c r="E209" s="40"/>
      <c r="F209" s="40"/>
      <c r="G209" s="40"/>
      <c r="H209" s="40"/>
    </row>
    <row r="210" spans="1:8" x14ac:dyDescent="0.3">
      <c r="A210" s="800"/>
      <c r="B210" s="40"/>
      <c r="C210" s="40"/>
      <c r="D210" s="40"/>
      <c r="E210" s="40"/>
      <c r="F210" s="40"/>
      <c r="G210" s="40"/>
      <c r="H210" s="40"/>
    </row>
    <row r="211" spans="1:8" x14ac:dyDescent="0.3">
      <c r="B211" s="40"/>
      <c r="C211" s="40"/>
      <c r="D211" s="40"/>
      <c r="E211" s="40"/>
      <c r="F211" s="40"/>
      <c r="G211" s="40"/>
      <c r="H211" s="40"/>
    </row>
    <row r="212" spans="1:8" x14ac:dyDescent="0.3">
      <c r="B212" s="40"/>
      <c r="C212" s="40"/>
      <c r="D212" s="40"/>
      <c r="E212" s="40"/>
      <c r="F212" s="40"/>
      <c r="G212" s="40"/>
      <c r="H212" s="40"/>
    </row>
    <row r="213" spans="1:8" x14ac:dyDescent="0.3">
      <c r="B213" s="40"/>
      <c r="C213" s="40"/>
      <c r="D213" s="40"/>
      <c r="E213" s="40"/>
      <c r="F213" s="40"/>
      <c r="G213" s="40"/>
      <c r="H213" s="40"/>
    </row>
    <row r="214" spans="1:8" x14ac:dyDescent="0.3">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zoomScaleNormal="100" workbookViewId="0"/>
  </sheetViews>
  <sheetFormatPr defaultColWidth="0" defaultRowHeight="14" zeroHeight="1" x14ac:dyDescent="0.3"/>
  <cols>
    <col min="1" max="1" width="17" style="31" customWidth="1"/>
    <col min="2" max="2" width="104.81640625" style="31" bestFit="1" customWidth="1"/>
    <col min="3" max="3" width="24.453125" style="31" bestFit="1" customWidth="1"/>
    <col min="4" max="4" width="10.54296875" style="31" bestFit="1" customWidth="1"/>
    <col min="5" max="5" width="10.26953125" style="31" bestFit="1" customWidth="1"/>
    <col min="6" max="6" width="18.1796875" style="31" customWidth="1"/>
    <col min="7" max="7" width="31" style="31" customWidth="1"/>
    <col min="8" max="8" width="5" style="31" customWidth="1"/>
    <col min="9" max="9" width="49.453125" style="31" customWidth="1"/>
    <col min="10" max="10" width="10.81640625" style="31" customWidth="1"/>
    <col min="11" max="11" width="2" style="31" customWidth="1"/>
    <col min="12" max="12" width="2.54296875" style="31" customWidth="1"/>
    <col min="13" max="13" width="4.1796875" style="31" customWidth="1"/>
    <col min="14" max="16" width="9.1796875" style="31" customWidth="1"/>
    <col min="17" max="17" width="10.54296875" style="31" customWidth="1"/>
    <col min="18" max="20" width="9.1796875" style="31" customWidth="1"/>
    <col min="21" max="22" width="0" style="31" hidden="1" customWidth="1"/>
    <col min="23" max="16384" width="9.1796875" style="31" hidden="1"/>
  </cols>
  <sheetData>
    <row r="1" spans="1:17" ht="15" thickBot="1" x14ac:dyDescent="0.35">
      <c r="A1" s="452"/>
      <c r="B1" s="40"/>
      <c r="C1" s="40"/>
      <c r="D1" s="40"/>
      <c r="E1" s="40"/>
      <c r="G1" s="40"/>
      <c r="H1" s="40"/>
      <c r="I1" s="40"/>
      <c r="J1" s="40"/>
      <c r="K1" s="40"/>
      <c r="L1" s="40"/>
      <c r="M1" s="40"/>
      <c r="N1" s="40"/>
      <c r="O1" s="40"/>
      <c r="P1" s="40"/>
      <c r="Q1" s="40"/>
    </row>
    <row r="2" spans="1:17" ht="25.5" thickBot="1" x14ac:dyDescent="0.35">
      <c r="A2" s="40"/>
      <c r="B2" s="863" t="s">
        <v>147</v>
      </c>
      <c r="C2" s="864"/>
      <c r="D2" s="864"/>
      <c r="E2" s="864"/>
      <c r="F2" s="864"/>
      <c r="G2" s="876"/>
      <c r="H2" s="40"/>
      <c r="I2" s="40"/>
      <c r="J2" s="40"/>
      <c r="K2" s="40"/>
      <c r="L2" s="40"/>
      <c r="M2" s="40"/>
      <c r="N2" s="40"/>
      <c r="O2" s="40"/>
      <c r="P2" s="40"/>
      <c r="Q2" s="40"/>
    </row>
    <row r="3" spans="1:17" ht="15" customHeight="1" x14ac:dyDescent="0.3">
      <c r="A3" s="40"/>
      <c r="B3" s="879" t="s">
        <v>148</v>
      </c>
      <c r="C3" s="881" t="s">
        <v>149</v>
      </c>
      <c r="D3" s="881"/>
      <c r="E3" s="881"/>
      <c r="F3" s="881"/>
      <c r="G3" s="877" t="s">
        <v>150</v>
      </c>
      <c r="H3" s="271"/>
      <c r="I3" s="271"/>
      <c r="J3" s="271"/>
      <c r="K3" s="271"/>
      <c r="L3" s="40"/>
      <c r="M3" s="40"/>
      <c r="N3" s="40"/>
      <c r="O3" s="40"/>
      <c r="P3" s="40"/>
      <c r="Q3" s="40"/>
    </row>
    <row r="4" spans="1:17" ht="14.25" customHeight="1" x14ac:dyDescent="0.3">
      <c r="A4" s="40"/>
      <c r="B4" s="880"/>
      <c r="C4" s="882"/>
      <c r="D4" s="882"/>
      <c r="E4" s="882"/>
      <c r="F4" s="882"/>
      <c r="G4" s="878"/>
      <c r="H4" s="271"/>
      <c r="I4" s="271"/>
      <c r="J4" s="271"/>
      <c r="K4" s="271"/>
      <c r="L4" s="40"/>
      <c r="M4" s="40"/>
      <c r="N4" s="40"/>
      <c r="O4" s="40"/>
      <c r="P4" s="40"/>
      <c r="Q4" s="40"/>
    </row>
    <row r="5" spans="1:17" ht="20" x14ac:dyDescent="0.3">
      <c r="A5" s="40"/>
      <c r="B5" s="129" t="s">
        <v>151</v>
      </c>
      <c r="C5" s="883" t="s">
        <v>152</v>
      </c>
      <c r="D5" s="883"/>
      <c r="E5" s="883"/>
      <c r="F5" s="883"/>
      <c r="G5" s="262" t="str">
        <f>IF(('A-1 Site Habitat Baseline'!AQ259+'D-1 Off Site Habitat Baseline'!AQ259)&gt;0,"No ▲","Yes ✓")</f>
        <v>Yes ✓</v>
      </c>
      <c r="H5" s="271"/>
      <c r="I5" s="271"/>
      <c r="J5" s="271"/>
      <c r="K5" s="271"/>
      <c r="L5" s="40"/>
      <c r="M5" s="40"/>
      <c r="N5" s="40"/>
      <c r="O5" s="40"/>
      <c r="P5" s="40"/>
      <c r="Q5" s="40"/>
    </row>
    <row r="6" spans="1:17" ht="22.5" customHeight="1" x14ac:dyDescent="0.3">
      <c r="A6" s="40"/>
      <c r="B6" s="129" t="s">
        <v>153</v>
      </c>
      <c r="C6" s="884" t="s">
        <v>154</v>
      </c>
      <c r="D6" s="884"/>
      <c r="E6" s="884"/>
      <c r="F6" s="884"/>
      <c r="G6" s="262" t="str">
        <f>IFERROR(IF(J41&lt;0,"No ▲","Yes ✓"),"")</f>
        <v>Yes ✓</v>
      </c>
      <c r="H6" s="40"/>
      <c r="I6" s="40"/>
      <c r="J6" s="40"/>
      <c r="K6" s="40"/>
      <c r="L6" s="40"/>
      <c r="M6" s="40"/>
      <c r="N6" s="40"/>
      <c r="O6" s="40"/>
      <c r="P6" s="40"/>
      <c r="Q6" s="40"/>
    </row>
    <row r="7" spans="1:17" ht="19.5" customHeight="1" x14ac:dyDescent="0.3">
      <c r="A7" s="40"/>
      <c r="B7" s="129" t="s">
        <v>23</v>
      </c>
      <c r="C7" s="885" t="s">
        <v>155</v>
      </c>
      <c r="D7" s="885"/>
      <c r="E7" s="885"/>
      <c r="F7" s="885"/>
      <c r="G7" s="148" t="str">
        <f>IF(J40+J12+J89&lt;0,"No ▲","Yes ✓")</f>
        <v>Yes ✓</v>
      </c>
      <c r="H7" s="40"/>
      <c r="I7" s="40"/>
      <c r="J7" s="40"/>
      <c r="K7" s="40"/>
      <c r="L7" s="40"/>
      <c r="M7" s="40"/>
      <c r="N7" s="40"/>
      <c r="O7" s="40"/>
      <c r="P7" s="40"/>
      <c r="Q7" s="40"/>
    </row>
    <row r="8" spans="1:17" ht="18.75" customHeight="1" thickBot="1" x14ac:dyDescent="0.35">
      <c r="A8" s="40"/>
      <c r="B8" s="97" t="s">
        <v>156</v>
      </c>
      <c r="C8" s="886" t="s">
        <v>157</v>
      </c>
      <c r="D8" s="886"/>
      <c r="E8" s="886"/>
      <c r="F8" s="886"/>
      <c r="G8" s="162" t="str">
        <f>IF(J124&lt;0,"No ▲","Yes ✓")</f>
        <v>Yes ✓</v>
      </c>
      <c r="H8" s="40"/>
      <c r="I8" s="40"/>
      <c r="J8" s="40"/>
      <c r="K8" s="40"/>
      <c r="L8" s="40"/>
      <c r="M8" s="40"/>
      <c r="N8" s="40"/>
      <c r="O8" s="40"/>
      <c r="P8" s="40"/>
      <c r="Q8" s="40"/>
    </row>
    <row r="9" spans="1:17" ht="14.25" customHeight="1" x14ac:dyDescent="0.3">
      <c r="A9" s="40"/>
      <c r="B9" s="40"/>
      <c r="C9" s="40"/>
      <c r="D9" s="40"/>
      <c r="E9" s="40"/>
      <c r="F9" s="40"/>
      <c r="G9" s="40"/>
      <c r="H9" s="40"/>
      <c r="I9" s="40"/>
      <c r="J9" s="40"/>
      <c r="K9" s="40"/>
      <c r="L9" s="40"/>
      <c r="M9" s="40"/>
      <c r="N9" s="40"/>
      <c r="O9" s="40"/>
      <c r="P9" s="40"/>
      <c r="Q9" s="40"/>
    </row>
    <row r="10" spans="1:17" ht="14.5" thickBot="1" x14ac:dyDescent="0.35">
      <c r="A10" s="40"/>
      <c r="B10" s="40"/>
      <c r="C10" s="40"/>
      <c r="D10" s="40"/>
      <c r="E10" s="40"/>
      <c r="F10" s="40"/>
      <c r="G10" s="40"/>
      <c r="H10" s="40"/>
      <c r="I10" s="40"/>
      <c r="J10" s="40"/>
      <c r="K10" s="40"/>
      <c r="L10" s="40"/>
      <c r="M10" s="40"/>
      <c r="N10" s="40"/>
      <c r="O10" s="40"/>
      <c r="P10" s="40"/>
      <c r="Q10" s="40"/>
    </row>
    <row r="11" spans="1:17" ht="25.5" thickBot="1" x14ac:dyDescent="0.35">
      <c r="A11" s="40"/>
      <c r="B11" s="863" t="s">
        <v>158</v>
      </c>
      <c r="C11" s="864"/>
      <c r="D11" s="864"/>
      <c r="E11" s="864"/>
      <c r="F11" s="864"/>
      <c r="G11" s="876"/>
      <c r="H11" s="40"/>
      <c r="I11" s="867" t="s">
        <v>159</v>
      </c>
      <c r="J11" s="868"/>
      <c r="K11" s="40"/>
      <c r="L11" s="40"/>
      <c r="M11" s="40"/>
      <c r="N11" s="40"/>
      <c r="O11" s="40"/>
      <c r="P11" s="40"/>
      <c r="Q11" s="40"/>
    </row>
    <row r="12" spans="1:17" s="42" customFormat="1" ht="45.5" thickBot="1" x14ac:dyDescent="0.35">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x14ac:dyDescent="0.3">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75" t="str">
        <f>IF($G$33&lt;0,"Very high distinctiveness unit defecit - CHECK DATA","")</f>
        <v/>
      </c>
      <c r="J13" s="875"/>
      <c r="K13" s="40"/>
      <c r="L13" s="40"/>
      <c r="M13" s="40"/>
      <c r="N13" s="40"/>
      <c r="O13" s="40"/>
      <c r="P13" s="40"/>
      <c r="Q13" s="40"/>
    </row>
    <row r="14" spans="1:17" x14ac:dyDescent="0.3">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x14ac:dyDescent="0.3">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x14ac:dyDescent="0.3">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x14ac:dyDescent="0.3">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x14ac:dyDescent="0.3">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x14ac:dyDescent="0.3">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x14ac:dyDescent="0.3">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x14ac:dyDescent="0.3">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x14ac:dyDescent="0.3">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x14ac:dyDescent="0.3">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x14ac:dyDescent="0.3">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x14ac:dyDescent="0.3">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x14ac:dyDescent="0.3">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x14ac:dyDescent="0.3">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x14ac:dyDescent="0.3">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x14ac:dyDescent="0.3">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649999999999999" customHeight="1" x14ac:dyDescent="0.3">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x14ac:dyDescent="0.3">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4.5" thickBot="1" x14ac:dyDescent="0.35">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4.5" thickBot="1" x14ac:dyDescent="0.35">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x14ac:dyDescent="0.3">
      <c r="A34" s="40"/>
      <c r="B34" s="40"/>
      <c r="C34" s="40"/>
      <c r="D34" s="40"/>
      <c r="E34" s="40"/>
      <c r="F34" s="40"/>
      <c r="G34" s="40"/>
      <c r="H34" s="40"/>
      <c r="I34" s="40"/>
      <c r="J34" s="40"/>
      <c r="K34" s="40"/>
      <c r="L34" s="40"/>
      <c r="M34" s="40"/>
      <c r="N34" s="40"/>
      <c r="O34" s="40"/>
      <c r="P34" s="40"/>
      <c r="Q34" s="40"/>
    </row>
    <row r="35" spans="1:17" x14ac:dyDescent="0.3">
      <c r="A35" s="40"/>
      <c r="B35" s="40"/>
      <c r="C35" s="40"/>
      <c r="D35" s="40"/>
      <c r="E35" s="40"/>
      <c r="F35" s="40"/>
      <c r="G35" s="40"/>
      <c r="H35" s="40"/>
      <c r="I35" s="40"/>
      <c r="J35" s="40"/>
      <c r="K35" s="40"/>
      <c r="L35" s="40"/>
      <c r="M35" s="40"/>
      <c r="N35" s="40"/>
      <c r="O35" s="40"/>
      <c r="P35" s="40"/>
      <c r="Q35" s="40"/>
    </row>
    <row r="36" spans="1:17" x14ac:dyDescent="0.3">
      <c r="A36" s="40"/>
      <c r="B36" s="40"/>
      <c r="C36" s="40"/>
      <c r="D36" s="40"/>
      <c r="E36" s="40"/>
      <c r="F36" s="40"/>
      <c r="G36" s="40"/>
      <c r="H36" s="40"/>
      <c r="I36" s="40"/>
      <c r="J36" s="40"/>
      <c r="K36" s="40"/>
      <c r="L36" s="40"/>
      <c r="M36" s="40"/>
      <c r="N36" s="40"/>
      <c r="O36" s="40"/>
      <c r="P36" s="40"/>
      <c r="Q36" s="40"/>
    </row>
    <row r="37" spans="1:17" x14ac:dyDescent="0.3">
      <c r="A37" s="40"/>
      <c r="B37" s="40"/>
      <c r="C37" s="40"/>
      <c r="D37" s="40"/>
      <c r="E37" s="40"/>
      <c r="F37" s="40"/>
      <c r="G37" s="40"/>
      <c r="H37" s="40"/>
      <c r="I37" s="40"/>
      <c r="J37" s="40"/>
      <c r="K37" s="40"/>
      <c r="L37" s="40"/>
      <c r="M37" s="40"/>
      <c r="N37" s="40"/>
      <c r="O37" s="40"/>
      <c r="P37" s="40"/>
      <c r="Q37" s="40"/>
    </row>
    <row r="38" spans="1:17" ht="14.5" thickBot="1" x14ac:dyDescent="0.35">
      <c r="A38" s="40"/>
      <c r="B38" s="40"/>
      <c r="C38" s="40"/>
      <c r="D38" s="40"/>
      <c r="E38" s="40"/>
      <c r="F38" s="40"/>
      <c r="G38" s="40"/>
      <c r="H38" s="40"/>
      <c r="I38" s="40"/>
      <c r="J38" s="40"/>
      <c r="K38" s="40"/>
      <c r="L38" s="40"/>
      <c r="M38" s="40"/>
      <c r="N38" s="40"/>
      <c r="O38" s="40"/>
      <c r="P38" s="40"/>
      <c r="Q38" s="40"/>
    </row>
    <row r="39" spans="1:17" ht="25.5" thickBot="1" x14ac:dyDescent="0.35">
      <c r="A39" s="40"/>
      <c r="B39" s="863" t="s">
        <v>166</v>
      </c>
      <c r="C39" s="864"/>
      <c r="D39" s="864"/>
      <c r="E39" s="864"/>
      <c r="F39" s="864"/>
      <c r="G39" s="876"/>
      <c r="H39" s="40"/>
      <c r="I39" s="867" t="s">
        <v>167</v>
      </c>
      <c r="J39" s="868"/>
      <c r="K39" s="40"/>
      <c r="L39" s="40"/>
      <c r="M39" s="40"/>
    </row>
    <row r="40" spans="1:17" ht="45" x14ac:dyDescent="0.3">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4.5" thickBot="1" x14ac:dyDescent="0.35">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x14ac:dyDescent="0.3">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x14ac:dyDescent="0.3">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x14ac:dyDescent="0.3">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x14ac:dyDescent="0.3">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x14ac:dyDescent="0.3">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x14ac:dyDescent="0.3">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x14ac:dyDescent="0.3">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x14ac:dyDescent="0.3">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x14ac:dyDescent="0.3">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x14ac:dyDescent="0.3">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x14ac:dyDescent="0.3">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x14ac:dyDescent="0.3">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x14ac:dyDescent="0.3">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x14ac:dyDescent="0.3">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x14ac:dyDescent="0.3">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x14ac:dyDescent="0.3">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x14ac:dyDescent="0.3">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x14ac:dyDescent="0.3">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x14ac:dyDescent="0.3">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x14ac:dyDescent="0.3">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x14ac:dyDescent="0.3">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x14ac:dyDescent="0.3">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x14ac:dyDescent="0.3">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x14ac:dyDescent="0.3">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x14ac:dyDescent="0.3">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x14ac:dyDescent="0.3">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x14ac:dyDescent="0.3">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5" customHeight="1" x14ac:dyDescent="0.3">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x14ac:dyDescent="0.3">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x14ac:dyDescent="0.3">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x14ac:dyDescent="0.3">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x14ac:dyDescent="0.3">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x14ac:dyDescent="0.3">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x14ac:dyDescent="0.3">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x14ac:dyDescent="0.3">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x14ac:dyDescent="0.3">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x14ac:dyDescent="0.3">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x14ac:dyDescent="0.3">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x14ac:dyDescent="0.3">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4.5" thickBot="1" x14ac:dyDescent="0.35">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4.5" thickBot="1" x14ac:dyDescent="0.35">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x14ac:dyDescent="0.3">
      <c r="A83" s="40"/>
      <c r="B83" s="40"/>
      <c r="C83" s="40"/>
      <c r="D83" s="40"/>
      <c r="E83" s="40"/>
      <c r="F83" s="40"/>
      <c r="G83" s="40"/>
      <c r="H83" s="40"/>
      <c r="I83" s="40"/>
      <c r="J83" s="40"/>
      <c r="K83" s="40"/>
      <c r="L83" s="40"/>
      <c r="M83" s="40"/>
      <c r="N83" s="40"/>
      <c r="O83" s="40"/>
      <c r="P83" s="40"/>
      <c r="Q83" s="40"/>
    </row>
    <row r="84" spans="1:17" x14ac:dyDescent="0.3">
      <c r="A84" s="40"/>
      <c r="B84" s="40"/>
      <c r="C84" s="40"/>
      <c r="D84" s="40"/>
      <c r="E84" s="40"/>
      <c r="F84" s="40"/>
      <c r="G84" s="40"/>
      <c r="H84" s="40"/>
      <c r="I84" s="40"/>
      <c r="J84" s="40"/>
      <c r="K84" s="40"/>
      <c r="L84" s="40"/>
      <c r="M84" s="40"/>
      <c r="N84" s="40"/>
      <c r="O84" s="40"/>
      <c r="P84" s="40"/>
      <c r="Q84" s="40"/>
    </row>
    <row r="85" spans="1:17" x14ac:dyDescent="0.3">
      <c r="A85" s="40"/>
      <c r="B85" s="40"/>
      <c r="C85" s="40"/>
      <c r="D85" s="40"/>
      <c r="E85" s="40"/>
      <c r="F85" s="40"/>
      <c r="G85" s="40"/>
      <c r="H85" s="40"/>
      <c r="I85" s="40"/>
      <c r="J85" s="40"/>
      <c r="K85" s="40"/>
      <c r="L85" s="40"/>
      <c r="M85" s="40"/>
      <c r="N85" s="40"/>
      <c r="O85" s="40"/>
      <c r="P85" s="40"/>
      <c r="Q85" s="40"/>
    </row>
    <row r="86" spans="1:17" ht="14.5" thickBot="1" x14ac:dyDescent="0.35">
      <c r="A86" s="40"/>
      <c r="B86" s="40"/>
      <c r="C86" s="40"/>
      <c r="D86" s="40"/>
      <c r="E86" s="40"/>
      <c r="F86" s="40"/>
      <c r="G86" s="40"/>
      <c r="H86" s="40"/>
      <c r="I86" s="40"/>
      <c r="J86" s="40"/>
      <c r="K86" s="40"/>
      <c r="L86" s="40"/>
      <c r="M86" s="40"/>
      <c r="N86" s="40"/>
      <c r="O86" s="40"/>
      <c r="P86" s="40"/>
      <c r="Q86" s="40"/>
    </row>
    <row r="87" spans="1:17" ht="28" thickBot="1" x14ac:dyDescent="0.5">
      <c r="A87" s="40"/>
      <c r="B87" s="872" t="s">
        <v>171</v>
      </c>
      <c r="C87" s="873"/>
      <c r="D87" s="873"/>
      <c r="E87" s="873"/>
      <c r="F87" s="873"/>
      <c r="G87" s="874"/>
      <c r="H87" s="40"/>
      <c r="I87" s="865" t="s">
        <v>172</v>
      </c>
      <c r="J87" s="866"/>
      <c r="K87" s="40"/>
      <c r="L87" s="40"/>
      <c r="M87" s="40"/>
      <c r="N87" s="40"/>
      <c r="O87" s="40"/>
    </row>
    <row r="88" spans="1:17" ht="45.5" thickBot="1" x14ac:dyDescent="0.35">
      <c r="A88" s="40"/>
      <c r="B88" s="350" t="s">
        <v>173</v>
      </c>
      <c r="C88" s="351" t="s">
        <v>160</v>
      </c>
      <c r="D88" s="351" t="s">
        <v>174</v>
      </c>
      <c r="E88" s="351" t="s">
        <v>175</v>
      </c>
      <c r="F88" s="351" t="s">
        <v>176</v>
      </c>
      <c r="G88" s="352" t="s">
        <v>177</v>
      </c>
      <c r="H88" s="40"/>
      <c r="I88" s="96" t="s">
        <v>178</v>
      </c>
      <c r="J88" s="487">
        <f>SUMIF(G89:G113,"&gt;0")</f>
        <v>0.5402588925225138</v>
      </c>
      <c r="K88" s="40"/>
      <c r="L88" s="40"/>
    </row>
    <row r="89" spans="1:17" ht="28" x14ac:dyDescent="0.3">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69">
        <f>SUM(F89:F92)</f>
        <v>0</v>
      </c>
      <c r="H89" s="40"/>
      <c r="I89" s="129" t="s">
        <v>179</v>
      </c>
      <c r="J89" s="488">
        <f>SUMIF(G89:G113,"&lt;0")</f>
        <v>0</v>
      </c>
      <c r="K89" s="40"/>
      <c r="L89" s="40"/>
    </row>
    <row r="90" spans="1:17" ht="28" x14ac:dyDescent="0.3">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70"/>
      <c r="H90" s="40"/>
      <c r="I90" s="129" t="s">
        <v>180</v>
      </c>
      <c r="J90" s="488">
        <f>IF(J40+J12+J89&gt;0,J40+J12+J89,0)</f>
        <v>0</v>
      </c>
    </row>
    <row r="91" spans="1:17" ht="14.5" thickBot="1" x14ac:dyDescent="0.35">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70"/>
      <c r="H91" s="40"/>
      <c r="I91" s="97" t="s">
        <v>181</v>
      </c>
      <c r="J91" s="486">
        <f>J90+J88</f>
        <v>0.5402588925225138</v>
      </c>
      <c r="K91" s="40"/>
      <c r="L91" s="40"/>
    </row>
    <row r="92" spans="1:17" ht="14.5" thickBot="1" x14ac:dyDescent="0.35">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70"/>
      <c r="H92" s="40"/>
      <c r="I92" s="40"/>
      <c r="J92" s="40"/>
      <c r="K92" s="40"/>
      <c r="L92" s="40"/>
    </row>
    <row r="93" spans="1:17" x14ac:dyDescent="0.3">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69">
        <f>SUM(F93:F95)</f>
        <v>0</v>
      </c>
      <c r="H93" s="40"/>
      <c r="I93" s="40"/>
      <c r="J93" s="40"/>
      <c r="K93" s="40"/>
      <c r="L93" s="40"/>
    </row>
    <row r="94" spans="1:17" x14ac:dyDescent="0.3">
      <c r="A94" s="40"/>
      <c r="B94" s="346" t="str">
        <f>'G-2 Habitat groups'!AU82</f>
        <v>Grassland - Other neutral grassland</v>
      </c>
      <c r="C94" s="347" t="str">
        <f>'G-2 Habitat groups'!AV82</f>
        <v>Grassland</v>
      </c>
      <c r="D94" s="480">
        <f>'G-2 Habitat groups'!BB82</f>
        <v>0</v>
      </c>
      <c r="E94" s="480">
        <f>'G-2 Habitat groups'!BD82</f>
        <v>0</v>
      </c>
      <c r="F94" s="480">
        <f>'G-2 Habitat groups'!BE82</f>
        <v>0</v>
      </c>
      <c r="G94" s="870"/>
      <c r="H94" s="40"/>
      <c r="I94" s="40"/>
      <c r="J94" s="40"/>
      <c r="K94" s="40"/>
      <c r="L94" s="40"/>
    </row>
    <row r="95" spans="1:17" ht="14.5" thickBot="1" x14ac:dyDescent="0.35">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71"/>
      <c r="H95" s="40"/>
      <c r="I95" s="40"/>
      <c r="J95" s="40"/>
      <c r="K95" s="40"/>
      <c r="L95" s="40"/>
      <c r="M95" s="40"/>
    </row>
    <row r="96" spans="1:17" x14ac:dyDescent="0.3">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69">
        <f>SUM(F96:F101)</f>
        <v>0</v>
      </c>
      <c r="H96" s="40"/>
      <c r="I96" s="40"/>
      <c r="J96" s="40"/>
      <c r="K96" s="40"/>
      <c r="L96" s="40"/>
      <c r="M96" s="40"/>
    </row>
    <row r="97" spans="1:15" x14ac:dyDescent="0.3">
      <c r="A97" s="40"/>
      <c r="B97" s="346" t="str">
        <f>'G-2 Habitat groups'!AU85</f>
        <v>Heathland and shrub - Bramble scrub</v>
      </c>
      <c r="C97" s="347" t="str">
        <f>'G-2 Habitat groups'!AV85</f>
        <v>Heathland and shrub</v>
      </c>
      <c r="D97" s="480">
        <f>'G-2 Habitat groups'!BB85</f>
        <v>0</v>
      </c>
      <c r="E97" s="480">
        <f>'G-2 Habitat groups'!BD85</f>
        <v>0</v>
      </c>
      <c r="F97" s="480">
        <f>'G-2 Habitat groups'!BE85</f>
        <v>0</v>
      </c>
      <c r="G97" s="870"/>
      <c r="H97" s="40"/>
      <c r="I97" s="40"/>
      <c r="J97" s="40"/>
      <c r="K97" s="40"/>
      <c r="L97" s="40"/>
      <c r="M97" s="40"/>
    </row>
    <row r="98" spans="1:15" x14ac:dyDescent="0.3">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70"/>
      <c r="H98" s="40"/>
      <c r="I98" s="40"/>
      <c r="J98" s="40"/>
      <c r="K98" s="40"/>
      <c r="L98" s="40"/>
      <c r="M98" s="40"/>
    </row>
    <row r="99" spans="1:15" x14ac:dyDescent="0.3">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70"/>
      <c r="H99" s="40"/>
      <c r="I99" s="40"/>
      <c r="J99" s="40"/>
      <c r="K99" s="40"/>
      <c r="L99" s="40"/>
      <c r="M99" s="40"/>
    </row>
    <row r="100" spans="1:15" x14ac:dyDescent="0.3">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70"/>
      <c r="H100" s="40"/>
      <c r="I100" s="40"/>
      <c r="J100" s="40"/>
      <c r="K100" s="40"/>
      <c r="L100" s="40"/>
      <c r="M100" s="40"/>
      <c r="N100" s="40"/>
      <c r="O100" s="40"/>
    </row>
    <row r="101" spans="1:15" ht="14.5" thickBot="1" x14ac:dyDescent="0.35">
      <c r="A101" s="40"/>
      <c r="B101" s="348" t="str">
        <f>'G-2 Habitat groups'!AU89</f>
        <v>Heathland and shrub - Mixed scrub</v>
      </c>
      <c r="C101" s="349" t="str">
        <f>'G-2 Habitat groups'!AV89</f>
        <v>Heathland and shrub</v>
      </c>
      <c r="D101" s="490">
        <f>'G-2 Habitat groups'!BB89</f>
        <v>0</v>
      </c>
      <c r="E101" s="490">
        <f>'G-2 Habitat groups'!BD89</f>
        <v>0</v>
      </c>
      <c r="F101" s="490">
        <f>'G-2 Habitat groups'!BE89</f>
        <v>0</v>
      </c>
      <c r="G101" s="871"/>
      <c r="H101" s="40"/>
      <c r="I101" s="40"/>
      <c r="J101" s="40"/>
      <c r="K101" s="40"/>
      <c r="L101" s="40"/>
      <c r="M101" s="40"/>
      <c r="N101" s="40"/>
      <c r="O101" s="40"/>
    </row>
    <row r="102" spans="1:15" x14ac:dyDescent="0.3">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69">
        <f>SUM(F102:F103)</f>
        <v>0</v>
      </c>
      <c r="H102" s="40"/>
      <c r="K102" s="40"/>
      <c r="L102" s="40"/>
      <c r="M102" s="40"/>
      <c r="N102" s="40"/>
      <c r="O102" s="40"/>
    </row>
    <row r="103" spans="1:15" ht="14.5" thickBot="1" x14ac:dyDescent="0.35">
      <c r="A103" s="40"/>
      <c r="B103" s="348" t="str">
        <f>'G-2 Habitat groups'!AU91</f>
        <v>Lakes - Reservoirs</v>
      </c>
      <c r="C103" s="349" t="str">
        <f>'G-2 Habitat groups'!AV91</f>
        <v>Lakes</v>
      </c>
      <c r="D103" s="490">
        <f>'G-2 Habitat groups'!BB91</f>
        <v>0</v>
      </c>
      <c r="E103" s="490">
        <f>'G-2 Habitat groups'!BD91</f>
        <v>0</v>
      </c>
      <c r="F103" s="490">
        <f>'G-2 Habitat groups'!BE91</f>
        <v>0</v>
      </c>
      <c r="G103" s="871"/>
      <c r="H103" s="40"/>
      <c r="K103" s="40"/>
      <c r="L103" s="40"/>
      <c r="M103" s="40"/>
      <c r="N103" s="40"/>
      <c r="O103" s="40"/>
    </row>
    <row r="104" spans="1:15" ht="14.5" thickBot="1" x14ac:dyDescent="0.35">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x14ac:dyDescent="0.3">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69">
        <f>SUM(F105:F107)</f>
        <v>0.5402588925225138</v>
      </c>
      <c r="H105" s="40"/>
      <c r="I105" s="40"/>
      <c r="J105" s="40"/>
      <c r="K105" s="40"/>
      <c r="L105" s="40"/>
      <c r="M105" s="40"/>
      <c r="N105" s="40"/>
      <c r="O105" s="40"/>
    </row>
    <row r="106" spans="1:15" ht="15" customHeight="1" x14ac:dyDescent="0.3">
      <c r="A106" s="40"/>
      <c r="B106" s="660" t="str">
        <f>'G-2 Habitat groups'!AU94</f>
        <v>Urban - Biodiverse green roof</v>
      </c>
      <c r="C106" s="661" t="str">
        <f>'G-2 Habitat groups'!AV94</f>
        <v>Urban</v>
      </c>
      <c r="D106" s="495">
        <f>'G-2 Habitat groups'!BB94</f>
        <v>0</v>
      </c>
      <c r="E106" s="495">
        <f>'G-2 Habitat groups'!BD94</f>
        <v>0</v>
      </c>
      <c r="F106" s="495">
        <f>'G-2 Habitat groups'!BE94</f>
        <v>0</v>
      </c>
      <c r="G106" s="870"/>
      <c r="H106" s="40"/>
      <c r="I106" s="40"/>
      <c r="J106" s="40"/>
      <c r="K106" s="40"/>
      <c r="L106" s="40"/>
      <c r="M106" s="40"/>
      <c r="N106" s="40"/>
      <c r="O106" s="40"/>
    </row>
    <row r="107" spans="1:15" ht="15.75" customHeight="1" thickBot="1" x14ac:dyDescent="0.35">
      <c r="A107" s="40"/>
      <c r="B107" s="662" t="str">
        <f>'G-2 Habitat groups'!AU130</f>
        <v>Urban - Urban Tree</v>
      </c>
      <c r="C107" s="124" t="str">
        <f>'G-2 Habitat groups'!AV130</f>
        <v>Urban</v>
      </c>
      <c r="D107" s="663">
        <f>'G-2 Habitat groups'!BB130</f>
        <v>0.5402588925225138</v>
      </c>
      <c r="E107" s="663">
        <f>'G-2 Habitat groups'!BD130</f>
        <v>0</v>
      </c>
      <c r="F107" s="480">
        <f>'G-2 Habitat groups'!BE130</f>
        <v>0.5402588925225138</v>
      </c>
      <c r="G107" s="871"/>
      <c r="H107" s="40"/>
      <c r="I107" s="40"/>
      <c r="J107" s="40"/>
      <c r="K107" s="40"/>
      <c r="L107" s="40"/>
      <c r="M107" s="40"/>
      <c r="N107" s="40"/>
      <c r="O107" s="40"/>
    </row>
    <row r="108" spans="1:15" x14ac:dyDescent="0.3">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69">
        <f>SUM(F108:F110)</f>
        <v>0</v>
      </c>
      <c r="H108" s="40"/>
      <c r="I108" s="40"/>
      <c r="J108" s="40"/>
      <c r="K108" s="40"/>
      <c r="L108" s="40"/>
      <c r="M108" s="40"/>
      <c r="N108" s="40"/>
      <c r="O108" s="40"/>
    </row>
    <row r="109" spans="1:15" x14ac:dyDescent="0.3">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70"/>
      <c r="H109" s="40"/>
      <c r="I109" s="40"/>
      <c r="J109" s="40"/>
      <c r="K109" s="40"/>
      <c r="L109" s="40"/>
      <c r="M109" s="40"/>
      <c r="N109" s="40"/>
      <c r="O109" s="40"/>
    </row>
    <row r="110" spans="1:15" ht="14.5" thickBot="1" x14ac:dyDescent="0.35">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71"/>
      <c r="H110" s="40"/>
      <c r="I110" s="40"/>
      <c r="J110" s="40"/>
      <c r="K110" s="40"/>
      <c r="L110" s="40"/>
      <c r="M110" s="40"/>
      <c r="N110" s="40"/>
      <c r="O110" s="40"/>
    </row>
    <row r="111" spans="1:15" x14ac:dyDescent="0.3">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69">
        <f>SUM(F111:F113)</f>
        <v>0</v>
      </c>
      <c r="H111" s="40"/>
      <c r="I111" s="40"/>
      <c r="J111" s="40"/>
      <c r="K111" s="40"/>
      <c r="L111" s="40"/>
      <c r="M111" s="40"/>
      <c r="N111" s="40"/>
      <c r="O111" s="40"/>
    </row>
    <row r="112" spans="1:15" x14ac:dyDescent="0.3">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70"/>
      <c r="H112" s="40"/>
      <c r="I112" s="40"/>
      <c r="J112" s="40"/>
      <c r="K112" s="40"/>
      <c r="L112" s="40"/>
      <c r="M112" s="40"/>
      <c r="N112" s="40"/>
      <c r="O112" s="40"/>
    </row>
    <row r="113" spans="1:17" ht="21" customHeight="1" thickBot="1" x14ac:dyDescent="0.35">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71"/>
      <c r="H113" s="40"/>
      <c r="I113" s="40"/>
      <c r="J113" s="40"/>
      <c r="K113" s="40"/>
      <c r="L113" s="40"/>
      <c r="M113" s="40"/>
      <c r="N113" s="40"/>
      <c r="O113" s="40"/>
    </row>
    <row r="114" spans="1:17" ht="14.5" customHeight="1" thickBot="1" x14ac:dyDescent="0.35">
      <c r="A114" s="40"/>
      <c r="B114" s="40"/>
      <c r="C114" s="40"/>
      <c r="D114" s="476">
        <f>SUM(D89:D113)</f>
        <v>0.5402588925225138</v>
      </c>
      <c r="E114" s="477">
        <f>SUM(E89:E113)</f>
        <v>0</v>
      </c>
      <c r="F114" s="478">
        <f>SUM(F89:F113)</f>
        <v>0.5402588925225138</v>
      </c>
      <c r="H114" s="40"/>
      <c r="I114" s="40"/>
      <c r="J114" s="40"/>
      <c r="K114" s="40"/>
      <c r="L114" s="40"/>
      <c r="M114" s="40"/>
      <c r="N114" s="40"/>
      <c r="O114" s="40"/>
    </row>
    <row r="115" spans="1:17" x14ac:dyDescent="0.3">
      <c r="A115" s="40"/>
      <c r="B115" s="40"/>
      <c r="C115" s="40"/>
      <c r="D115" s="40"/>
      <c r="E115" s="40"/>
      <c r="F115" s="40"/>
      <c r="G115" s="40"/>
      <c r="H115" s="40"/>
      <c r="I115" s="40"/>
      <c r="J115" s="40"/>
      <c r="K115" s="40"/>
      <c r="L115" s="40"/>
      <c r="M115" s="40"/>
      <c r="N115" s="40"/>
      <c r="O115" s="40"/>
      <c r="P115" s="40"/>
      <c r="Q115" s="40"/>
    </row>
    <row r="116" spans="1:17" x14ac:dyDescent="0.3">
      <c r="A116" s="40"/>
      <c r="B116" s="40"/>
      <c r="C116" s="40"/>
      <c r="D116" s="40"/>
      <c r="E116" s="40"/>
      <c r="F116" s="40"/>
      <c r="G116" s="40"/>
      <c r="H116" s="40"/>
      <c r="I116" s="40"/>
      <c r="J116" s="40"/>
      <c r="K116" s="40"/>
      <c r="L116" s="40"/>
      <c r="M116" s="40"/>
      <c r="N116" s="40"/>
      <c r="O116" s="40"/>
      <c r="P116" s="40"/>
      <c r="Q116" s="40"/>
    </row>
    <row r="117" spans="1:17" x14ac:dyDescent="0.3">
      <c r="A117" s="40"/>
      <c r="B117" s="40"/>
      <c r="C117" s="40"/>
      <c r="D117" s="40"/>
      <c r="E117" s="40"/>
      <c r="F117" s="40"/>
      <c r="G117" s="40"/>
      <c r="H117" s="40"/>
      <c r="I117" s="40"/>
      <c r="J117" s="40"/>
      <c r="K117" s="40"/>
      <c r="L117" s="40"/>
      <c r="M117" s="40"/>
      <c r="N117" s="40"/>
      <c r="O117" s="40"/>
      <c r="P117" s="40"/>
      <c r="Q117" s="40"/>
    </row>
    <row r="118" spans="1:17" x14ac:dyDescent="0.3">
      <c r="A118" s="40"/>
      <c r="B118" s="40"/>
      <c r="C118" s="40"/>
      <c r="D118" s="40"/>
      <c r="E118" s="40"/>
      <c r="F118" s="40"/>
      <c r="G118" s="40"/>
      <c r="H118" s="40"/>
      <c r="I118" s="40"/>
      <c r="J118" s="40"/>
      <c r="K118" s="40"/>
      <c r="L118" s="40"/>
      <c r="M118" s="40"/>
      <c r="N118" s="40"/>
      <c r="O118" s="40"/>
      <c r="P118" s="40"/>
      <c r="Q118" s="40"/>
    </row>
    <row r="119" spans="1:17" x14ac:dyDescent="0.3">
      <c r="A119" s="40"/>
      <c r="B119" s="40"/>
      <c r="C119" s="40"/>
      <c r="D119" s="40"/>
      <c r="E119" s="40"/>
      <c r="F119" s="40"/>
      <c r="G119" s="40"/>
      <c r="H119" s="40"/>
      <c r="I119" s="40"/>
      <c r="J119" s="40"/>
      <c r="K119" s="40"/>
      <c r="L119" s="40"/>
      <c r="M119" s="40"/>
      <c r="N119" s="40"/>
      <c r="O119" s="40"/>
      <c r="P119" s="40"/>
      <c r="Q119" s="40"/>
    </row>
    <row r="120" spans="1:17" ht="14.5" thickBot="1" x14ac:dyDescent="0.35">
      <c r="A120" s="40"/>
      <c r="B120" s="40"/>
      <c r="C120" s="40"/>
      <c r="D120" s="40"/>
      <c r="E120" s="40"/>
      <c r="F120" s="40"/>
      <c r="G120" s="40"/>
      <c r="H120" s="40"/>
      <c r="I120" s="40"/>
      <c r="J120" s="40"/>
      <c r="K120" s="40"/>
      <c r="L120" s="40"/>
      <c r="M120" s="40"/>
      <c r="N120" s="40"/>
      <c r="O120" s="40"/>
      <c r="P120" s="40"/>
      <c r="Q120" s="40"/>
    </row>
    <row r="121" spans="1:17" ht="25.5" thickBot="1" x14ac:dyDescent="0.35">
      <c r="A121" s="40"/>
      <c r="B121" s="863" t="s">
        <v>182</v>
      </c>
      <c r="C121" s="864"/>
      <c r="D121" s="864"/>
      <c r="E121" s="864"/>
      <c r="F121" s="864"/>
      <c r="G121" s="40"/>
      <c r="H121" s="40"/>
      <c r="I121" s="40"/>
      <c r="J121" s="40"/>
      <c r="K121" s="40"/>
      <c r="L121" s="40"/>
      <c r="M121" s="40"/>
      <c r="N121" s="40"/>
      <c r="O121" s="40"/>
    </row>
    <row r="122" spans="1:17" ht="45.5" thickBot="1" x14ac:dyDescent="0.5">
      <c r="A122" s="40"/>
      <c r="B122" s="93" t="s">
        <v>59</v>
      </c>
      <c r="C122" s="94" t="s">
        <v>160</v>
      </c>
      <c r="D122" s="94" t="s">
        <v>183</v>
      </c>
      <c r="E122" s="94" t="s">
        <v>162</v>
      </c>
      <c r="F122" s="94" t="s">
        <v>176</v>
      </c>
      <c r="G122" s="40"/>
      <c r="H122" s="40"/>
      <c r="I122" s="865" t="s">
        <v>184</v>
      </c>
      <c r="J122" s="866"/>
      <c r="K122" s="40"/>
      <c r="L122" s="40"/>
      <c r="M122" s="40"/>
      <c r="N122" s="40"/>
    </row>
    <row r="123" spans="1:17" x14ac:dyDescent="0.3">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0.11954288499999997</v>
      </c>
      <c r="K123" s="40"/>
      <c r="L123" s="40"/>
      <c r="M123" s="40"/>
      <c r="N123" s="40"/>
    </row>
    <row r="124" spans="1:17" ht="14.5" thickBot="1" x14ac:dyDescent="0.35">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0.65980177752251379</v>
      </c>
      <c r="K124" s="40"/>
      <c r="L124" s="40"/>
      <c r="M124" s="40"/>
      <c r="N124" s="40"/>
    </row>
    <row r="125" spans="1:17" x14ac:dyDescent="0.3">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x14ac:dyDescent="0.3">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x14ac:dyDescent="0.3">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x14ac:dyDescent="0.3">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x14ac:dyDescent="0.3">
      <c r="A129" s="40"/>
      <c r="B129" s="87" t="str">
        <f>'G-2 Habitat groups'!AU116</f>
        <v>Grassland - Modified grassland</v>
      </c>
      <c r="C129" s="88" t="str">
        <f>'G-2 Habitat groups'!AV116</f>
        <v>Grassland</v>
      </c>
      <c r="D129" s="493">
        <f>'G-2 Habitat groups'!BB116</f>
        <v>-1.6000000000000001E-3</v>
      </c>
      <c r="E129" s="493">
        <f>'G-2 Habitat groups'!BD116</f>
        <v>0</v>
      </c>
      <c r="F129" s="480">
        <f>'G-2 Habitat groups'!BE116</f>
        <v>-1.6000000000000001E-3</v>
      </c>
      <c r="G129" s="40"/>
      <c r="H129" s="40"/>
      <c r="I129" s="40"/>
      <c r="J129" s="40"/>
      <c r="K129" s="40"/>
      <c r="L129" s="40"/>
      <c r="M129" s="40"/>
      <c r="N129" s="40"/>
    </row>
    <row r="130" spans="1:15" x14ac:dyDescent="0.3">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x14ac:dyDescent="0.3">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x14ac:dyDescent="0.3">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x14ac:dyDescent="0.3">
      <c r="A133" s="40"/>
      <c r="B133" s="87" t="str">
        <f>'G-2 Habitat groups'!AU120</f>
        <v>Sparsely vegetated land - Ruderal/Ephemeral</v>
      </c>
      <c r="C133" s="88" t="str">
        <f>'G-2 Habitat groups'!AV120</f>
        <v>Sparsely vegetated land</v>
      </c>
      <c r="D133" s="493">
        <f>'G-2 Habitat groups'!BB120</f>
        <v>0</v>
      </c>
      <c r="E133" s="493">
        <f>'G-2 Habitat groups'!BD120</f>
        <v>0</v>
      </c>
      <c r="F133" s="480">
        <f>'G-2 Habitat groups'!BE120</f>
        <v>0</v>
      </c>
      <c r="G133" s="40"/>
      <c r="H133" s="40"/>
      <c r="I133" s="40"/>
      <c r="J133" s="40"/>
      <c r="K133" s="40"/>
      <c r="L133" s="40"/>
      <c r="M133" s="40"/>
      <c r="N133" s="40"/>
    </row>
    <row r="134" spans="1:15" x14ac:dyDescent="0.3">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x14ac:dyDescent="0.3">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x14ac:dyDescent="0.3">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x14ac:dyDescent="0.3">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x14ac:dyDescent="0.3">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x14ac:dyDescent="0.3">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x14ac:dyDescent="0.3">
      <c r="A140" s="40"/>
      <c r="B140" s="87" t="str">
        <f>'G-2 Habitat groups'!AU146</f>
        <v>Urban - Intensive green roof</v>
      </c>
      <c r="C140" s="88" t="str">
        <f>'G-2 Habitat groups'!AV146</f>
        <v>Urban</v>
      </c>
      <c r="D140" s="493">
        <f>'G-2 Habitat groups'!BB146</f>
        <v>0</v>
      </c>
      <c r="E140" s="493">
        <f>'G-2 Habitat groups'!BD146</f>
        <v>0</v>
      </c>
      <c r="F140" s="480">
        <f>'G-2 Habitat groups'!BE146</f>
        <v>0</v>
      </c>
      <c r="G140" s="40"/>
      <c r="H140" s="40"/>
      <c r="I140" s="40"/>
      <c r="J140" s="40"/>
      <c r="K140" s="40"/>
      <c r="L140" s="40"/>
      <c r="M140" s="40"/>
      <c r="N140" s="40"/>
    </row>
    <row r="141" spans="1:15" x14ac:dyDescent="0.3">
      <c r="A141" s="40"/>
      <c r="B141" s="87" t="str">
        <f>'G-2 Habitat groups'!AU127</f>
        <v>Urban - Introduced shrub</v>
      </c>
      <c r="C141" s="88" t="str">
        <f>'G-2 Habitat groups'!AV127</f>
        <v>Urban</v>
      </c>
      <c r="D141" s="493">
        <f>'G-2 Habitat groups'!BB127</f>
        <v>0.12214288499999998</v>
      </c>
      <c r="E141" s="493">
        <f>'G-2 Habitat groups'!BD127</f>
        <v>0</v>
      </c>
      <c r="F141" s="480">
        <f>'G-2 Habitat groups'!BE127</f>
        <v>0.12214288499999998</v>
      </c>
      <c r="G141" s="40"/>
      <c r="H141" s="40"/>
      <c r="I141" s="40"/>
      <c r="J141" s="40"/>
      <c r="K141" s="40"/>
      <c r="L141" s="40"/>
      <c r="M141" s="40"/>
      <c r="N141" s="40"/>
    </row>
    <row r="142" spans="1:15" x14ac:dyDescent="0.3">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x14ac:dyDescent="0.3">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x14ac:dyDescent="0.3">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x14ac:dyDescent="0.3">
      <c r="A145" s="40"/>
      <c r="B145" s="87" t="str">
        <f>'G-2 Habitat groups'!AU132</f>
        <v>Urban - Vacant/derelict land/ bareground</v>
      </c>
      <c r="C145" s="88" t="str">
        <f>'G-2 Habitat groups'!AV132</f>
        <v>Urban</v>
      </c>
      <c r="D145" s="493">
        <f>'G-2 Habitat groups'!BB132</f>
        <v>0</v>
      </c>
      <c r="E145" s="493">
        <f>'G-2 Habitat groups'!BD132</f>
        <v>0</v>
      </c>
      <c r="F145" s="480">
        <f>'G-2 Habitat groups'!BE132</f>
        <v>0</v>
      </c>
      <c r="G145" s="40"/>
      <c r="H145" s="40"/>
      <c r="I145" s="40"/>
      <c r="J145" s="40"/>
      <c r="K145" s="40"/>
      <c r="L145" s="40"/>
      <c r="M145" s="40"/>
      <c r="N145" s="40"/>
      <c r="O145" s="40"/>
    </row>
    <row r="146" spans="1:17" x14ac:dyDescent="0.3">
      <c r="A146" s="40"/>
      <c r="B146" s="87" t="str">
        <f>'G-2 Habitat groups'!AU133</f>
        <v>Urban - Vegetated garden</v>
      </c>
      <c r="C146" s="88" t="str">
        <f>'G-2 Habitat groups'!AV133</f>
        <v>Urban</v>
      </c>
      <c r="D146" s="493">
        <f>'G-2 Habitat groups'!BB133</f>
        <v>-1E-3</v>
      </c>
      <c r="E146" s="493">
        <f>'G-2 Habitat groups'!BD133</f>
        <v>0</v>
      </c>
      <c r="F146" s="480">
        <f>'G-2 Habitat groups'!BE133</f>
        <v>-1E-3</v>
      </c>
      <c r="G146" s="40"/>
      <c r="H146" s="40"/>
      <c r="I146" s="40"/>
      <c r="J146" s="40"/>
      <c r="K146" s="40"/>
      <c r="L146" s="40"/>
      <c r="M146" s="40"/>
      <c r="N146" s="40"/>
      <c r="O146" s="40"/>
    </row>
    <row r="147" spans="1:17" x14ac:dyDescent="0.3">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x14ac:dyDescent="0.3">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x14ac:dyDescent="0.3">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x14ac:dyDescent="0.3">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x14ac:dyDescent="0.3">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x14ac:dyDescent="0.3">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x14ac:dyDescent="0.3">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x14ac:dyDescent="0.3">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x14ac:dyDescent="0.3">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x14ac:dyDescent="0.3">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x14ac:dyDescent="0.3">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4.5" thickBot="1" x14ac:dyDescent="0.35">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4.5" thickBot="1" x14ac:dyDescent="0.35">
      <c r="A159" s="40"/>
      <c r="B159" s="40"/>
      <c r="C159" s="40"/>
      <c r="D159" s="479">
        <f>SUM(D123:D158)</f>
        <v>0.11954288499999997</v>
      </c>
      <c r="E159" s="40"/>
      <c r="F159" s="479">
        <f>SUM(F123:F158)</f>
        <v>0.11954288499999997</v>
      </c>
      <c r="G159" s="40"/>
      <c r="H159" s="40"/>
      <c r="I159" s="40"/>
      <c r="J159" s="40"/>
      <c r="K159" s="40"/>
      <c r="L159" s="40"/>
      <c r="M159" s="40"/>
      <c r="N159" s="40"/>
      <c r="O159" s="40"/>
      <c r="P159" s="40"/>
      <c r="Q159" s="40"/>
    </row>
    <row r="160" spans="1:17" x14ac:dyDescent="0.3">
      <c r="A160" s="40"/>
      <c r="G160" s="40"/>
      <c r="H160" s="40"/>
      <c r="I160" s="40"/>
      <c r="J160" s="40"/>
      <c r="K160" s="40"/>
      <c r="L160" s="40"/>
      <c r="M160" s="40"/>
      <c r="N160" s="40"/>
      <c r="O160" s="40"/>
      <c r="P160" s="40"/>
      <c r="Q160" s="40"/>
    </row>
    <row r="161" spans="1:17" hidden="1" x14ac:dyDescent="0.3">
      <c r="A161" s="40"/>
      <c r="B161" s="40"/>
      <c r="C161" s="40"/>
      <c r="D161" s="40"/>
      <c r="E161" s="40"/>
      <c r="F161" s="40"/>
      <c r="G161" s="40"/>
      <c r="H161" s="40"/>
      <c r="I161" s="40"/>
      <c r="J161" s="40"/>
      <c r="K161" s="40"/>
      <c r="L161" s="40"/>
      <c r="M161" s="40"/>
      <c r="N161" s="40"/>
      <c r="O161" s="40"/>
      <c r="P161" s="40"/>
      <c r="Q161" s="40"/>
    </row>
    <row r="162" spans="1:17" hidden="1" x14ac:dyDescent="0.3">
      <c r="A162" s="40"/>
      <c r="B162" s="40"/>
      <c r="C162" s="40"/>
      <c r="D162" s="40"/>
      <c r="E162" s="40"/>
      <c r="F162" s="40"/>
      <c r="G162" s="40"/>
      <c r="H162" s="40"/>
      <c r="I162" s="40"/>
      <c r="J162" s="40"/>
      <c r="K162" s="40"/>
      <c r="L162" s="40"/>
      <c r="M162" s="40"/>
      <c r="N162" s="40"/>
      <c r="O162" s="40"/>
      <c r="P162" s="40"/>
      <c r="Q162" s="40"/>
    </row>
    <row r="163" spans="1:17" hidden="1" x14ac:dyDescent="0.3">
      <c r="A163" s="40"/>
      <c r="B163" s="40"/>
      <c r="C163" s="40"/>
      <c r="D163" s="40"/>
      <c r="E163" s="40"/>
      <c r="F163" s="40"/>
      <c r="G163" s="40"/>
      <c r="H163" s="40"/>
      <c r="I163" s="40"/>
      <c r="J163" s="40"/>
      <c r="K163" s="40"/>
      <c r="L163" s="40"/>
      <c r="M163" s="40"/>
      <c r="N163" s="40"/>
      <c r="O163" s="40"/>
      <c r="P163" s="40"/>
      <c r="Q163" s="40"/>
    </row>
    <row r="164" spans="1:17" hidden="1" x14ac:dyDescent="0.3">
      <c r="A164" s="40"/>
      <c r="B164" s="40"/>
      <c r="C164" s="40"/>
      <c r="D164" s="40"/>
      <c r="E164" s="40"/>
      <c r="F164" s="40"/>
      <c r="G164" s="40"/>
      <c r="H164" s="40"/>
      <c r="I164" s="40"/>
      <c r="J164" s="40"/>
      <c r="K164" s="40"/>
      <c r="L164" s="40"/>
      <c r="M164" s="40"/>
      <c r="N164" s="40"/>
      <c r="O164" s="40"/>
      <c r="P164" s="40"/>
      <c r="Q164" s="40"/>
    </row>
    <row r="165" spans="1:17" hidden="1" x14ac:dyDescent="0.3">
      <c r="A165" s="40"/>
      <c r="B165" s="40"/>
      <c r="C165" s="40"/>
      <c r="D165" s="40"/>
      <c r="E165" s="40"/>
      <c r="F165" s="40"/>
      <c r="G165" s="40"/>
      <c r="H165" s="40"/>
      <c r="I165" s="40"/>
      <c r="J165" s="40"/>
      <c r="K165" s="40"/>
      <c r="L165" s="40"/>
      <c r="M165" s="40"/>
      <c r="N165" s="40"/>
      <c r="O165" s="40"/>
      <c r="P165" s="40"/>
      <c r="Q165" s="40"/>
    </row>
    <row r="166" spans="1:17" hidden="1" x14ac:dyDescent="0.3">
      <c r="A166" s="40"/>
      <c r="B166" s="40"/>
      <c r="C166" s="40"/>
      <c r="D166" s="40"/>
      <c r="E166" s="40"/>
      <c r="F166" s="40"/>
      <c r="G166" s="40"/>
      <c r="H166" s="40"/>
      <c r="I166" s="40"/>
      <c r="J166" s="40"/>
      <c r="K166" s="40"/>
      <c r="L166" s="40"/>
      <c r="M166" s="40"/>
      <c r="N166" s="40"/>
      <c r="O166" s="40"/>
      <c r="P166" s="40"/>
      <c r="Q166" s="40"/>
    </row>
    <row r="167" spans="1:17" hidden="1" x14ac:dyDescent="0.3">
      <c r="A167" s="40"/>
      <c r="B167" s="40"/>
      <c r="C167" s="40"/>
      <c r="D167" s="40"/>
      <c r="E167" s="40"/>
      <c r="F167" s="40"/>
      <c r="G167" s="40"/>
      <c r="H167" s="40"/>
      <c r="I167" s="40"/>
      <c r="J167" s="40"/>
      <c r="K167" s="40"/>
      <c r="L167" s="40"/>
      <c r="M167" s="40"/>
      <c r="N167" s="40"/>
      <c r="O167" s="40"/>
      <c r="P167" s="40"/>
      <c r="Q167" s="40"/>
    </row>
    <row r="168" spans="1:17" hidden="1" x14ac:dyDescent="0.3">
      <c r="A168" s="40"/>
      <c r="B168" s="40"/>
      <c r="C168" s="40"/>
      <c r="D168" s="40"/>
      <c r="E168" s="40"/>
      <c r="F168" s="40"/>
      <c r="G168" s="40"/>
      <c r="H168" s="40"/>
      <c r="I168" s="40"/>
      <c r="J168" s="40"/>
      <c r="K168" s="40"/>
      <c r="L168" s="40"/>
      <c r="M168" s="40"/>
      <c r="N168" s="40"/>
      <c r="O168" s="40"/>
      <c r="P168" s="40"/>
      <c r="Q168" s="40"/>
    </row>
    <row r="169" spans="1:17" hidden="1" x14ac:dyDescent="0.3">
      <c r="A169" s="40"/>
      <c r="B169" s="40"/>
      <c r="C169" s="40"/>
      <c r="D169" s="40"/>
      <c r="E169" s="40"/>
      <c r="F169" s="40"/>
      <c r="G169" s="40"/>
      <c r="H169" s="40"/>
      <c r="I169" s="40"/>
      <c r="J169" s="40"/>
      <c r="K169" s="40"/>
      <c r="L169" s="40"/>
      <c r="M169" s="40"/>
      <c r="N169" s="40"/>
      <c r="O169" s="40"/>
      <c r="P169" s="40"/>
      <c r="Q169" s="40"/>
    </row>
    <row r="170" spans="1:17" hidden="1" x14ac:dyDescent="0.3">
      <c r="A170" s="40"/>
      <c r="B170" s="40"/>
      <c r="C170" s="40"/>
      <c r="D170" s="40"/>
      <c r="E170" s="40"/>
      <c r="F170" s="40"/>
      <c r="G170" s="40"/>
      <c r="H170" s="40"/>
      <c r="I170" s="40"/>
      <c r="J170" s="40"/>
      <c r="K170" s="40"/>
      <c r="L170" s="40"/>
      <c r="M170" s="40"/>
      <c r="N170" s="40"/>
      <c r="O170" s="40"/>
      <c r="P170" s="40"/>
      <c r="Q170" s="40"/>
    </row>
    <row r="171" spans="1:17" hidden="1" x14ac:dyDescent="0.3">
      <c r="A171" s="40"/>
      <c r="B171" s="40"/>
      <c r="C171" s="40"/>
      <c r="D171" s="40"/>
      <c r="E171" s="40"/>
      <c r="F171" s="40"/>
      <c r="G171" s="40"/>
      <c r="H171" s="40"/>
      <c r="I171" s="40"/>
      <c r="J171" s="40"/>
      <c r="K171" s="40"/>
      <c r="L171" s="40"/>
      <c r="M171" s="40"/>
      <c r="N171" s="40"/>
      <c r="O171" s="40"/>
      <c r="P171" s="40"/>
      <c r="Q171" s="40"/>
    </row>
    <row r="172" spans="1:17" hidden="1" x14ac:dyDescent="0.3">
      <c r="A172" s="40"/>
      <c r="B172" s="40"/>
      <c r="C172" s="40"/>
      <c r="D172" s="40"/>
      <c r="E172" s="40"/>
      <c r="F172" s="40"/>
      <c r="G172" s="40"/>
      <c r="H172" s="40"/>
      <c r="I172" s="40"/>
      <c r="J172" s="40"/>
      <c r="K172" s="40"/>
      <c r="L172" s="40"/>
      <c r="M172" s="40"/>
      <c r="N172" s="40"/>
      <c r="O172" s="40"/>
      <c r="P172" s="40"/>
      <c r="Q172" s="40"/>
    </row>
    <row r="173" spans="1:17" hidden="1" x14ac:dyDescent="0.3">
      <c r="A173" s="40"/>
      <c r="B173" s="40"/>
      <c r="C173" s="40"/>
      <c r="D173" s="40"/>
      <c r="E173" s="40"/>
      <c r="F173" s="40"/>
      <c r="G173" s="40"/>
      <c r="H173" s="40"/>
      <c r="I173" s="40"/>
      <c r="J173" s="40"/>
      <c r="K173" s="40"/>
      <c r="L173" s="40"/>
      <c r="M173" s="40"/>
      <c r="N173" s="40"/>
      <c r="O173" s="40"/>
      <c r="P173" s="40"/>
      <c r="Q173" s="40"/>
    </row>
    <row r="174" spans="1:17" hidden="1" x14ac:dyDescent="0.3">
      <c r="A174" s="40"/>
      <c r="B174" s="40"/>
      <c r="C174" s="40"/>
      <c r="D174" s="40"/>
      <c r="E174" s="40"/>
      <c r="F174" s="40"/>
      <c r="G174" s="40"/>
      <c r="H174" s="40"/>
      <c r="I174" s="40"/>
      <c r="J174" s="40"/>
      <c r="K174" s="40"/>
      <c r="L174" s="40"/>
      <c r="M174" s="40"/>
      <c r="N174" s="40"/>
      <c r="O174" s="40"/>
      <c r="P174" s="40"/>
      <c r="Q174" s="40"/>
    </row>
    <row r="175" spans="1:17" hidden="1" x14ac:dyDescent="0.3">
      <c r="A175" s="40"/>
      <c r="B175" s="40"/>
      <c r="C175" s="40"/>
      <c r="D175" s="40"/>
      <c r="E175" s="40"/>
      <c r="F175" s="40"/>
      <c r="G175" s="40"/>
      <c r="H175" s="40"/>
      <c r="I175" s="40"/>
      <c r="J175" s="40"/>
      <c r="K175" s="40"/>
      <c r="L175" s="40"/>
      <c r="M175" s="40"/>
      <c r="N175" s="40"/>
      <c r="O175" s="40"/>
      <c r="P175" s="40"/>
      <c r="Q175" s="40"/>
    </row>
    <row r="176" spans="1:17" hidden="1" x14ac:dyDescent="0.3">
      <c r="A176" s="40"/>
      <c r="B176" s="40"/>
      <c r="C176" s="40"/>
      <c r="D176" s="40"/>
      <c r="E176" s="40"/>
      <c r="F176" s="40"/>
      <c r="G176" s="40"/>
      <c r="H176" s="40"/>
      <c r="I176" s="40"/>
      <c r="J176" s="40"/>
      <c r="K176" s="40"/>
      <c r="L176" s="40"/>
      <c r="M176" s="40"/>
      <c r="N176" s="40"/>
      <c r="O176" s="40"/>
      <c r="P176" s="40"/>
      <c r="Q176" s="40"/>
    </row>
    <row r="177" spans="1:17" hidden="1" x14ac:dyDescent="0.3">
      <c r="A177" s="40"/>
      <c r="B177" s="40"/>
      <c r="C177" s="40"/>
      <c r="D177" s="40"/>
      <c r="E177" s="40"/>
      <c r="F177" s="40"/>
      <c r="G177" s="40"/>
      <c r="H177" s="40"/>
      <c r="I177" s="40"/>
      <c r="J177" s="40"/>
      <c r="K177" s="40"/>
      <c r="L177" s="40"/>
      <c r="M177" s="40"/>
      <c r="N177" s="40"/>
      <c r="O177" s="40"/>
      <c r="P177" s="40"/>
      <c r="Q177" s="40"/>
    </row>
    <row r="178" spans="1:17" hidden="1" x14ac:dyDescent="0.3">
      <c r="A178" s="40"/>
      <c r="B178" s="40"/>
      <c r="C178" s="40"/>
      <c r="D178" s="40"/>
      <c r="E178" s="40"/>
      <c r="F178" s="40"/>
      <c r="G178" s="40"/>
      <c r="H178" s="40"/>
      <c r="I178" s="40"/>
      <c r="J178" s="40"/>
      <c r="K178" s="40"/>
      <c r="L178" s="40"/>
      <c r="M178" s="40"/>
      <c r="N178" s="40"/>
      <c r="O178" s="40"/>
      <c r="P178" s="40"/>
      <c r="Q178" s="40"/>
    </row>
    <row r="179" spans="1:17" hidden="1" x14ac:dyDescent="0.3">
      <c r="A179" s="40"/>
      <c r="B179" s="40"/>
      <c r="C179" s="40"/>
      <c r="D179" s="40"/>
      <c r="E179" s="40"/>
      <c r="F179" s="40"/>
      <c r="G179" s="40"/>
      <c r="H179" s="40"/>
      <c r="I179" s="40"/>
      <c r="J179" s="40"/>
      <c r="K179" s="40"/>
      <c r="L179" s="40"/>
      <c r="M179" s="40"/>
      <c r="N179" s="40"/>
      <c r="O179" s="40"/>
      <c r="P179" s="40"/>
      <c r="Q179" s="40"/>
    </row>
    <row r="180" spans="1:17" hidden="1" x14ac:dyDescent="0.3">
      <c r="A180" s="40"/>
      <c r="B180" s="40"/>
      <c r="C180" s="40"/>
      <c r="D180" s="40"/>
      <c r="E180" s="40"/>
      <c r="F180" s="40"/>
      <c r="G180" s="40"/>
      <c r="H180" s="40"/>
      <c r="I180" s="40"/>
      <c r="J180" s="40"/>
      <c r="K180" s="40"/>
      <c r="L180" s="40"/>
      <c r="M180" s="40"/>
      <c r="N180" s="40"/>
      <c r="O180" s="40"/>
      <c r="P180" s="40"/>
      <c r="Q180" s="40"/>
    </row>
    <row r="181" spans="1:17" hidden="1" x14ac:dyDescent="0.3">
      <c r="A181" s="40"/>
      <c r="B181" s="40"/>
      <c r="C181" s="40"/>
      <c r="D181" s="40"/>
      <c r="E181" s="40"/>
      <c r="F181" s="40"/>
      <c r="G181" s="40"/>
      <c r="H181" s="40"/>
      <c r="I181" s="40"/>
      <c r="J181" s="40"/>
      <c r="K181" s="40"/>
      <c r="L181" s="40"/>
      <c r="M181" s="40"/>
      <c r="N181" s="40"/>
      <c r="O181" s="40"/>
      <c r="P181" s="40"/>
      <c r="Q181" s="40"/>
    </row>
    <row r="182" spans="1:17" hidden="1" x14ac:dyDescent="0.3">
      <c r="A182" s="40"/>
      <c r="B182" s="40"/>
      <c r="C182" s="40"/>
      <c r="D182" s="40"/>
      <c r="E182" s="40"/>
      <c r="F182" s="40"/>
      <c r="G182" s="40"/>
      <c r="H182" s="40"/>
      <c r="I182" s="40"/>
      <c r="J182" s="40"/>
      <c r="K182" s="40"/>
      <c r="L182" s="40"/>
      <c r="M182" s="40"/>
      <c r="N182" s="40"/>
      <c r="O182" s="40"/>
      <c r="P182" s="40"/>
      <c r="Q182" s="40"/>
    </row>
    <row r="183" spans="1:17" hidden="1" x14ac:dyDescent="0.3">
      <c r="A183" s="40"/>
      <c r="B183" s="40"/>
      <c r="C183" s="40"/>
      <c r="D183" s="40"/>
      <c r="E183" s="40"/>
      <c r="F183" s="40"/>
      <c r="G183" s="40"/>
      <c r="H183" s="40"/>
      <c r="I183" s="40"/>
      <c r="J183" s="40"/>
      <c r="K183" s="40"/>
      <c r="L183" s="40"/>
      <c r="M183" s="40"/>
      <c r="N183" s="40"/>
      <c r="O183" s="40"/>
      <c r="P183" s="40"/>
      <c r="Q183" s="40"/>
    </row>
    <row r="184" spans="1:17" hidden="1" x14ac:dyDescent="0.3">
      <c r="A184" s="40"/>
      <c r="B184" s="40"/>
      <c r="C184" s="40"/>
      <c r="D184" s="40"/>
      <c r="E184" s="40"/>
      <c r="F184" s="40"/>
      <c r="G184" s="40"/>
      <c r="H184" s="40"/>
      <c r="I184" s="40"/>
      <c r="J184" s="40"/>
      <c r="K184" s="40"/>
      <c r="L184" s="40"/>
      <c r="M184" s="40"/>
      <c r="N184" s="40"/>
      <c r="O184" s="40"/>
      <c r="P184" s="40"/>
      <c r="Q184" s="40"/>
    </row>
    <row r="185" spans="1:17" hidden="1" x14ac:dyDescent="0.3">
      <c r="A185" s="40"/>
      <c r="B185" s="40"/>
      <c r="C185" s="40"/>
      <c r="D185" s="40"/>
      <c r="E185" s="40"/>
      <c r="F185" s="40"/>
      <c r="G185" s="40"/>
      <c r="H185" s="40"/>
      <c r="I185" s="40"/>
      <c r="J185" s="40"/>
      <c r="K185" s="40"/>
      <c r="L185" s="40"/>
      <c r="M185" s="40"/>
      <c r="N185" s="40"/>
      <c r="O185" s="40"/>
      <c r="P185" s="40"/>
      <c r="Q185" s="40"/>
    </row>
    <row r="186" spans="1:17" hidden="1" x14ac:dyDescent="0.3">
      <c r="A186" s="40"/>
      <c r="B186" s="40"/>
      <c r="C186" s="40"/>
      <c r="D186" s="40"/>
      <c r="E186" s="40"/>
      <c r="F186" s="40"/>
      <c r="G186" s="40"/>
      <c r="H186" s="40"/>
      <c r="I186" s="40"/>
      <c r="J186" s="40"/>
      <c r="K186" s="40"/>
      <c r="L186" s="40"/>
      <c r="M186" s="40"/>
      <c r="N186" s="40"/>
      <c r="O186" s="40"/>
      <c r="P186" s="40"/>
      <c r="Q186" s="40"/>
    </row>
    <row r="187" spans="1:17" hidden="1" x14ac:dyDescent="0.3">
      <c r="A187" s="40"/>
      <c r="B187" s="40"/>
      <c r="C187" s="40"/>
      <c r="D187" s="40"/>
      <c r="E187" s="40"/>
      <c r="F187" s="40"/>
      <c r="G187" s="40"/>
      <c r="H187" s="40"/>
      <c r="I187" s="40"/>
      <c r="J187" s="40"/>
      <c r="K187" s="40"/>
      <c r="L187" s="40"/>
      <c r="M187" s="40"/>
      <c r="N187" s="40"/>
      <c r="O187" s="40"/>
      <c r="P187" s="40"/>
      <c r="Q187" s="40"/>
    </row>
    <row r="188" spans="1:17" hidden="1" x14ac:dyDescent="0.3">
      <c r="A188" s="40"/>
      <c r="B188" s="40"/>
      <c r="C188" s="40"/>
      <c r="D188" s="40"/>
      <c r="E188" s="40"/>
      <c r="F188" s="40"/>
      <c r="G188" s="40"/>
      <c r="H188" s="40"/>
      <c r="I188" s="40"/>
      <c r="J188" s="40"/>
      <c r="K188" s="40"/>
      <c r="L188" s="40"/>
      <c r="M188" s="40"/>
      <c r="N188" s="40"/>
      <c r="O188" s="40"/>
      <c r="P188" s="40"/>
      <c r="Q188" s="40"/>
    </row>
    <row r="189" spans="1:17" hidden="1" x14ac:dyDescent="0.3">
      <c r="A189" s="40"/>
      <c r="B189" s="40"/>
      <c r="C189" s="40"/>
      <c r="D189" s="40"/>
      <c r="E189" s="40"/>
      <c r="F189" s="40"/>
      <c r="G189" s="40"/>
      <c r="H189" s="40"/>
      <c r="I189" s="40"/>
      <c r="J189" s="40"/>
      <c r="K189" s="40"/>
      <c r="L189" s="40"/>
      <c r="M189" s="40"/>
      <c r="N189" s="40"/>
      <c r="O189" s="40"/>
      <c r="P189" s="40"/>
      <c r="Q189" s="40"/>
    </row>
    <row r="190" spans="1:17" hidden="1" x14ac:dyDescent="0.3">
      <c r="A190" s="40"/>
      <c r="B190" s="40"/>
      <c r="C190" s="40"/>
      <c r="D190" s="40"/>
      <c r="E190" s="40"/>
      <c r="F190" s="40"/>
      <c r="G190" s="40"/>
      <c r="H190" s="40"/>
      <c r="I190" s="40"/>
      <c r="J190" s="40"/>
      <c r="K190" s="40"/>
      <c r="L190" s="40"/>
      <c r="M190" s="40"/>
      <c r="N190" s="40"/>
      <c r="O190" s="40"/>
      <c r="P190" s="40"/>
      <c r="Q190" s="40"/>
    </row>
    <row r="191" spans="1:17" hidden="1" x14ac:dyDescent="0.3">
      <c r="A191" s="40"/>
      <c r="B191" s="40"/>
      <c r="C191" s="40"/>
      <c r="D191" s="40"/>
      <c r="E191" s="40"/>
      <c r="F191" s="40"/>
      <c r="G191" s="40"/>
      <c r="H191" s="40"/>
      <c r="I191" s="40"/>
      <c r="J191" s="40"/>
      <c r="K191" s="40"/>
      <c r="L191" s="40"/>
      <c r="M191" s="40"/>
      <c r="N191" s="40"/>
      <c r="O191" s="40"/>
      <c r="P191" s="40"/>
      <c r="Q191" s="40"/>
    </row>
    <row r="192" spans="1:17" hidden="1" x14ac:dyDescent="0.3">
      <c r="A192" s="40"/>
      <c r="B192" s="40"/>
      <c r="C192" s="40"/>
      <c r="D192" s="40"/>
      <c r="E192" s="40"/>
      <c r="F192" s="40"/>
      <c r="G192" s="40"/>
      <c r="H192" s="40"/>
      <c r="I192" s="40"/>
      <c r="J192" s="40"/>
      <c r="K192" s="40"/>
      <c r="L192" s="40"/>
      <c r="M192" s="40"/>
      <c r="N192" s="40"/>
      <c r="O192" s="40"/>
      <c r="P192" s="40"/>
      <c r="Q192" s="40"/>
    </row>
    <row r="193" spans="1:17" hidden="1" x14ac:dyDescent="0.3">
      <c r="A193" s="40"/>
      <c r="B193" s="40"/>
      <c r="C193" s="40"/>
      <c r="D193" s="40"/>
      <c r="E193" s="40"/>
      <c r="F193" s="40"/>
      <c r="G193" s="40"/>
      <c r="H193" s="40"/>
      <c r="I193" s="40"/>
      <c r="J193" s="40"/>
      <c r="K193" s="40"/>
      <c r="L193" s="40"/>
      <c r="M193" s="40"/>
      <c r="N193" s="40"/>
      <c r="O193" s="40"/>
      <c r="P193" s="40"/>
      <c r="Q193" s="40"/>
    </row>
    <row r="194" spans="1:17" hidden="1" x14ac:dyDescent="0.3">
      <c r="A194" s="40"/>
      <c r="B194" s="40"/>
      <c r="C194" s="40"/>
      <c r="D194" s="40"/>
      <c r="E194" s="40"/>
      <c r="F194" s="40"/>
      <c r="G194" s="40"/>
      <c r="H194" s="40"/>
      <c r="I194" s="40"/>
      <c r="J194" s="40"/>
      <c r="K194" s="40"/>
      <c r="L194" s="40"/>
      <c r="M194" s="40"/>
      <c r="N194" s="40"/>
      <c r="O194" s="40"/>
      <c r="P194" s="40"/>
      <c r="Q194" s="40"/>
    </row>
    <row r="195" spans="1:17" hidden="1" x14ac:dyDescent="0.3">
      <c r="A195" s="40"/>
      <c r="B195" s="40"/>
      <c r="C195" s="40"/>
      <c r="D195" s="40"/>
      <c r="E195" s="40"/>
      <c r="F195" s="40"/>
      <c r="G195" s="40"/>
      <c r="H195" s="40"/>
      <c r="I195" s="40"/>
      <c r="J195" s="40"/>
      <c r="K195" s="40"/>
      <c r="L195" s="40"/>
      <c r="M195" s="40"/>
      <c r="N195" s="40"/>
      <c r="O195" s="40"/>
      <c r="P195" s="40"/>
      <c r="Q195" s="40"/>
    </row>
    <row r="196" spans="1:17" hidden="1" x14ac:dyDescent="0.3">
      <c r="A196" s="40"/>
      <c r="B196" s="40"/>
      <c r="C196" s="40"/>
      <c r="D196" s="40"/>
      <c r="E196" s="40"/>
      <c r="F196" s="40"/>
      <c r="G196" s="40"/>
      <c r="H196" s="40"/>
      <c r="I196" s="40"/>
      <c r="J196" s="40"/>
      <c r="K196" s="40"/>
      <c r="L196" s="40"/>
      <c r="M196" s="40"/>
      <c r="N196" s="40"/>
      <c r="O196" s="40"/>
      <c r="P196" s="40"/>
      <c r="Q196" s="40"/>
    </row>
    <row r="197" spans="1:17" hidden="1" x14ac:dyDescent="0.3">
      <c r="A197" s="40"/>
      <c r="B197" s="40"/>
      <c r="C197" s="40"/>
      <c r="D197" s="40"/>
      <c r="E197" s="40"/>
      <c r="F197" s="40"/>
      <c r="G197" s="40"/>
      <c r="H197" s="40"/>
      <c r="I197" s="40"/>
      <c r="J197" s="40"/>
      <c r="K197" s="40"/>
      <c r="L197" s="40"/>
      <c r="M197" s="40"/>
      <c r="N197" s="40"/>
      <c r="O197" s="40"/>
      <c r="P197" s="40"/>
      <c r="Q197" s="40"/>
    </row>
    <row r="198" spans="1:17" hidden="1" x14ac:dyDescent="0.3">
      <c r="A198" s="40"/>
      <c r="B198" s="40"/>
      <c r="C198" s="40"/>
      <c r="D198" s="40"/>
      <c r="E198" s="40"/>
      <c r="F198" s="40"/>
      <c r="G198" s="40"/>
      <c r="H198" s="40"/>
      <c r="I198" s="40"/>
      <c r="J198" s="40"/>
      <c r="K198" s="40"/>
      <c r="L198" s="40"/>
      <c r="M198" s="40"/>
      <c r="N198" s="40"/>
      <c r="O198" s="40"/>
      <c r="P198" s="40"/>
      <c r="Q198" s="40"/>
    </row>
    <row r="199" spans="1:17" hidden="1" x14ac:dyDescent="0.3">
      <c r="A199" s="40"/>
      <c r="B199" s="40"/>
      <c r="C199" s="40"/>
      <c r="D199" s="40"/>
      <c r="E199" s="40"/>
      <c r="F199" s="40"/>
      <c r="G199" s="40"/>
      <c r="H199" s="40"/>
      <c r="I199" s="40"/>
      <c r="J199" s="40"/>
      <c r="K199" s="40"/>
      <c r="L199" s="40"/>
      <c r="M199" s="40"/>
      <c r="N199" s="40"/>
      <c r="O199" s="40"/>
      <c r="P199" s="40"/>
      <c r="Q199" s="40"/>
    </row>
    <row r="200" spans="1:17" hidden="1" x14ac:dyDescent="0.3">
      <c r="A200" s="40"/>
      <c r="B200" s="40"/>
      <c r="C200" s="40"/>
      <c r="D200" s="40"/>
      <c r="E200" s="40"/>
      <c r="F200" s="40"/>
      <c r="G200" s="40"/>
      <c r="H200" s="40"/>
      <c r="I200" s="40"/>
      <c r="J200" s="40"/>
      <c r="K200" s="40"/>
      <c r="L200" s="40"/>
      <c r="M200" s="40"/>
      <c r="N200" s="40"/>
      <c r="O200" s="40"/>
      <c r="P200" s="40"/>
      <c r="Q200" s="40"/>
    </row>
    <row r="201" spans="1:17" hidden="1" x14ac:dyDescent="0.3">
      <c r="A201" s="40"/>
      <c r="B201" s="40"/>
      <c r="C201" s="40"/>
      <c r="D201" s="40"/>
      <c r="E201" s="40"/>
      <c r="F201" s="40"/>
      <c r="G201" s="40"/>
      <c r="H201" s="40"/>
      <c r="I201" s="40"/>
      <c r="J201" s="40"/>
      <c r="K201" s="40"/>
      <c r="L201" s="40"/>
      <c r="M201" s="40"/>
      <c r="N201" s="40"/>
      <c r="O201" s="40"/>
      <c r="P201" s="40"/>
      <c r="Q201" s="40"/>
    </row>
    <row r="202" spans="1:17" hidden="1" x14ac:dyDescent="0.3">
      <c r="A202" s="40"/>
      <c r="B202" s="40"/>
      <c r="C202" s="40"/>
      <c r="D202" s="40"/>
      <c r="E202" s="40"/>
      <c r="F202" s="40"/>
      <c r="G202" s="40"/>
      <c r="H202" s="40"/>
      <c r="I202" s="40"/>
      <c r="J202" s="40"/>
      <c r="K202" s="40"/>
      <c r="L202" s="40"/>
      <c r="M202" s="40"/>
      <c r="N202" s="40"/>
      <c r="O202" s="40"/>
      <c r="P202" s="40"/>
      <c r="Q202" s="40"/>
    </row>
    <row r="203" spans="1:17" hidden="1" x14ac:dyDescent="0.3">
      <c r="A203" s="40"/>
      <c r="B203" s="40"/>
      <c r="C203" s="40"/>
      <c r="D203" s="40"/>
      <c r="E203" s="40"/>
      <c r="F203" s="40"/>
      <c r="G203" s="40"/>
      <c r="H203" s="40"/>
      <c r="I203" s="40"/>
      <c r="J203" s="40"/>
      <c r="K203" s="40"/>
      <c r="L203" s="40"/>
      <c r="M203" s="40"/>
      <c r="N203" s="40"/>
      <c r="O203" s="40"/>
      <c r="P203" s="40"/>
      <c r="Q203" s="40"/>
    </row>
    <row r="204" spans="1:17" hidden="1" x14ac:dyDescent="0.3">
      <c r="A204" s="40"/>
      <c r="B204" s="40"/>
      <c r="C204" s="40"/>
      <c r="D204" s="40"/>
      <c r="E204" s="40"/>
      <c r="F204" s="40"/>
      <c r="G204" s="40"/>
      <c r="H204" s="40"/>
      <c r="I204" s="40"/>
      <c r="J204" s="40"/>
      <c r="K204" s="40"/>
      <c r="L204" s="40"/>
      <c r="M204" s="40"/>
      <c r="N204" s="40"/>
      <c r="O204" s="40"/>
      <c r="P204" s="40"/>
      <c r="Q204" s="40"/>
    </row>
    <row r="205" spans="1:17" hidden="1" x14ac:dyDescent="0.3">
      <c r="A205" s="40"/>
      <c r="B205" s="40"/>
      <c r="C205" s="40"/>
      <c r="D205" s="40"/>
      <c r="E205" s="40"/>
      <c r="F205" s="40"/>
      <c r="G205" s="40"/>
      <c r="H205" s="40"/>
      <c r="I205" s="40"/>
      <c r="J205" s="40"/>
      <c r="K205" s="40"/>
      <c r="L205" s="40"/>
      <c r="M205" s="40"/>
      <c r="N205" s="40"/>
      <c r="O205" s="40"/>
      <c r="P205" s="40"/>
      <c r="Q205" s="40"/>
    </row>
    <row r="206" spans="1:17" hidden="1" x14ac:dyDescent="0.3">
      <c r="A206" s="40"/>
      <c r="B206" s="40"/>
      <c r="C206" s="40"/>
      <c r="D206" s="40"/>
      <c r="E206" s="40"/>
      <c r="F206" s="40"/>
      <c r="G206" s="40"/>
      <c r="H206" s="40"/>
      <c r="I206" s="40"/>
      <c r="J206" s="40"/>
      <c r="K206" s="40"/>
      <c r="L206" s="40"/>
      <c r="M206" s="40"/>
      <c r="N206" s="40"/>
      <c r="O206" s="40"/>
      <c r="P206" s="40"/>
      <c r="Q206" s="40"/>
    </row>
    <row r="207" spans="1:17" hidden="1" x14ac:dyDescent="0.3">
      <c r="A207" s="40"/>
      <c r="B207" s="40"/>
      <c r="C207" s="40"/>
      <c r="D207" s="40"/>
      <c r="E207" s="40"/>
      <c r="F207" s="40"/>
      <c r="G207" s="40"/>
      <c r="H207" s="40"/>
      <c r="I207" s="40"/>
      <c r="J207" s="40"/>
      <c r="K207" s="40"/>
      <c r="L207" s="40"/>
      <c r="M207" s="40"/>
      <c r="N207" s="40"/>
      <c r="O207" s="40"/>
      <c r="P207" s="40"/>
      <c r="Q207" s="40"/>
    </row>
    <row r="208" spans="1:17" hidden="1" x14ac:dyDescent="0.3">
      <c r="A208" s="40"/>
      <c r="B208" s="40"/>
      <c r="C208" s="40"/>
      <c r="D208" s="40"/>
      <c r="E208" s="40"/>
      <c r="F208" s="40"/>
      <c r="G208" s="40"/>
      <c r="H208" s="40"/>
      <c r="I208" s="40"/>
      <c r="J208" s="40"/>
      <c r="K208" s="40"/>
      <c r="L208" s="40"/>
      <c r="M208" s="40"/>
      <c r="N208" s="40"/>
      <c r="O208" s="40"/>
      <c r="P208" s="40"/>
      <c r="Q208" s="40"/>
    </row>
    <row r="209" spans="1:17" hidden="1" x14ac:dyDescent="0.3">
      <c r="A209" s="40"/>
      <c r="B209" s="40"/>
      <c r="C209" s="40"/>
      <c r="D209" s="40"/>
      <c r="E209" s="40"/>
      <c r="F209" s="40"/>
      <c r="G209" s="40"/>
      <c r="H209" s="40"/>
      <c r="I209" s="40"/>
      <c r="J209" s="40"/>
      <c r="K209" s="40"/>
      <c r="L209" s="40"/>
      <c r="M209" s="40"/>
      <c r="N209" s="40"/>
      <c r="O209" s="40"/>
      <c r="P209" s="40"/>
      <c r="Q209" s="40"/>
    </row>
    <row r="210" spans="1:17" hidden="1" x14ac:dyDescent="0.3">
      <c r="A210" s="40"/>
      <c r="B210" s="40"/>
      <c r="C210" s="40"/>
      <c r="D210" s="40"/>
      <c r="E210" s="40"/>
      <c r="F210" s="40"/>
      <c r="G210" s="40"/>
      <c r="H210" s="40"/>
      <c r="I210" s="40"/>
      <c r="J210" s="40"/>
      <c r="K210" s="40"/>
      <c r="L210" s="40"/>
      <c r="M210" s="40"/>
      <c r="N210" s="40"/>
      <c r="O210" s="40"/>
      <c r="P210" s="40"/>
      <c r="Q210" s="40"/>
    </row>
    <row r="211" spans="1:17" hidden="1" x14ac:dyDescent="0.3">
      <c r="A211" s="40"/>
      <c r="B211" s="40"/>
      <c r="C211" s="40"/>
      <c r="D211" s="40"/>
      <c r="E211" s="40"/>
      <c r="F211" s="40"/>
      <c r="G211" s="40"/>
      <c r="H211" s="40"/>
      <c r="I211" s="40"/>
      <c r="J211" s="40"/>
      <c r="K211" s="40"/>
      <c r="L211" s="40"/>
      <c r="M211" s="40"/>
      <c r="N211" s="40"/>
      <c r="O211" s="40"/>
      <c r="P211" s="40"/>
      <c r="Q211" s="40"/>
    </row>
    <row r="212" spans="1:17" hidden="1" x14ac:dyDescent="0.3">
      <c r="A212" s="40"/>
      <c r="B212" s="40"/>
      <c r="C212" s="40"/>
      <c r="D212" s="40"/>
      <c r="E212" s="40"/>
      <c r="F212" s="40"/>
      <c r="G212" s="40"/>
      <c r="H212" s="40"/>
      <c r="I212" s="40"/>
      <c r="J212" s="40"/>
      <c r="K212" s="40"/>
      <c r="L212" s="40"/>
      <c r="M212" s="40"/>
      <c r="N212" s="40"/>
      <c r="O212" s="40"/>
      <c r="P212" s="40"/>
      <c r="Q212" s="40"/>
    </row>
    <row r="213" spans="1:17" hidden="1" x14ac:dyDescent="0.3">
      <c r="A213" s="40"/>
      <c r="B213" s="40"/>
      <c r="C213" s="40"/>
      <c r="D213" s="40"/>
      <c r="E213" s="40"/>
      <c r="F213" s="40"/>
      <c r="G213" s="40"/>
      <c r="H213" s="40"/>
      <c r="I213" s="40"/>
      <c r="J213" s="40"/>
      <c r="K213" s="40"/>
      <c r="L213" s="40"/>
      <c r="M213" s="40"/>
      <c r="N213" s="40"/>
      <c r="O213" s="40"/>
      <c r="P213" s="40"/>
      <c r="Q213" s="40"/>
    </row>
    <row r="214" spans="1:17" hidden="1" x14ac:dyDescent="0.3">
      <c r="A214" s="40"/>
      <c r="B214" s="40"/>
      <c r="C214" s="40"/>
      <c r="D214" s="40"/>
      <c r="E214" s="40"/>
      <c r="F214" s="40"/>
      <c r="G214" s="40"/>
      <c r="H214" s="40"/>
      <c r="I214" s="40"/>
      <c r="J214" s="40"/>
      <c r="K214" s="40"/>
      <c r="L214" s="40"/>
      <c r="M214" s="40"/>
      <c r="N214" s="40"/>
      <c r="O214" s="40"/>
      <c r="P214" s="40"/>
      <c r="Q214" s="40"/>
    </row>
    <row r="215" spans="1:17" hidden="1" x14ac:dyDescent="0.3">
      <c r="A215" s="40"/>
      <c r="B215" s="40"/>
      <c r="C215" s="40"/>
      <c r="D215" s="40"/>
      <c r="E215" s="40"/>
      <c r="F215" s="40"/>
      <c r="G215" s="40"/>
      <c r="H215" s="40"/>
      <c r="I215" s="40"/>
      <c r="J215" s="40"/>
      <c r="K215" s="40"/>
      <c r="L215" s="40"/>
      <c r="M215" s="40"/>
      <c r="N215" s="40"/>
      <c r="O215" s="40"/>
      <c r="P215" s="40"/>
      <c r="Q215" s="40"/>
    </row>
    <row r="216" spans="1:17" hidden="1" x14ac:dyDescent="0.3">
      <c r="A216" s="40"/>
      <c r="B216" s="40"/>
      <c r="C216" s="40"/>
      <c r="D216" s="40"/>
      <c r="E216" s="40"/>
      <c r="F216" s="40"/>
      <c r="G216" s="40"/>
      <c r="H216" s="40"/>
      <c r="I216" s="40"/>
      <c r="J216" s="40"/>
      <c r="K216" s="40"/>
      <c r="L216" s="40"/>
      <c r="M216" s="40"/>
      <c r="N216" s="40"/>
      <c r="O216" s="40"/>
      <c r="P216" s="40"/>
      <c r="Q216" s="40"/>
    </row>
    <row r="217" spans="1:17" hidden="1" x14ac:dyDescent="0.3">
      <c r="A217" s="40"/>
      <c r="B217" s="40"/>
      <c r="C217" s="40"/>
      <c r="D217" s="40"/>
      <c r="E217" s="40"/>
      <c r="F217" s="40"/>
      <c r="G217" s="40"/>
      <c r="H217" s="40"/>
      <c r="I217" s="40"/>
      <c r="J217" s="40"/>
      <c r="K217" s="40"/>
      <c r="L217" s="40"/>
      <c r="M217" s="40"/>
      <c r="N217" s="40"/>
      <c r="O217" s="40"/>
      <c r="P217" s="40"/>
      <c r="Q217" s="40"/>
    </row>
    <row r="218" spans="1:17" hidden="1" x14ac:dyDescent="0.3">
      <c r="A218" s="40"/>
      <c r="B218" s="40"/>
      <c r="C218" s="40"/>
      <c r="D218" s="40"/>
      <c r="E218" s="40"/>
      <c r="F218" s="40"/>
      <c r="G218" s="40"/>
      <c r="H218" s="40"/>
      <c r="I218" s="40"/>
      <c r="J218" s="40"/>
      <c r="K218" s="40"/>
      <c r="L218" s="40"/>
      <c r="M218" s="40"/>
      <c r="N218" s="40"/>
      <c r="O218" s="40"/>
      <c r="P218" s="40"/>
      <c r="Q218" s="40"/>
    </row>
    <row r="219" spans="1:17" hidden="1" x14ac:dyDescent="0.3">
      <c r="A219" s="40"/>
      <c r="B219" s="40"/>
      <c r="C219" s="40"/>
      <c r="D219" s="40"/>
      <c r="E219" s="40"/>
      <c r="F219" s="40"/>
      <c r="G219" s="40"/>
      <c r="H219" s="40"/>
      <c r="I219" s="40"/>
      <c r="J219" s="40"/>
      <c r="K219" s="40"/>
      <c r="L219" s="40"/>
      <c r="M219" s="40"/>
      <c r="N219" s="40"/>
      <c r="O219" s="40"/>
      <c r="P219" s="40"/>
      <c r="Q219" s="40"/>
    </row>
    <row r="220" spans="1:17" hidden="1" x14ac:dyDescent="0.3">
      <c r="A220" s="40"/>
      <c r="B220" s="40"/>
      <c r="C220" s="40"/>
      <c r="D220" s="40"/>
      <c r="E220" s="40"/>
      <c r="F220" s="40"/>
      <c r="G220" s="40"/>
      <c r="H220" s="40"/>
      <c r="I220" s="40"/>
      <c r="J220" s="40"/>
      <c r="K220" s="40"/>
      <c r="L220" s="40"/>
      <c r="M220" s="40"/>
      <c r="N220" s="40"/>
      <c r="O220" s="40"/>
      <c r="P220" s="40"/>
      <c r="Q220" s="40"/>
    </row>
    <row r="221" spans="1:17" hidden="1" x14ac:dyDescent="0.3">
      <c r="A221" s="40"/>
      <c r="B221" s="40"/>
      <c r="C221" s="40"/>
      <c r="D221" s="40"/>
      <c r="E221" s="40"/>
      <c r="F221" s="40"/>
      <c r="G221" s="40"/>
      <c r="H221" s="40"/>
      <c r="I221" s="40"/>
      <c r="J221" s="40"/>
      <c r="K221" s="40"/>
      <c r="L221" s="40"/>
      <c r="M221" s="40"/>
      <c r="N221" s="40"/>
      <c r="O221" s="40"/>
      <c r="P221" s="40"/>
      <c r="Q221" s="40"/>
    </row>
    <row r="222" spans="1:17" hidden="1" x14ac:dyDescent="0.3">
      <c r="A222" s="40"/>
      <c r="B222" s="40"/>
      <c r="C222" s="40"/>
      <c r="D222" s="40"/>
      <c r="E222" s="40"/>
      <c r="F222" s="40"/>
      <c r="H222" s="40"/>
      <c r="I222" s="40"/>
      <c r="J222" s="40"/>
      <c r="K222" s="40"/>
      <c r="L222" s="40"/>
      <c r="M222" s="40"/>
      <c r="N222" s="40"/>
      <c r="O222" s="40"/>
      <c r="P222" s="40"/>
      <c r="Q222" s="40"/>
    </row>
    <row r="223" spans="1:17" hidden="1" x14ac:dyDescent="0.3">
      <c r="A223" s="40"/>
      <c r="B223" s="40"/>
      <c r="C223" s="40"/>
      <c r="D223" s="40"/>
      <c r="E223" s="40"/>
      <c r="F223" s="40"/>
      <c r="H223" s="40"/>
      <c r="I223" s="40"/>
      <c r="J223" s="40"/>
      <c r="K223" s="40"/>
      <c r="L223" s="40"/>
      <c r="M223" s="40"/>
      <c r="N223" s="40"/>
      <c r="O223" s="40"/>
      <c r="P223" s="40"/>
      <c r="Q223" s="40"/>
    </row>
    <row r="224" spans="1:17" hidden="1" x14ac:dyDescent="0.3">
      <c r="A224" s="40"/>
      <c r="B224" s="40"/>
      <c r="C224" s="40"/>
      <c r="D224" s="40"/>
      <c r="E224" s="40"/>
      <c r="F224" s="40"/>
      <c r="H224" s="40"/>
      <c r="I224" s="40"/>
      <c r="J224" s="40"/>
      <c r="K224" s="40"/>
      <c r="L224" s="40"/>
      <c r="M224" s="40"/>
      <c r="N224" s="40"/>
      <c r="O224" s="40"/>
      <c r="P224" s="40"/>
      <c r="Q224" s="40"/>
    </row>
    <row r="225" spans="1:17" hidden="1" x14ac:dyDescent="0.3">
      <c r="A225" s="40"/>
      <c r="B225" s="40"/>
      <c r="C225" s="40"/>
      <c r="D225" s="40"/>
      <c r="E225" s="40"/>
      <c r="F225" s="40"/>
      <c r="H225" s="40"/>
      <c r="I225" s="40"/>
      <c r="J225" s="40"/>
      <c r="K225" s="40"/>
      <c r="L225" s="40"/>
      <c r="M225" s="40"/>
      <c r="N225" s="40"/>
      <c r="O225" s="40"/>
      <c r="P225" s="40"/>
      <c r="Q225" s="40"/>
    </row>
    <row r="226" spans="1:17" hidden="1" x14ac:dyDescent="0.3">
      <c r="A226" s="40"/>
      <c r="B226" s="40"/>
      <c r="C226" s="40"/>
      <c r="D226" s="40"/>
      <c r="E226" s="40"/>
      <c r="F226" s="40"/>
      <c r="H226" s="40"/>
      <c r="I226" s="40"/>
      <c r="J226" s="40"/>
      <c r="K226" s="40"/>
      <c r="L226" s="40"/>
      <c r="M226" s="40"/>
      <c r="N226" s="40"/>
      <c r="O226" s="40"/>
      <c r="P226" s="40"/>
      <c r="Q226" s="40"/>
    </row>
    <row r="227" spans="1:17" hidden="1" x14ac:dyDescent="0.3">
      <c r="A227" s="40"/>
      <c r="B227" s="40"/>
      <c r="C227" s="40"/>
      <c r="D227" s="40"/>
      <c r="E227" s="40"/>
      <c r="F227" s="40"/>
      <c r="H227" s="40"/>
      <c r="I227" s="40"/>
      <c r="J227" s="40"/>
      <c r="K227" s="40"/>
      <c r="L227" s="40"/>
      <c r="M227" s="40"/>
      <c r="N227" s="40"/>
      <c r="O227" s="40"/>
      <c r="P227" s="40"/>
      <c r="Q227" s="40"/>
    </row>
    <row r="228" spans="1:17" hidden="1" x14ac:dyDescent="0.3">
      <c r="A228" s="40"/>
      <c r="B228" s="40"/>
      <c r="C228" s="40"/>
      <c r="D228" s="40"/>
      <c r="E228" s="40"/>
      <c r="F228" s="40"/>
      <c r="H228" s="40"/>
      <c r="I228" s="40"/>
      <c r="J228" s="40"/>
      <c r="K228" s="40"/>
      <c r="L228" s="40"/>
      <c r="M228" s="40"/>
      <c r="N228" s="40"/>
      <c r="O228" s="40"/>
      <c r="P228" s="40"/>
      <c r="Q228" s="40"/>
    </row>
    <row r="229" spans="1:17" hidden="1" x14ac:dyDescent="0.3">
      <c r="A229" s="40"/>
      <c r="B229" s="40"/>
      <c r="C229" s="40"/>
      <c r="D229" s="40"/>
      <c r="E229" s="40"/>
      <c r="F229" s="40"/>
      <c r="H229" s="40"/>
      <c r="I229" s="40"/>
      <c r="J229" s="40"/>
      <c r="K229" s="40"/>
      <c r="L229" s="40"/>
      <c r="M229" s="40"/>
      <c r="N229" s="40"/>
      <c r="O229" s="40"/>
      <c r="P229" s="40"/>
      <c r="Q229" s="40"/>
    </row>
    <row r="230" spans="1:17" hidden="1" x14ac:dyDescent="0.3">
      <c r="A230" s="40"/>
      <c r="B230" s="40"/>
      <c r="C230" s="40"/>
      <c r="D230" s="40"/>
      <c r="E230" s="40"/>
      <c r="F230" s="40"/>
      <c r="H230" s="40"/>
      <c r="I230" s="40"/>
      <c r="J230" s="40"/>
      <c r="K230" s="40"/>
      <c r="L230" s="40"/>
      <c r="M230" s="40"/>
      <c r="N230" s="40"/>
      <c r="O230" s="40"/>
      <c r="P230" s="40"/>
      <c r="Q230" s="40"/>
    </row>
    <row r="231" spans="1:17" hidden="1" x14ac:dyDescent="0.3">
      <c r="A231" s="40"/>
      <c r="B231" s="40"/>
      <c r="C231" s="40"/>
      <c r="D231" s="40"/>
      <c r="E231" s="40"/>
      <c r="F231" s="40"/>
      <c r="H231" s="40"/>
      <c r="I231" s="40"/>
      <c r="J231" s="40"/>
      <c r="K231" s="40"/>
      <c r="L231" s="40"/>
      <c r="M231" s="40"/>
      <c r="N231" s="40"/>
      <c r="O231" s="40"/>
      <c r="P231" s="40"/>
      <c r="Q231" s="40"/>
    </row>
    <row r="232" spans="1:17" hidden="1" x14ac:dyDescent="0.3">
      <c r="A232" s="40"/>
      <c r="B232" s="40"/>
      <c r="C232" s="40"/>
      <c r="D232" s="40"/>
      <c r="E232" s="40"/>
      <c r="F232" s="40"/>
      <c r="H232" s="40"/>
      <c r="I232" s="40"/>
      <c r="J232" s="40"/>
      <c r="K232" s="40"/>
      <c r="L232" s="40"/>
      <c r="M232" s="40"/>
      <c r="N232" s="40"/>
      <c r="O232" s="40"/>
      <c r="P232" s="40"/>
      <c r="Q232" s="40"/>
    </row>
    <row r="233" spans="1:17" hidden="1" x14ac:dyDescent="0.3">
      <c r="A233" s="40"/>
      <c r="B233" s="40"/>
      <c r="C233" s="40"/>
      <c r="D233" s="40"/>
      <c r="E233" s="40"/>
      <c r="F233" s="40"/>
      <c r="H233" s="40"/>
      <c r="I233" s="40"/>
      <c r="J233" s="40"/>
      <c r="K233" s="40"/>
      <c r="L233" s="40"/>
      <c r="M233" s="40"/>
      <c r="N233" s="40"/>
      <c r="O233" s="40"/>
      <c r="P233" s="40"/>
      <c r="Q233" s="40"/>
    </row>
    <row r="234" spans="1:17" hidden="1" x14ac:dyDescent="0.3">
      <c r="A234" s="40"/>
      <c r="B234" s="40"/>
      <c r="C234" s="40"/>
      <c r="D234" s="40"/>
      <c r="E234" s="40"/>
      <c r="F234" s="40"/>
      <c r="H234" s="40"/>
      <c r="I234" s="40"/>
      <c r="J234" s="40"/>
      <c r="K234" s="40"/>
      <c r="L234" s="40"/>
      <c r="M234" s="40"/>
      <c r="N234" s="40"/>
      <c r="O234" s="40"/>
      <c r="P234" s="40"/>
      <c r="Q234" s="40"/>
    </row>
    <row r="235" spans="1:17" hidden="1" x14ac:dyDescent="0.3">
      <c r="A235" s="40"/>
      <c r="B235" s="40"/>
      <c r="C235" s="40"/>
      <c r="D235" s="40"/>
      <c r="E235" s="40"/>
      <c r="F235" s="40"/>
      <c r="H235" s="40"/>
      <c r="I235" s="40"/>
      <c r="J235" s="40"/>
      <c r="K235" s="40"/>
      <c r="L235" s="40"/>
      <c r="M235" s="40"/>
      <c r="N235" s="40"/>
      <c r="O235" s="40"/>
      <c r="P235" s="40"/>
      <c r="Q235" s="40"/>
    </row>
    <row r="236" spans="1:17" hidden="1" x14ac:dyDescent="0.3">
      <c r="A236" s="40"/>
      <c r="B236" s="40"/>
      <c r="C236" s="40"/>
      <c r="D236" s="40"/>
      <c r="E236" s="40"/>
      <c r="F236" s="40"/>
      <c r="H236" s="40"/>
      <c r="I236" s="40"/>
      <c r="J236" s="40"/>
      <c r="K236" s="40"/>
      <c r="L236" s="40"/>
      <c r="M236" s="40"/>
      <c r="N236" s="40"/>
      <c r="O236" s="40"/>
      <c r="P236" s="40"/>
      <c r="Q236" s="40"/>
    </row>
    <row r="237" spans="1:17" hidden="1" x14ac:dyDescent="0.3">
      <c r="A237" s="40"/>
      <c r="B237" s="40"/>
      <c r="C237" s="40"/>
      <c r="D237" s="40"/>
      <c r="E237" s="40"/>
      <c r="F237" s="40"/>
      <c r="H237" s="40"/>
      <c r="I237" s="40"/>
      <c r="J237" s="40"/>
      <c r="K237" s="40"/>
      <c r="L237" s="40"/>
      <c r="M237" s="40"/>
      <c r="N237" s="40"/>
      <c r="O237" s="40"/>
      <c r="P237" s="40"/>
      <c r="Q237" s="40"/>
    </row>
    <row r="238" spans="1:17" hidden="1" x14ac:dyDescent="0.3">
      <c r="A238" s="40"/>
      <c r="B238" s="40"/>
      <c r="C238" s="40"/>
      <c r="D238" s="40"/>
      <c r="E238" s="40"/>
      <c r="F238" s="40"/>
      <c r="H238" s="40"/>
      <c r="I238" s="40"/>
      <c r="J238" s="40"/>
      <c r="K238" s="40"/>
      <c r="L238" s="40"/>
      <c r="M238" s="40"/>
      <c r="N238" s="40"/>
      <c r="O238" s="40"/>
      <c r="P238" s="40"/>
      <c r="Q238" s="40"/>
    </row>
    <row r="239" spans="1:17" hidden="1" x14ac:dyDescent="0.3">
      <c r="A239" s="40"/>
      <c r="B239" s="40"/>
      <c r="C239" s="40"/>
      <c r="D239" s="40"/>
      <c r="E239" s="40"/>
      <c r="F239" s="40"/>
      <c r="H239" s="40"/>
      <c r="I239" s="40"/>
      <c r="J239" s="40"/>
      <c r="K239" s="40"/>
      <c r="L239" s="40"/>
      <c r="M239" s="40"/>
      <c r="N239" s="40"/>
      <c r="O239" s="40"/>
      <c r="P239" s="40"/>
      <c r="Q239" s="40"/>
    </row>
    <row r="240" spans="1:17" hidden="1" x14ac:dyDescent="0.3">
      <c r="A240" s="40"/>
      <c r="B240" s="40"/>
      <c r="C240" s="40"/>
      <c r="D240" s="40"/>
      <c r="E240" s="40"/>
      <c r="F240" s="40"/>
      <c r="H240" s="40"/>
      <c r="I240" s="40"/>
      <c r="J240" s="40"/>
      <c r="K240" s="40"/>
      <c r="L240" s="40"/>
      <c r="M240" s="40"/>
      <c r="N240" s="40"/>
      <c r="O240" s="40"/>
      <c r="P240" s="40"/>
      <c r="Q240" s="40"/>
    </row>
    <row r="241" spans="1:17" hidden="1" x14ac:dyDescent="0.3">
      <c r="A241" s="40"/>
      <c r="B241" s="40"/>
      <c r="C241" s="40"/>
      <c r="D241" s="40"/>
      <c r="E241" s="40"/>
      <c r="F241" s="40"/>
      <c r="H241" s="40"/>
      <c r="I241" s="40"/>
      <c r="J241" s="40"/>
      <c r="K241" s="40"/>
      <c r="L241" s="40"/>
      <c r="M241" s="40"/>
      <c r="N241" s="40"/>
      <c r="O241" s="40"/>
      <c r="P241" s="40"/>
      <c r="Q241" s="40"/>
    </row>
    <row r="242" spans="1:17" hidden="1" x14ac:dyDescent="0.3">
      <c r="A242" s="40"/>
      <c r="B242" s="40"/>
      <c r="C242" s="40"/>
      <c r="D242" s="40"/>
      <c r="E242" s="40"/>
      <c r="F242" s="40"/>
      <c r="H242" s="40"/>
      <c r="I242" s="40"/>
      <c r="J242" s="40"/>
      <c r="K242" s="40"/>
      <c r="L242" s="40"/>
      <c r="M242" s="40"/>
      <c r="N242" s="40"/>
      <c r="O242" s="40"/>
      <c r="P242" s="40"/>
      <c r="Q242" s="40"/>
    </row>
    <row r="243" spans="1:17" hidden="1" x14ac:dyDescent="0.3">
      <c r="A243" s="40"/>
      <c r="B243" s="40"/>
      <c r="C243" s="40"/>
      <c r="D243" s="40"/>
      <c r="E243" s="40"/>
      <c r="F243" s="40"/>
      <c r="H243" s="40"/>
      <c r="I243" s="40"/>
      <c r="J243" s="40"/>
      <c r="K243" s="40"/>
      <c r="L243" s="40"/>
      <c r="M243" s="40"/>
      <c r="N243" s="40"/>
      <c r="O243" s="40"/>
      <c r="P243" s="40"/>
      <c r="Q243" s="40"/>
    </row>
    <row r="244" spans="1:17" hidden="1" x14ac:dyDescent="0.3">
      <c r="A244" s="40"/>
      <c r="B244" s="40"/>
      <c r="C244" s="40"/>
      <c r="D244" s="40"/>
      <c r="E244" s="40"/>
      <c r="F244" s="40"/>
      <c r="H244" s="40"/>
      <c r="I244" s="40"/>
      <c r="J244" s="40"/>
      <c r="K244" s="40"/>
      <c r="L244" s="40"/>
      <c r="M244" s="40"/>
      <c r="N244" s="40"/>
      <c r="O244" s="40"/>
      <c r="P244" s="40"/>
      <c r="Q244" s="40"/>
    </row>
    <row r="245" spans="1:17" hidden="1" x14ac:dyDescent="0.3">
      <c r="A245" s="40"/>
      <c r="B245" s="40"/>
      <c r="C245" s="40"/>
      <c r="D245" s="40"/>
      <c r="E245" s="40"/>
      <c r="F245" s="40"/>
      <c r="H245" s="40"/>
      <c r="I245" s="40"/>
      <c r="J245" s="40"/>
      <c r="K245" s="40"/>
      <c r="L245" s="40"/>
      <c r="M245" s="40"/>
      <c r="N245" s="40"/>
      <c r="O245" s="40"/>
      <c r="P245" s="40"/>
      <c r="Q245" s="40"/>
    </row>
    <row r="246" spans="1:17" hidden="1" x14ac:dyDescent="0.3">
      <c r="A246" s="40"/>
      <c r="B246" s="40"/>
      <c r="C246" s="40"/>
      <c r="D246" s="40"/>
      <c r="E246" s="40"/>
      <c r="F246" s="40"/>
      <c r="H246" s="40"/>
      <c r="K246" s="40"/>
      <c r="L246" s="40"/>
      <c r="M246" s="40"/>
      <c r="N246" s="40"/>
      <c r="O246" s="40"/>
      <c r="P246" s="40"/>
      <c r="Q246" s="40"/>
    </row>
    <row r="247" spans="1:17" hidden="1" x14ac:dyDescent="0.3">
      <c r="A247" s="40"/>
      <c r="B247" s="40"/>
      <c r="C247" s="40"/>
      <c r="D247" s="40"/>
      <c r="E247" s="40"/>
      <c r="F247" s="40"/>
      <c r="H247" s="40"/>
      <c r="K247" s="40"/>
      <c r="L247" s="40"/>
      <c r="M247" s="40"/>
      <c r="N247" s="40"/>
      <c r="O247" s="40"/>
      <c r="P247" s="40"/>
      <c r="Q247" s="40"/>
    </row>
    <row r="248" spans="1:17" hidden="1" x14ac:dyDescent="0.3">
      <c r="A248" s="40"/>
      <c r="B248" s="40"/>
      <c r="C248" s="40"/>
      <c r="D248" s="40"/>
      <c r="E248" s="40"/>
      <c r="F248" s="40"/>
      <c r="H248" s="40"/>
      <c r="K248" s="40"/>
      <c r="L248" s="40"/>
      <c r="M248" s="40"/>
      <c r="N248" s="40"/>
      <c r="O248" s="40"/>
      <c r="P248" s="40"/>
      <c r="Q248" s="40"/>
    </row>
    <row r="249" spans="1:17" hidden="1" x14ac:dyDescent="0.3">
      <c r="A249" s="40"/>
      <c r="B249" s="40"/>
      <c r="C249" s="40"/>
      <c r="D249" s="40"/>
      <c r="E249" s="40"/>
      <c r="F249" s="40"/>
      <c r="H249" s="40"/>
      <c r="K249" s="40"/>
      <c r="L249" s="40"/>
      <c r="M249" s="40"/>
      <c r="N249" s="40"/>
      <c r="O249" s="40"/>
      <c r="P249" s="40"/>
      <c r="Q249" s="40"/>
    </row>
    <row r="250" spans="1:17" hidden="1" x14ac:dyDescent="0.3">
      <c r="A250" s="40"/>
      <c r="B250" s="40"/>
      <c r="C250" s="40"/>
      <c r="D250" s="40"/>
      <c r="E250" s="40"/>
      <c r="F250" s="40"/>
      <c r="H250" s="40"/>
      <c r="K250" s="40"/>
      <c r="L250" s="40"/>
      <c r="M250" s="40"/>
      <c r="N250" s="40"/>
      <c r="O250" s="40"/>
      <c r="P250" s="40"/>
      <c r="Q250" s="40"/>
    </row>
    <row r="251" spans="1:17" hidden="1" x14ac:dyDescent="0.3">
      <c r="A251" s="40"/>
      <c r="B251" s="40"/>
      <c r="C251" s="40"/>
      <c r="D251" s="40"/>
      <c r="E251" s="40"/>
      <c r="F251" s="40"/>
      <c r="H251" s="40"/>
      <c r="K251" s="40"/>
      <c r="L251" s="40"/>
      <c r="M251" s="40"/>
      <c r="N251" s="40"/>
      <c r="O251" s="40"/>
      <c r="P251" s="40"/>
      <c r="Q251" s="40"/>
    </row>
    <row r="252" spans="1:17" hidden="1" x14ac:dyDescent="0.3">
      <c r="A252" s="40"/>
      <c r="B252" s="40"/>
      <c r="C252" s="40"/>
      <c r="D252" s="40"/>
      <c r="E252" s="40"/>
      <c r="F252" s="40"/>
      <c r="H252" s="40"/>
      <c r="K252" s="40"/>
      <c r="L252" s="40"/>
      <c r="M252" s="40"/>
      <c r="N252" s="40"/>
      <c r="O252" s="40"/>
      <c r="P252" s="40"/>
      <c r="Q252" s="40"/>
    </row>
    <row r="253" spans="1:17" hidden="1" x14ac:dyDescent="0.3">
      <c r="A253" s="40"/>
      <c r="B253" s="40"/>
      <c r="C253" s="40"/>
      <c r="D253" s="40"/>
      <c r="E253" s="40"/>
      <c r="F253" s="40"/>
      <c r="H253" s="40"/>
      <c r="K253" s="40"/>
      <c r="L253" s="40"/>
      <c r="M253" s="40"/>
      <c r="N253" s="40"/>
      <c r="O253" s="40"/>
      <c r="P253" s="40"/>
      <c r="Q253" s="40"/>
    </row>
    <row r="254" spans="1:17" hidden="1" x14ac:dyDescent="0.3">
      <c r="A254" s="40"/>
      <c r="B254" s="40"/>
      <c r="C254" s="40"/>
      <c r="D254" s="40"/>
      <c r="E254" s="40"/>
      <c r="F254" s="40"/>
      <c r="H254" s="40"/>
      <c r="K254" s="40"/>
      <c r="L254" s="40"/>
      <c r="M254" s="40"/>
      <c r="N254" s="40"/>
      <c r="O254" s="40"/>
      <c r="P254" s="40"/>
      <c r="Q254" s="40"/>
    </row>
    <row r="255" spans="1:17" hidden="1" x14ac:dyDescent="0.3">
      <c r="A255" s="40"/>
      <c r="B255" s="40"/>
      <c r="C255" s="40"/>
      <c r="D255" s="40"/>
      <c r="E255" s="40"/>
      <c r="F255" s="40"/>
      <c r="H255" s="40"/>
      <c r="K255" s="40"/>
      <c r="L255" s="40"/>
      <c r="M255" s="40"/>
      <c r="N255" s="40"/>
      <c r="O255" s="40"/>
      <c r="P255" s="40"/>
      <c r="Q255" s="40"/>
    </row>
    <row r="256" spans="1:17" hidden="1" x14ac:dyDescent="0.3">
      <c r="A256" s="40"/>
      <c r="B256" s="40"/>
      <c r="C256" s="40"/>
      <c r="D256" s="40"/>
      <c r="E256" s="40"/>
      <c r="F256" s="40"/>
      <c r="H256" s="40"/>
      <c r="K256" s="40"/>
      <c r="L256" s="40"/>
      <c r="M256" s="40"/>
      <c r="N256" s="40"/>
      <c r="O256" s="40"/>
      <c r="P256" s="40"/>
      <c r="Q256" s="40"/>
    </row>
    <row r="257" spans="1:17" hidden="1" x14ac:dyDescent="0.3">
      <c r="A257" s="40"/>
      <c r="B257" s="40"/>
      <c r="C257" s="40"/>
      <c r="D257" s="40"/>
      <c r="E257" s="40"/>
      <c r="F257" s="40"/>
      <c r="H257" s="40"/>
      <c r="K257" s="40"/>
      <c r="L257" s="40"/>
      <c r="M257" s="40"/>
      <c r="N257" s="40"/>
      <c r="O257" s="40"/>
      <c r="P257" s="40"/>
      <c r="Q257" s="40"/>
    </row>
    <row r="258" spans="1:17" hidden="1" x14ac:dyDescent="0.3">
      <c r="A258" s="40"/>
      <c r="B258" s="40"/>
      <c r="C258" s="40"/>
      <c r="D258" s="40"/>
      <c r="E258" s="40"/>
      <c r="F258" s="40"/>
      <c r="H258" s="40"/>
      <c r="K258" s="40"/>
      <c r="L258" s="40"/>
      <c r="M258" s="40"/>
      <c r="N258" s="40"/>
      <c r="O258" s="40"/>
      <c r="P258" s="40"/>
      <c r="Q258" s="40"/>
    </row>
    <row r="259" spans="1:17" hidden="1" x14ac:dyDescent="0.3">
      <c r="A259" s="40"/>
    </row>
    <row r="260" spans="1:17" hidden="1" x14ac:dyDescent="0.3">
      <c r="A260" s="40"/>
    </row>
    <row r="261" spans="1:17" hidden="1" x14ac:dyDescent="0.3">
      <c r="A261" s="40"/>
    </row>
    <row r="262" spans="1:17" hidden="1" x14ac:dyDescent="0.3">
      <c r="A262" s="40"/>
    </row>
    <row r="263" spans="1:17" hidden="1" x14ac:dyDescent="0.3">
      <c r="A263" s="40"/>
    </row>
    <row r="264" spans="1:17" hidden="1" x14ac:dyDescent="0.3">
      <c r="A264" s="40"/>
    </row>
    <row r="265" spans="1:17" hidden="1" x14ac:dyDescent="0.3">
      <c r="A265" s="40"/>
    </row>
    <row r="266" spans="1:17" hidden="1" x14ac:dyDescent="0.3">
      <c r="A266" s="40"/>
    </row>
    <row r="267" spans="1:17" hidden="1" x14ac:dyDescent="0.3">
      <c r="A267" s="40"/>
    </row>
    <row r="268" spans="1:17" hidden="1" x14ac:dyDescent="0.3">
      <c r="A268" s="40"/>
    </row>
    <row r="269" spans="1:17" hidden="1" x14ac:dyDescent="0.3">
      <c r="A269" s="40"/>
    </row>
    <row r="270" spans="1:17" hidden="1" x14ac:dyDescent="0.3">
      <c r="A270" s="40"/>
    </row>
    <row r="271" spans="1:17" hidden="1" x14ac:dyDescent="0.3">
      <c r="A271" s="40"/>
    </row>
    <row r="272" spans="1:17" hidden="1" x14ac:dyDescent="0.3">
      <c r="A272" s="40"/>
    </row>
    <row r="273" spans="1:1" hidden="1" x14ac:dyDescent="0.3">
      <c r="A273" s="40"/>
    </row>
    <row r="274" spans="1:1" hidden="1" x14ac:dyDescent="0.3">
      <c r="A274" s="40"/>
    </row>
    <row r="275" spans="1:1" hidden="1" x14ac:dyDescent="0.3">
      <c r="A275" s="40"/>
    </row>
    <row r="276" spans="1:1" hidden="1" x14ac:dyDescent="0.3">
      <c r="A276" s="40"/>
    </row>
    <row r="277" spans="1:1" hidden="1" x14ac:dyDescent="0.3">
      <c r="A277" s="40"/>
    </row>
    <row r="278" spans="1:1" hidden="1" x14ac:dyDescent="0.3">
      <c r="A278" s="40"/>
    </row>
    <row r="279" spans="1:1" hidden="1" x14ac:dyDescent="0.3">
      <c r="A279" s="40"/>
    </row>
    <row r="280" spans="1:1" hidden="1" x14ac:dyDescent="0.3">
      <c r="A280" s="40"/>
    </row>
    <row r="281" spans="1:1" hidden="1" x14ac:dyDescent="0.3">
      <c r="A281" s="40"/>
    </row>
    <row r="282" spans="1:1" hidden="1" x14ac:dyDescent="0.3">
      <c r="A282" s="40"/>
    </row>
    <row r="283" spans="1:1" hidden="1" x14ac:dyDescent="0.3">
      <c r="A283" s="40"/>
    </row>
    <row r="284" spans="1:1" hidden="1" x14ac:dyDescent="0.3">
      <c r="A284" s="40"/>
    </row>
    <row r="285" spans="1:1" hidden="1" x14ac:dyDescent="0.3">
      <c r="A285" s="40"/>
    </row>
    <row r="286" spans="1:1" hidden="1" x14ac:dyDescent="0.3">
      <c r="A286" s="40"/>
    </row>
    <row r="287" spans="1:1" hidden="1" x14ac:dyDescent="0.3">
      <c r="A287" s="40"/>
    </row>
    <row r="288" spans="1:1" hidden="1" x14ac:dyDescent="0.3">
      <c r="A288" s="40"/>
    </row>
    <row r="289" spans="1:1" hidden="1" x14ac:dyDescent="0.3">
      <c r="A289" s="40"/>
    </row>
    <row r="290" spans="1:1" hidden="1" x14ac:dyDescent="0.3">
      <c r="A290" s="40"/>
    </row>
    <row r="291" spans="1:1" hidden="1" x14ac:dyDescent="0.3">
      <c r="A291" s="40"/>
    </row>
    <row r="292" spans="1:1" hidden="1" x14ac:dyDescent="0.3">
      <c r="A292" s="40"/>
    </row>
    <row r="293" spans="1:1" hidden="1" x14ac:dyDescent="0.3">
      <c r="A293" s="40"/>
    </row>
    <row r="294" spans="1:1" hidden="1" x14ac:dyDescent="0.3">
      <c r="A294" s="40"/>
    </row>
    <row r="295" spans="1:1" hidden="1" x14ac:dyDescent="0.3">
      <c r="A295" s="40"/>
    </row>
    <row r="296" spans="1:1" hidden="1" x14ac:dyDescent="0.3">
      <c r="A296" s="40"/>
    </row>
    <row r="297" spans="1:1" hidden="1" x14ac:dyDescent="0.3">
      <c r="A297" s="40"/>
    </row>
    <row r="298" spans="1:1" hidden="1" x14ac:dyDescent="0.3">
      <c r="A298" s="40"/>
    </row>
    <row r="299" spans="1:1" x14ac:dyDescent="0.3"/>
    <row r="300" spans="1:1" x14ac:dyDescent="0.3"/>
    <row r="301" spans="1:1" x14ac:dyDescent="0.3"/>
    <row r="302" spans="1:1" x14ac:dyDescent="0.3"/>
    <row r="303" spans="1:1" x14ac:dyDescent="0.3"/>
    <row r="304" spans="1:1" x14ac:dyDescent="0.3"/>
    <row r="305" x14ac:dyDescent="0.3"/>
    <row r="306" x14ac:dyDescent="0.3"/>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C6:F6"/>
    <mergeCell ref="C7:F7"/>
    <mergeCell ref="C8:F8"/>
    <mergeCell ref="B39:G39"/>
    <mergeCell ref="B11:G11"/>
    <mergeCell ref="B2:G2"/>
    <mergeCell ref="G3:G4"/>
    <mergeCell ref="B3:B4"/>
    <mergeCell ref="C3:F4"/>
    <mergeCell ref="C5:F5"/>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C1" zoomScale="85" zoomScaleNormal="85" workbookViewId="0">
      <pane ySplit="10" topLeftCell="A11" activePane="bottomLeft" state="frozen"/>
      <selection activeCell="S28" sqref="S28"/>
      <selection pane="bottomLeft"/>
    </sheetView>
  </sheetViews>
  <sheetFormatPr defaultColWidth="0" defaultRowHeight="14" zeroHeight="1" x14ac:dyDescent="0.3"/>
  <cols>
    <col min="1" max="1" width="11.453125" style="47" hidden="1" customWidth="1"/>
    <col min="2" max="2" width="9.1796875" style="47" hidden="1" customWidth="1"/>
    <col min="3" max="3" width="0.453125" style="47" customWidth="1"/>
    <col min="4" max="4" width="5.26953125" style="47" customWidth="1"/>
    <col min="5" max="5" width="24.26953125" style="47" customWidth="1"/>
    <col min="6" max="6" width="72.81640625" style="47" customWidth="1"/>
    <col min="7" max="7" width="30.26953125" style="47" hidden="1" customWidth="1"/>
    <col min="8" max="8" width="14.1796875" style="47" customWidth="1"/>
    <col min="9" max="9" width="17.7265625" style="47" customWidth="1"/>
    <col min="10" max="10" width="7.453125" style="47" customWidth="1"/>
    <col min="11" max="11" width="17.1796875" style="47" customWidth="1"/>
    <col min="12" max="12" width="9.54296875" style="47" customWidth="1"/>
    <col min="13" max="13" width="41.7265625" style="47" customWidth="1"/>
    <col min="14" max="14" width="17.453125" style="47" customWidth="1"/>
    <col min="15" max="15" width="17.1796875" style="47" customWidth="1"/>
    <col min="16" max="16" width="30.7265625" style="47" customWidth="1"/>
    <col min="17" max="17" width="18" style="47" bestFit="1" customWidth="1"/>
    <col min="18" max="18" width="6" style="47" customWidth="1"/>
    <col min="19" max="19" width="10.1796875" style="47" customWidth="1"/>
    <col min="20" max="20" width="11.453125" style="47" customWidth="1"/>
    <col min="21" max="21" width="10.26953125" style="47" bestFit="1" customWidth="1"/>
    <col min="22" max="22" width="11.7265625" style="47" bestFit="1" customWidth="1"/>
    <col min="23" max="23" width="14.453125" style="47" customWidth="1"/>
    <col min="24" max="24" width="17" style="47" customWidth="1"/>
    <col min="25" max="25" width="19" style="47" customWidth="1"/>
    <col min="26" max="27" width="50.1796875" style="47" customWidth="1"/>
    <col min="28" max="28" width="12.7265625" style="47" customWidth="1"/>
    <col min="29" max="16384" width="12.7265625" style="47" hidden="1"/>
  </cols>
  <sheetData>
    <row r="1" spans="1:43" ht="14.5" thickBot="1" x14ac:dyDescent="0.35"/>
    <row r="2" spans="1:43" ht="18" thickBot="1" x14ac:dyDescent="0.35">
      <c r="D2" s="896" t="str">
        <f>IF(Start!$F$12="","",Start!$F$12)</f>
        <v/>
      </c>
      <c r="E2" s="897"/>
      <c r="F2" s="898"/>
    </row>
    <row r="3" spans="1:43" ht="15.65" customHeight="1" x14ac:dyDescent="0.3">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 customHeight="1" thickBot="1" x14ac:dyDescent="0.35">
      <c r="D4" s="893"/>
      <c r="E4" s="894"/>
      <c r="F4" s="895"/>
      <c r="AF4" s="47" t="s">
        <v>187</v>
      </c>
      <c r="AG4" s="47" t="s">
        <v>187</v>
      </c>
      <c r="AH4" s="47" t="s">
        <v>187</v>
      </c>
      <c r="AI4" s="47" t="s">
        <v>187</v>
      </c>
      <c r="AJ4" s="47" t="s">
        <v>187</v>
      </c>
      <c r="AK4" s="47" t="s">
        <v>187</v>
      </c>
      <c r="AL4" s="47" t="s">
        <v>187</v>
      </c>
      <c r="AM4" s="47" t="s">
        <v>187</v>
      </c>
      <c r="AN4" s="47" t="s">
        <v>187</v>
      </c>
    </row>
    <row r="5" spans="1:43" ht="15.65" customHeight="1" x14ac:dyDescent="0.3"/>
    <row r="6" spans="1:43" ht="16.149999999999999" customHeight="1" x14ac:dyDescent="0.3"/>
    <row r="7" spans="1:43" x14ac:dyDescent="0.3"/>
    <row r="8" spans="1:43" ht="31.15" customHeight="1" thickBot="1" x14ac:dyDescent="0.35">
      <c r="D8" s="48"/>
      <c r="E8" s="48"/>
      <c r="F8" s="48"/>
    </row>
    <row r="9" spans="1:43" ht="29.5" customHeight="1" thickBot="1" x14ac:dyDescent="0.35">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x14ac:dyDescent="0.35">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28" x14ac:dyDescent="0.3">
      <c r="A11" s="47" t="str">
        <f>IFERROR(INDEX('G-1 All Habitats'!$AG$3:$AG$15,MATCH(E11,'G-1 All Habitats'!$AF$3:$AF$15,0)),"")</f>
        <v>Grassland</v>
      </c>
      <c r="B11" s="47" t="str">
        <f>IFERROR(INDEX('G-8 Condition Look up'!$I$4:$I$130,MATCH(G11,'G-8 Condition Look up'!$A$4:$A$130,0)),"")</f>
        <v>Cond4</v>
      </c>
      <c r="D11" s="67">
        <v>1</v>
      </c>
      <c r="E11" s="68" t="s">
        <v>70</v>
      </c>
      <c r="F11" s="68" t="s">
        <v>448</v>
      </c>
      <c r="G11" s="69" t="str">
        <f>IFERROR(INDEX('G-1 All Habitats'!$B$3:$B$129,MATCH(F11,'G-1 All Habitats'!$A$3:$A$129,0)),"")</f>
        <v>Grassland - Modified grassland</v>
      </c>
      <c r="H11" s="70">
        <v>8.0000000000000004E-4</v>
      </c>
      <c r="I11" s="497" t="str">
        <f>IF(G11="","",VLOOKUP(G11,'G-1 All Habitats'!$B$2:$M$129,10,FALSE))</f>
        <v>Low</v>
      </c>
      <c r="J11" s="498">
        <f>IFERROR(VLOOKUP(I11,'G-1 All Habitats'!$V$3:$W$7,2,FALSE),"")</f>
        <v>2</v>
      </c>
      <c r="K11" s="71" t="s">
        <v>242</v>
      </c>
      <c r="L11" s="498">
        <f>IFERROR(INDEX('G-8 Condition Look up'!$A$3:$H$130,MATCH(G11,'G-8 Condition Look up'!$A$3:$A$130,0),MATCH(K11,'G-8 Condition Look up'!$A$3:$H$3,0)),"")</f>
        <v>1</v>
      </c>
      <c r="M11" s="71" t="s">
        <v>921</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Same distinctiveness or better habitat required ≥</v>
      </c>
      <c r="Q11" s="512">
        <f>IFERROR(IF(P11="","",IF(AND(P11='G-1 All Habitats'!$X$3,T11&gt;0),U11+V11,IF(AND(P11='G-1 All Habitats'!$X$3,S11&gt;0),U11+V11,IF(AND(P11='G-1 All Habitats'!$X$3,AC11&gt;0),"Any Loss Unacceptable ▲",IF(AND(P11='G-1 All Habitats'!$X$3,W11&gt;0),"Any Loss Unacceptable ▲",H11*J11*L11*O11))))),"Check Data ▲")</f>
        <v>1.6000000000000001E-3</v>
      </c>
      <c r="R11" s="50"/>
      <c r="S11" s="71">
        <v>0</v>
      </c>
      <c r="T11" s="72">
        <v>0</v>
      </c>
      <c r="U11" s="510">
        <f>IFERROR(S11*J11*L11*O11,"")</f>
        <v>0</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8.0000000000000004E-4</v>
      </c>
      <c r="X11" s="514">
        <f>IFERROR(IF(H11="","",IF(H11-S11-T11=0&lt;0,"Error in Areas ▲",IF(S11+T11&gt;H11,"Error in Areas ▲",IF(AND(P11='G-1 All Habitats'!$X$3,Y11="Yes"),"Alternative Compensation ✓",IF(W11=0,0,IF(P11='G-1 All Habitats'!$X$3,"Unacceptable Loss ▲",Q11-U11-V11)))))),"Check Data ▲")</f>
        <v>1.6000000000000001E-3</v>
      </c>
      <c r="Y11" s="72"/>
      <c r="Z11" s="73"/>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f t="array" ref="AK11">IFERROR(INDEX($AI$11:$AI$259, MATCH(0, IF(TRUE=$AF$11:$AF$259, COUNTIF($AK$10:$AK10, $AI$11:$AI$259), ""), 0)),"")</f>
        <v>3</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28" x14ac:dyDescent="0.3">
      <c r="A12" s="47" t="str">
        <f>IFERROR(INDEX('G-1 All Habitats'!$AG$3:$AG$15,MATCH(E12,'G-1 All Habitats'!$AF$3:$AF$15,0)),"")</f>
        <v>Urban</v>
      </c>
      <c r="B12" s="47" t="str">
        <f>IFERROR(INDEX('G-8 Condition Look up'!$I$4:$I$130,MATCH(G12,'G-8 Condition Look up'!$A$4:$A$130,0)),"")</f>
        <v>Cond2</v>
      </c>
      <c r="D12" s="77">
        <v>2</v>
      </c>
      <c r="E12" s="340" t="s">
        <v>74</v>
      </c>
      <c r="F12" s="79" t="s">
        <v>599</v>
      </c>
      <c r="G12" s="69" t="str">
        <f>IFERROR(INDEX('G-1 All Habitats'!$B$3:$B$129,MATCH(F12,'G-1 All Habitats'!$A$3:$A$129,0)),"")</f>
        <v>Urban - Developed land; sealed surface</v>
      </c>
      <c r="H12" s="70">
        <v>0.44040000000000001</v>
      </c>
      <c r="I12" s="497" t="str">
        <f>IF(G12="","",VLOOKUP(G12,'G-1 All Habitats'!$B$2:$M$129,10,FALSE))</f>
        <v>V.Low</v>
      </c>
      <c r="J12" s="498">
        <f>IFERROR(VLOOKUP(I12,'G-1 All Habitats'!$V$3:$W$7,2,FALSE),"")</f>
        <v>0</v>
      </c>
      <c r="K12" s="71" t="s">
        <v>407</v>
      </c>
      <c r="L12" s="498">
        <f>IFERROR(INDEX('G-8 Condition Look up'!$A$3:$H$130,MATCH(G12,'G-8 Condition Look up'!$A$3:$A$130,0),MATCH(K12,'G-8 Condition Look up'!$A$3:$H$3,0)),"")</f>
        <v>0</v>
      </c>
      <c r="M12" s="71" t="s">
        <v>921</v>
      </c>
      <c r="N12" s="519" t="str">
        <f>IF(M12="","",IF(VLOOKUP(M12,'G-3 Multipliers'!$L$3:$N$6,2,FALSE)=0,"Spatial Data Missing",VLOOKUP(M12,'G-3 Multipliers'!$L$3:$N$6,2,FALSE)))</f>
        <v>Low Strategic Significance</v>
      </c>
      <c r="O12" s="504">
        <f>IF(M12="","",IF(VLOOKUP(M12,'G-3 Multipliers'!$L$3:$N$6,3,FALSE)=0,"Spatial Data Missing ▲",VLOOKUP(M12,'G-3 Multipliers'!$L$3:$N$6,3,FALSE)))</f>
        <v>1</v>
      </c>
      <c r="P12" s="505" t="str">
        <f>IFERROR(VLOOKUP(G12,'G-1 All Habitats'!$B$2:$M$129,12,FALSE),"")</f>
        <v>Compensation Not Required</v>
      </c>
      <c r="Q12" s="512">
        <f>IFERROR(IF(P12="","",IF(AND(P12='G-1 All Habitats'!$X$3,T12&gt;0),U12+V12,IF(AND(P12='G-1 All Habitats'!$X$3,S12&gt;0),U12+V12,IF(AND(P12='G-1 All Habitats'!$X$3,AC12&gt;0),"Any Loss Unacceptable ▲",IF(AND(P12='G-1 All Habitats'!$X$3,W12&gt;0),"Any Loss Unacceptable ▲",H12*J12*L12*O12))))),"Check Data ▲")</f>
        <v>0</v>
      </c>
      <c r="R12" s="50"/>
      <c r="S12" s="71">
        <v>0</v>
      </c>
      <c r="T12" s="72">
        <v>0</v>
      </c>
      <c r="U12" s="510">
        <f>IFERROR(S12*J12*L12*O12,"")</f>
        <v>0</v>
      </c>
      <c r="V12" s="510">
        <f>IFERROR(T12*J12*L12*O12,"")</f>
        <v>0</v>
      </c>
      <c r="W12" s="510">
        <f>IF(E12="","",IF(H12&lt;S12+T12,"Error in Areas ▲",IF(P12&lt;&gt;'G-1 All Habitats'!$X$3,H12-S12-T12,IF(AND(P12='G-1 All Habitats'!$X$3,Y12="Yes"),"Unacceptable Loss",IF(AND(P12='G-1 All Habitats'!$X$3,Y12="No"),AC12,IF(AND(P12='G-1 All Habitats'!$X$3,Y12=""),AC12,IF(AND(P12='G-1 All Habitats'!$X$3,AC12="None",AC12),IF(AND(P12='G-1 All Habitats'!$X$3,AC12&gt;0),H12-S12-T12))))))))</f>
        <v>0.44040000000000001</v>
      </c>
      <c r="X12" s="514">
        <f>IFERROR(IF(H12="","",IF(H12-S12-T12=0&lt;0,"Error in Areas ▲",IF(S12+T12&gt;H12,"Error in Areas ▲",IF(AND(P12='G-1 All Habitats'!$X$3,Y12="Yes"),"Alternative Compensation ✓",IF(W12=0,0,IF(P12='G-1 All Habitats'!$X$3,"Unacceptable Loss ▲",Q12-U12-V12)))))),"Check Data ▲")</f>
        <v>0</v>
      </c>
      <c r="Y12" s="72"/>
      <c r="Z12" s="80"/>
      <c r="AA12" s="81"/>
      <c r="AC12" s="75" t="str">
        <f>IF(P12="","",IF(P12='G-1 All Habitats'!$X$3,H12-S12-T12,"None"))</f>
        <v>None</v>
      </c>
      <c r="AD12" s="76" t="str">
        <f>IFERROR(AC12*J12*L12*#REF!*O12,IF(P12="","","None"))</f>
        <v>None</v>
      </c>
      <c r="AF12" s="54" t="b">
        <f t="shared" si="0"/>
        <v>0</v>
      </c>
      <c r="AG12" s="54" t="b">
        <f t="shared" si="1"/>
        <v>0</v>
      </c>
      <c r="AH12" s="54" t="e">
        <f>IF(I12="","",IF(#REF!&gt;0,TRUE,FALSE))</f>
        <v>#REF!</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ht="28" x14ac:dyDescent="0.3">
      <c r="A13" s="47" t="str">
        <f>IFERROR(INDEX('G-1 All Habitats'!$AG$3:$AG$15,MATCH(E13,'G-1 All Habitats'!$AF$3:$AF$15,0)),"")</f>
        <v>Urban</v>
      </c>
      <c r="B13" s="47" t="str">
        <f>IFERROR(INDEX('G-8 Condition Look up'!$I$4:$I$130,MATCH(G13,'G-8 Condition Look up'!$A$4:$A$130,0)),"")</f>
        <v>Cond1</v>
      </c>
      <c r="D13" s="77">
        <v>3</v>
      </c>
      <c r="E13" s="340" t="s">
        <v>74</v>
      </c>
      <c r="F13" s="79" t="s">
        <v>615</v>
      </c>
      <c r="G13" s="69" t="str">
        <f>IFERROR(INDEX('G-1 All Habitats'!$B$3:$B$129,MATCH(F13,'G-1 All Habitats'!$A$3:$A$129,0)),"")</f>
        <v>Urban - Introduced shrub</v>
      </c>
      <c r="H13" s="70">
        <v>6.7999999999999996E-3</v>
      </c>
      <c r="I13" s="497" t="str">
        <f>IF(G13="","",VLOOKUP(G13,'G-1 All Habitats'!$B$2:$M$129,10,FALSE))</f>
        <v>Low</v>
      </c>
      <c r="J13" s="498">
        <f>IFERROR(VLOOKUP(I13,'G-1 All Habitats'!$V$3:$W$7,2,FALSE),"")</f>
        <v>2</v>
      </c>
      <c r="K13" s="71" t="s">
        <v>403</v>
      </c>
      <c r="L13" s="498">
        <f>IFERROR(INDEX('G-8 Condition Look up'!$A$3:$H$130,MATCH(G13,'G-8 Condition Look up'!$A$3:$A$130,0),MATCH(K13,'G-8 Condition Look up'!$A$3:$H$3,0)),"")</f>
        <v>1</v>
      </c>
      <c r="M13" s="71" t="s">
        <v>921</v>
      </c>
      <c r="N13" s="519" t="str">
        <f>IF(M13="","",IF(VLOOKUP(M13,'G-3 Multipliers'!$L$3:$N$6,2,FALSE)=0,"Spatial Data Missing",VLOOKUP(M13,'G-3 Multipliers'!$L$3:$N$6,2,FALSE)))</f>
        <v>Low Strategic Significance</v>
      </c>
      <c r="O13" s="504">
        <f>IF(M13="","",IF(VLOOKUP(M13,'G-3 Multipliers'!$L$3:$N$6,3,FALSE)=0,"Spatial Data Missing ▲",VLOOKUP(M13,'G-3 Multipliers'!$L$3:$N$6,3,FALSE)))</f>
        <v>1</v>
      </c>
      <c r="P13" s="505" t="str">
        <f>IFERROR(VLOOKUP(G13,'G-1 All Habitats'!$B$2:$M$129,12,FALSE),"")</f>
        <v>Same distinctiveness or better habitat required ≥</v>
      </c>
      <c r="Q13" s="512">
        <f>IFERROR(IF(P13="","",IF(AND(P13='G-1 All Habitats'!$X$3,T13&gt;0),U13+V13,IF(AND(P13='G-1 All Habitats'!$X$3,S13&gt;0),U13+V13,IF(AND(P13='G-1 All Habitats'!$X$3,AC13&gt;0),"Any Loss Unacceptable ▲",IF(AND(P13='G-1 All Habitats'!$X$3,W13&gt;0),"Any Loss Unacceptable ▲",H13*J13*L13*O13))))),"Check Data ▲")</f>
        <v>1.3599999999999999E-2</v>
      </c>
      <c r="R13" s="50"/>
      <c r="S13" s="71">
        <v>5.1999999999999998E-3</v>
      </c>
      <c r="T13" s="72">
        <v>0</v>
      </c>
      <c r="U13" s="510">
        <f t="shared" ref="U13:U76" si="3">IFERROR(S13*J13*L13*O13,"")</f>
        <v>1.04E-2</v>
      </c>
      <c r="V13" s="510">
        <f t="shared" ref="V13:V76" si="4">IFERROR(T13*J13*L13*O13,"")</f>
        <v>0</v>
      </c>
      <c r="W13" s="510">
        <f>IF(E13="","",IF(H13&lt;S13+T13,"Error in Areas ▲",IF(P13&lt;&gt;'G-1 All Habitats'!$X$3,H13-S13-T13,IF(AND(P13='G-1 All Habitats'!$X$3,Y13="Yes"),"Unacceptable Loss",IF(AND(P13='G-1 All Habitats'!$X$3,Y13="No"),AC13,IF(AND(P13='G-1 All Habitats'!$X$3,Y13=""),AC13,IF(AND(P13='G-1 All Habitats'!$X$3,AC13="None",AC13),IF(AND(P13='G-1 All Habitats'!$X$3,AC13&gt;0),H13-S13-T13))))))))</f>
        <v>1.5999999999999999E-3</v>
      </c>
      <c r="X13" s="514">
        <f>IFERROR(IF(H13="","",IF(H13-S13-T13=0&lt;0,"Error in Areas ▲",IF(S13+T13&gt;H13,"Error in Areas ▲",IF(AND(P13='G-1 All Habitats'!$X$3,Y13="Yes"),"Alternative Compensation ✓",IF(W13=0,0,IF(P13='G-1 All Habitats'!$X$3,"Unacceptable Loss ▲",Q13-U13-V13)))))),"Check Data ▲")</f>
        <v>3.1999999999999997E-3</v>
      </c>
      <c r="Y13" s="72"/>
      <c r="Z13" s="80"/>
      <c r="AA13" s="81"/>
      <c r="AC13" s="75" t="str">
        <f>IF(P13="","",IF(P13='G-1 All Habitats'!$X$3,H13-S13-T13,"None"))</f>
        <v>None</v>
      </c>
      <c r="AD13" s="76" t="str">
        <f>IFERROR(AC13*J13*L13*#REF!*O13,IF(P13="","","None"))</f>
        <v>None</v>
      </c>
      <c r="AF13" s="54" t="b">
        <f t="shared" si="0"/>
        <v>1</v>
      </c>
      <c r="AG13" s="54" t="b">
        <f t="shared" si="1"/>
        <v>0</v>
      </c>
      <c r="AH13" s="54" t="e">
        <f>IF(I13="","",IF(#REF!&gt;0,TRUE,FALSE))</f>
        <v>#REF!</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ht="28" x14ac:dyDescent="0.3">
      <c r="A14" s="47" t="str">
        <f>IFERROR(INDEX('G-1 All Habitats'!$AG$3:$AG$15,MATCH(E14,'G-1 All Habitats'!$AF$3:$AF$15,0)),"")</f>
        <v>Urban</v>
      </c>
      <c r="B14" s="47" t="str">
        <f>IFERROR(INDEX('G-8 Condition Look up'!$I$4:$I$130,MATCH(G14,'G-8 Condition Look up'!$A$4:$A$130,0)),"")</f>
        <v>Cond1</v>
      </c>
      <c r="D14" s="77">
        <v>4</v>
      </c>
      <c r="E14" s="79" t="s">
        <v>74</v>
      </c>
      <c r="F14" s="79" t="s">
        <v>638</v>
      </c>
      <c r="G14" s="69" t="str">
        <f>IFERROR(INDEX('G-1 All Habitats'!$B$3:$B$129,MATCH(F14,'G-1 All Habitats'!$A$3:$A$129,0)),"")</f>
        <v>Urban - Vegetated garden</v>
      </c>
      <c r="H14" s="70">
        <v>5.0000000000000001E-4</v>
      </c>
      <c r="I14" s="497" t="str">
        <f>IF(G14="","",VLOOKUP(G14,'G-1 All Habitats'!$B$2:$M$129,10,FALSE))</f>
        <v>Low</v>
      </c>
      <c r="J14" s="498">
        <f>IFERROR(VLOOKUP(I14,'G-1 All Habitats'!$V$3:$W$7,2,FALSE),"")</f>
        <v>2</v>
      </c>
      <c r="K14" s="71" t="s">
        <v>403</v>
      </c>
      <c r="L14" s="498">
        <f>IFERROR(INDEX('G-8 Condition Look up'!$A$3:$H$130,MATCH(G14,'G-8 Condition Look up'!$A$3:$A$130,0),MATCH(K14,'G-8 Condition Look up'!$A$3:$H$3,0)),"")</f>
        <v>1</v>
      </c>
      <c r="M14" s="71" t="s">
        <v>921</v>
      </c>
      <c r="N14" s="519" t="str">
        <f>IF(M14="","",IF(VLOOKUP(M14,'G-3 Multipliers'!$L$3:$N$6,2,FALSE)=0,"Spatial Data Missing",VLOOKUP(M14,'G-3 Multipliers'!$L$3:$N$6,2,FALSE)))</f>
        <v>Low Strategic Significance</v>
      </c>
      <c r="O14" s="504">
        <f>IF(M14="","",IF(VLOOKUP(M14,'G-3 Multipliers'!$L$3:$N$6,3,FALSE)=0,"Spatial Data Missing ▲",VLOOKUP(M14,'G-3 Multipliers'!$L$3:$N$6,3,FALSE)))</f>
        <v>1</v>
      </c>
      <c r="P14" s="505" t="str">
        <f>IFERROR(VLOOKUP(G14,'G-1 All Habitats'!$B$2:$M$129,12,FALSE),"")</f>
        <v>Same distinctiveness or better habitat required ≥</v>
      </c>
      <c r="Q14" s="512">
        <f>IFERROR(IF(P14="","",IF(AND(P14='G-1 All Habitats'!$X$3,T14&gt;0),U14+V14,IF(AND(P14='G-1 All Habitats'!$X$3,S14&gt;0),U14+V14,IF(AND(P14='G-1 All Habitats'!$X$3,AC14&gt;0),"Any Loss Unacceptable ▲",IF(AND(P14='G-1 All Habitats'!$X$3,W14&gt;0),"Any Loss Unacceptable ▲",H14*J14*L14*O14))))),"Check Data ▲")</f>
        <v>1E-3</v>
      </c>
      <c r="R14" s="50"/>
      <c r="S14" s="71">
        <v>0</v>
      </c>
      <c r="T14" s="72">
        <v>0</v>
      </c>
      <c r="U14" s="510">
        <f t="shared" si="3"/>
        <v>0</v>
      </c>
      <c r="V14" s="510">
        <f t="shared" si="4"/>
        <v>0</v>
      </c>
      <c r="W14" s="510">
        <f>IF(E14="","",IF(H14&lt;S14+T14,"Error in Areas ▲",IF(P14&lt;&gt;'G-1 All Habitats'!$X$3,H14-S14-T14,IF(AND(P14='G-1 All Habitats'!$X$3,Y14="Yes"),"Unacceptable Loss",IF(AND(P14='G-1 All Habitats'!$X$3,Y14="No"),AC14,IF(AND(P14='G-1 All Habitats'!$X$3,Y14=""),AC14,IF(AND(P14='G-1 All Habitats'!$X$3,AC14="None",AC14),IF(AND(P14='G-1 All Habitats'!$X$3,AC14&gt;0),H14-S14-T14))))))))</f>
        <v>5.0000000000000001E-4</v>
      </c>
      <c r="X14" s="514">
        <f>IFERROR(IF(H14="","",IF(H14-S14-T14=0&lt;0,"Error in Areas ▲",IF(S14+T14&gt;H14,"Error in Areas ▲",IF(AND(P14='G-1 All Habitats'!$X$3,Y14="Yes"),"Alternative Compensation ✓",IF(W14=0,0,IF(P14='G-1 All Habitats'!$X$3,"Unacceptable Loss ▲",Q14-U14-V14)))))),"Check Data ▲")</f>
        <v>1E-3</v>
      </c>
      <c r="Y14" s="72"/>
      <c r="Z14" s="80"/>
      <c r="AA14" s="81"/>
      <c r="AC14" s="75" t="str">
        <f>IF(P14="","",IF(P14='G-1 All Habitats'!$X$3,H14-S14-T14,"None"))</f>
        <v>None</v>
      </c>
      <c r="AD14" s="76" t="str">
        <f>IFERROR(AC14*J14*L14*#REF!*O14,IF(P14="","","None"))</f>
        <v>None</v>
      </c>
      <c r="AF14" s="54" t="b">
        <f t="shared" si="0"/>
        <v>0</v>
      </c>
      <c r="AG14" s="54" t="b">
        <f t="shared" si="1"/>
        <v>0</v>
      </c>
      <c r="AH14" s="54" t="e">
        <f>IF(I14="","",IF(#REF!&gt;0,TRUE,FALSE))</f>
        <v>#REF!</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x14ac:dyDescent="0.3">
      <c r="A15" s="47" t="str">
        <f>IFERROR(INDEX('G-1 All Habitats'!$AG$3:$AG$15,MATCH(E15,'G-1 All Habitats'!$AF$3:$AF$15,0)),"")</f>
        <v/>
      </c>
      <c r="B15" s="47" t="str">
        <f>IFERROR(INDEX('G-8 Condition Look up'!$I$4:$I$130,MATCH(G15,'G-8 Condition Look up'!$A$4:$A$130,0)),"")</f>
        <v/>
      </c>
      <c r="D15" s="77">
        <v>5</v>
      </c>
      <c r="E15" s="340"/>
      <c r="F15" s="79"/>
      <c r="G15" s="69" t="str">
        <f>IFERROR(INDEX('G-1 All Habitats'!$B$3:$B$129,MATCH(F15,'G-1 All Habitats'!$A$3:$A$129,0)),"")</f>
        <v/>
      </c>
      <c r="H15" s="70"/>
      <c r="I15" s="497" t="str">
        <f>IF(G15="","",VLOOKUP(G15,'G-1 All Habitats'!$B$2:$M$129,10,FALSE))</f>
        <v/>
      </c>
      <c r="J15" s="498" t="str">
        <f>IFERROR(VLOOKUP(I15,'G-1 All Habitats'!$V$3:$W$7,2,FALSE),"")</f>
        <v/>
      </c>
      <c r="K15" s="71"/>
      <c r="L15" s="498" t="str">
        <f>IFERROR(INDEX('G-8 Condition Look up'!$A$3:$H$130,MATCH(G15,'G-8 Condition Look up'!$A$3:$A$130,0),MATCH(K15,'G-8 Condition Look up'!$A$3:$H$3,0)),"")</f>
        <v/>
      </c>
      <c r="M15" s="71"/>
      <c r="N15" s="519" t="str">
        <f>IF(M15="","",IF(VLOOKUP(M15,'G-3 Multipliers'!$L$3:$N$6,2,FALSE)=0,"Spatial Data Missing",VLOOKUP(M15,'G-3 Multipliers'!$L$3:$N$6,2,FALSE)))</f>
        <v/>
      </c>
      <c r="O15" s="504"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 ▲",IF(AND(P15='G-1 All Habitats'!$X$3,W15&gt;0),"Any Loss Unacceptable ▲",H15*J15*L15*O15))))),"Check Data ▲")</f>
        <v/>
      </c>
      <c r="R15" s="50"/>
      <c r="S15" s="71"/>
      <c r="T15" s="72"/>
      <c r="U15" s="510" t="str">
        <f t="shared" si="3"/>
        <v/>
      </c>
      <c r="V15" s="510" t="str">
        <f t="shared" si="4"/>
        <v/>
      </c>
      <c r="W15" s="510" t="str">
        <f>IF(E15="","",IF(H15&lt;S15+T15,"Error in Areas ▲",IF(P15&lt;&gt;'G-1 All Habitats'!$X$3,H15-S15-T15,IF(AND(P15='G-1 All Habitats'!$X$3,Y15="Yes"),"Unacceptable Loss",IF(AND(P15='G-1 All Habitats'!$X$3,Y15="No"),AC15,IF(AND(P15='G-1 All Habitats'!$X$3,Y15=""),AC15,IF(AND(P15='G-1 All Habitats'!$X$3,AC15="None",AC15),IF(AND(P15='G-1 All Habitats'!$X$3,AC15&gt;0),H15-S15-T15))))))))</f>
        <v/>
      </c>
      <c r="X15" s="514" t="str">
        <f>IFERROR(IF(H15="","",IF(H15-S15-T15=0&lt;0,"Error in Areas ▲",IF(S15+T15&gt;H15,"Error in Areas ▲",IF(AND(P15='G-1 All Habitats'!$X$3,Y15="Yes"),"Alternative Compensation ✓",IF(W15=0,0,IF(P15='G-1 All Habitats'!$X$3,"Unacceptable Loss ▲",Q15-U15-V15)))))),"Check Data ▲")</f>
        <v/>
      </c>
      <c r="Y15" s="72"/>
      <c r="Z15" s="80"/>
      <c r="AA15" s="81"/>
      <c r="AC15" s="75" t="str">
        <f>IF(P15="","",IF(P15='G-1 All Habitats'!$X$3,H15-S15-T15,"None"))</f>
        <v/>
      </c>
      <c r="AD15" s="76" t="str">
        <f>IFERROR(AC15*J15*L15*#REF!*O15,IF(P15="","","None"))</f>
        <v/>
      </c>
      <c r="AF15" s="54" t="str">
        <f t="shared" si="0"/>
        <v/>
      </c>
      <c r="AG15" s="54" t="str">
        <f t="shared" si="1"/>
        <v/>
      </c>
      <c r="AH15" s="54" t="str">
        <f>IF(I15="","",IF(#REF!&gt;0,TRUE,FALSE))</f>
        <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x14ac:dyDescent="0.3">
      <c r="A16" s="47" t="str">
        <f>IFERROR(INDEX('G-1 All Habitats'!$AG$3:$AG$15,MATCH(E16,'G-1 All Habitats'!$AF$3:$AF$15,0)),"")</f>
        <v/>
      </c>
      <c r="B16" s="47" t="str">
        <f>IFERROR(INDEX('G-8 Condition Look up'!$I$4:$I$130,MATCH(G16,'G-8 Condition Look up'!$A$4:$A$130,0)),"")</f>
        <v/>
      </c>
      <c r="D16" s="77">
        <v>6</v>
      </c>
      <c r="E16" s="79"/>
      <c r="F16" s="79"/>
      <c r="G16" s="69" t="str">
        <f>IFERROR(INDEX('G-1 All Habitats'!$B$3:$B$129,MATCH(F16,'G-1 All Habitats'!$A$3:$A$129,0)),"")</f>
        <v/>
      </c>
      <c r="H16" s="70"/>
      <c r="I16" s="497" t="str">
        <f>IF(G16="","",VLOOKUP(G16,'G-1 All Habitats'!$B$2:$M$129,10,FALSE))</f>
        <v/>
      </c>
      <c r="J16" s="498" t="str">
        <f>IFERROR(VLOOKUP(I16,'G-1 All Habitats'!$V$3:$W$7,2,FALSE),"")</f>
        <v/>
      </c>
      <c r="K16" s="71"/>
      <c r="L16" s="498" t="str">
        <f>IFERROR(INDEX('G-8 Condition Look up'!$A$3:$H$130,MATCH(G16,'G-8 Condition Look up'!$A$3:$A$130,0),MATCH(K16,'G-8 Condition Look up'!$A$3:$H$3,0)),"")</f>
        <v/>
      </c>
      <c r="M16" s="71"/>
      <c r="N16" s="519" t="str">
        <f>IF(M16="","",IF(VLOOKUP(M16,'G-3 Multipliers'!$L$3:$N$6,2,FALSE)=0,"Spatial Data Missing",VLOOKUP(M16,'G-3 Multipliers'!$L$3:$N$6,2,FALSE)))</f>
        <v/>
      </c>
      <c r="O16" s="504"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 ▲",IF(AND(P16='G-1 All Habitats'!$X$3,W16&gt;0),"Any Loss Unacceptable ▲",H16*J16*L16*O16))))),"Check Data ▲")</f>
        <v/>
      </c>
      <c r="R16" s="50"/>
      <c r="S16" s="71"/>
      <c r="T16" s="72"/>
      <c r="U16" s="510" t="str">
        <f t="shared" si="3"/>
        <v/>
      </c>
      <c r="V16" s="510" t="str">
        <f t="shared" si="4"/>
        <v/>
      </c>
      <c r="W16" s="510" t="str">
        <f>IF(E16="","",IF(H16&lt;S16+T16,"Error in Areas ▲",IF(P16&lt;&gt;'G-1 All Habitats'!$X$3,H16-S16-T16,IF(AND(P16='G-1 All Habitats'!$X$3,Y16="Yes"),"Unacceptable Loss",IF(AND(P16='G-1 All Habitats'!$X$3,Y16="No"),AC16,IF(AND(P16='G-1 All Habitats'!$X$3,Y16=""),AC16,IF(AND(P16='G-1 All Habitats'!$X$3,AC16="None",AC16),IF(AND(P16='G-1 All Habitats'!$X$3,AC16&gt;0),H16-S16-T16))))))))</f>
        <v/>
      </c>
      <c r="X16" s="514" t="str">
        <f>IFERROR(IF(H16="","",IF(H16-S16-T16=0&lt;0,"Error in Areas ▲",IF(S16+T16&gt;H16,"Error in Areas ▲",IF(AND(P16='G-1 All Habitats'!$X$3,Y16="Yes"),"Alternative Compensation ✓",IF(W16=0,0,IF(P16='G-1 All Habitats'!$X$3,"Unacceptable Loss ▲",Q16-U16-V16)))))),"Check Data ▲")</f>
        <v/>
      </c>
      <c r="Y16" s="72"/>
      <c r="Z16" s="80"/>
      <c r="AA16" s="81"/>
      <c r="AC16" s="75" t="str">
        <f>IF(P16="","",IF(P16='G-1 All Habitats'!$X$3,H16-S16-T16,"None"))</f>
        <v/>
      </c>
      <c r="AD16" s="76" t="str">
        <f>IFERROR(AC16*J16*L16*#REF!*O16,IF(P16="","","None"))</f>
        <v/>
      </c>
      <c r="AF16" s="54" t="str">
        <f t="shared" si="0"/>
        <v/>
      </c>
      <c r="AG16" s="54" t="str">
        <f t="shared" si="1"/>
        <v/>
      </c>
      <c r="AH16" s="54" t="str">
        <f>IF(I16="","",IF(#REF!&gt;0,TRUE,FALSE))</f>
        <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x14ac:dyDescent="0.3">
      <c r="A17" s="47" t="str">
        <f>IFERROR(INDEX('G-1 All Habitats'!$AG$3:$AG$15,MATCH(E17,'G-1 All Habitats'!$AF$3:$AF$15,0)),"")</f>
        <v/>
      </c>
      <c r="B17" s="47" t="str">
        <f>IFERROR(INDEX('G-8 Condition Look up'!$I$4:$I$130,MATCH(G17,'G-8 Condition Look up'!$A$4:$A$130,0)),"")</f>
        <v/>
      </c>
      <c r="D17" s="77">
        <v>7</v>
      </c>
      <c r="E17" s="341"/>
      <c r="F17" s="79"/>
      <c r="G17" s="69" t="str">
        <f>IFERROR(INDEX('G-1 All Habitats'!$B$3:$B$129,MATCH(F17,'G-1 All Habitats'!$A$3:$A$129,0)),"")</f>
        <v/>
      </c>
      <c r="H17" s="70"/>
      <c r="I17" s="497" t="str">
        <f>IF(G17="","",VLOOKUP(G17,'G-1 All Habitats'!$B$2:$M$129,10,FALSE))</f>
        <v/>
      </c>
      <c r="J17" s="498" t="str">
        <f>IFERROR(VLOOKUP(I17,'G-1 All Habitats'!$V$3:$W$7,2,FALSE),"")</f>
        <v/>
      </c>
      <c r="K17" s="71"/>
      <c r="L17" s="498" t="str">
        <f>IFERROR(INDEX('G-8 Condition Look up'!$A$3:$H$130,MATCH(G17,'G-8 Condition Look up'!$A$3:$A$130,0),MATCH(K17,'G-8 Condition Look up'!$A$3:$H$3,0)),"")</f>
        <v/>
      </c>
      <c r="M17" s="71"/>
      <c r="N17" s="519" t="str">
        <f>IF(M17="","",IF(VLOOKUP(M17,'G-3 Multipliers'!$L$3:$N$6,2,FALSE)=0,"Spatial Data Missing",VLOOKUP(M17,'G-3 Multipliers'!$L$3:$N$6,2,FALSE)))</f>
        <v/>
      </c>
      <c r="O17" s="504"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 ▲",IF(AND(P17='G-1 All Habitats'!$X$3,W17&gt;0),"Any Loss Unacceptable ▲",H17*J17*L17*O17))))),"Check Data ▲")</f>
        <v/>
      </c>
      <c r="R17" s="50"/>
      <c r="S17" s="71"/>
      <c r="T17" s="72"/>
      <c r="U17" s="510" t="str">
        <f t="shared" si="3"/>
        <v/>
      </c>
      <c r="V17" s="510" t="str">
        <f t="shared" si="4"/>
        <v/>
      </c>
      <c r="W17" s="510"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4"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3">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3"/>
        <v/>
      </c>
      <c r="V18" s="510" t="str">
        <f t="shared" si="4"/>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x14ac:dyDescent="0.3">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3"/>
        <v/>
      </c>
      <c r="V19" s="510" t="str">
        <f t="shared" si="4"/>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x14ac:dyDescent="0.3">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x14ac:dyDescent="0.3">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x14ac:dyDescent="0.3">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x14ac:dyDescent="0.3">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x14ac:dyDescent="0.3">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x14ac:dyDescent="0.3">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x14ac:dyDescent="0.3">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x14ac:dyDescent="0.3">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x14ac:dyDescent="0.3">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x14ac:dyDescent="0.3">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x14ac:dyDescent="0.3">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x14ac:dyDescent="0.3">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x14ac:dyDescent="0.3">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x14ac:dyDescent="0.3">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x14ac:dyDescent="0.3">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x14ac:dyDescent="0.3">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x14ac:dyDescent="0.3">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x14ac:dyDescent="0.3">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x14ac:dyDescent="0.3">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x14ac:dyDescent="0.3">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x14ac:dyDescent="0.3">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x14ac:dyDescent="0.3">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x14ac:dyDescent="0.3">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x14ac:dyDescent="0.3">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x14ac:dyDescent="0.3">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x14ac:dyDescent="0.3">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x14ac:dyDescent="0.3">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x14ac:dyDescent="0.3">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x14ac:dyDescent="0.3">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x14ac:dyDescent="0.3">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x14ac:dyDescent="0.3">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x14ac:dyDescent="0.3">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x14ac:dyDescent="0.3">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x14ac:dyDescent="0.3">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x14ac:dyDescent="0.3">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x14ac:dyDescent="0.3">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x14ac:dyDescent="0.3">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x14ac:dyDescent="0.3">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x14ac:dyDescent="0.3">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x14ac:dyDescent="0.3">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x14ac:dyDescent="0.3">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x14ac:dyDescent="0.3">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x14ac:dyDescent="0.3">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x14ac:dyDescent="0.3">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x14ac:dyDescent="0.3">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x14ac:dyDescent="0.3">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x14ac:dyDescent="0.3">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x14ac:dyDescent="0.3">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x14ac:dyDescent="0.3">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x14ac:dyDescent="0.3">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x14ac:dyDescent="0.3">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x14ac:dyDescent="0.3">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x14ac:dyDescent="0.3">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x14ac:dyDescent="0.3">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x14ac:dyDescent="0.3">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x14ac:dyDescent="0.3">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x14ac:dyDescent="0.3">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x14ac:dyDescent="0.3">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x14ac:dyDescent="0.3">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x14ac:dyDescent="0.3">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x14ac:dyDescent="0.3">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x14ac:dyDescent="0.3">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x14ac:dyDescent="0.3">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x14ac:dyDescent="0.3">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x14ac:dyDescent="0.3">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x14ac:dyDescent="0.3">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x14ac:dyDescent="0.3">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x14ac:dyDescent="0.3">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x14ac:dyDescent="0.3">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x14ac:dyDescent="0.3">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x14ac:dyDescent="0.3">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x14ac:dyDescent="0.3">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x14ac:dyDescent="0.3">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x14ac:dyDescent="0.3">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x14ac:dyDescent="0.3">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x14ac:dyDescent="0.3">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x14ac:dyDescent="0.3">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x14ac:dyDescent="0.3">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x14ac:dyDescent="0.3">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x14ac:dyDescent="0.3">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x14ac:dyDescent="0.3">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x14ac:dyDescent="0.3">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x14ac:dyDescent="0.3">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x14ac:dyDescent="0.3">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x14ac:dyDescent="0.3">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x14ac:dyDescent="0.3">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x14ac:dyDescent="0.3">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x14ac:dyDescent="0.3">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x14ac:dyDescent="0.3">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x14ac:dyDescent="0.3">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x14ac:dyDescent="0.3">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x14ac:dyDescent="0.3">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x14ac:dyDescent="0.3">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x14ac:dyDescent="0.3">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x14ac:dyDescent="0.3">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x14ac:dyDescent="0.3">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x14ac:dyDescent="0.3">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x14ac:dyDescent="0.3">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x14ac:dyDescent="0.3">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x14ac:dyDescent="0.3">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x14ac:dyDescent="0.3">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x14ac:dyDescent="0.3">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x14ac:dyDescent="0.3">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x14ac:dyDescent="0.3">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x14ac:dyDescent="0.3">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x14ac:dyDescent="0.3">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x14ac:dyDescent="0.3">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x14ac:dyDescent="0.3">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x14ac:dyDescent="0.3">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x14ac:dyDescent="0.3">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x14ac:dyDescent="0.3">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x14ac:dyDescent="0.3">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x14ac:dyDescent="0.3">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x14ac:dyDescent="0.3">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x14ac:dyDescent="0.3">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x14ac:dyDescent="0.3">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x14ac:dyDescent="0.3">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x14ac:dyDescent="0.3">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x14ac:dyDescent="0.3">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x14ac:dyDescent="0.3">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x14ac:dyDescent="0.3">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x14ac:dyDescent="0.3">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x14ac:dyDescent="0.3">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x14ac:dyDescent="0.3">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x14ac:dyDescent="0.3">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x14ac:dyDescent="0.3">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x14ac:dyDescent="0.3">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x14ac:dyDescent="0.3">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x14ac:dyDescent="0.3">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x14ac:dyDescent="0.3">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x14ac:dyDescent="0.3">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x14ac:dyDescent="0.3">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x14ac:dyDescent="0.3">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x14ac:dyDescent="0.3">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x14ac:dyDescent="0.3">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x14ac:dyDescent="0.3">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x14ac:dyDescent="0.3">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x14ac:dyDescent="0.3">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x14ac:dyDescent="0.3">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x14ac:dyDescent="0.3">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x14ac:dyDescent="0.3">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x14ac:dyDescent="0.3">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x14ac:dyDescent="0.3">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x14ac:dyDescent="0.3">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x14ac:dyDescent="0.3">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x14ac:dyDescent="0.3">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x14ac:dyDescent="0.3">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x14ac:dyDescent="0.3">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x14ac:dyDescent="0.3">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x14ac:dyDescent="0.3">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x14ac:dyDescent="0.3">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x14ac:dyDescent="0.3">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x14ac:dyDescent="0.3">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x14ac:dyDescent="0.3">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x14ac:dyDescent="0.3">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x14ac:dyDescent="0.3">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x14ac:dyDescent="0.3">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x14ac:dyDescent="0.3">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x14ac:dyDescent="0.3">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x14ac:dyDescent="0.3">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x14ac:dyDescent="0.3">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x14ac:dyDescent="0.3">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x14ac:dyDescent="0.3">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x14ac:dyDescent="0.3">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x14ac:dyDescent="0.3">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x14ac:dyDescent="0.3">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x14ac:dyDescent="0.3">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x14ac:dyDescent="0.3">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x14ac:dyDescent="0.3">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x14ac:dyDescent="0.3">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x14ac:dyDescent="0.3">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x14ac:dyDescent="0.3">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x14ac:dyDescent="0.3">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x14ac:dyDescent="0.3">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x14ac:dyDescent="0.3">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x14ac:dyDescent="0.3">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x14ac:dyDescent="0.3">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x14ac:dyDescent="0.3">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x14ac:dyDescent="0.3">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x14ac:dyDescent="0.3">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x14ac:dyDescent="0.3">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x14ac:dyDescent="0.3">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x14ac:dyDescent="0.3">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x14ac:dyDescent="0.3">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x14ac:dyDescent="0.3">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x14ac:dyDescent="0.3">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x14ac:dyDescent="0.3">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x14ac:dyDescent="0.3">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x14ac:dyDescent="0.3">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x14ac:dyDescent="0.3">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x14ac:dyDescent="0.3">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x14ac:dyDescent="0.3">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x14ac:dyDescent="0.3">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x14ac:dyDescent="0.3">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x14ac:dyDescent="0.3">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x14ac:dyDescent="0.3">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x14ac:dyDescent="0.3">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x14ac:dyDescent="0.3">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x14ac:dyDescent="0.3">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x14ac:dyDescent="0.3">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x14ac:dyDescent="0.3">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x14ac:dyDescent="0.3">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x14ac:dyDescent="0.3">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x14ac:dyDescent="0.3">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x14ac:dyDescent="0.3">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x14ac:dyDescent="0.3">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x14ac:dyDescent="0.3">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x14ac:dyDescent="0.3">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x14ac:dyDescent="0.3">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x14ac:dyDescent="0.3">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x14ac:dyDescent="0.3">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x14ac:dyDescent="0.3">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x14ac:dyDescent="0.3">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x14ac:dyDescent="0.3">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x14ac:dyDescent="0.3">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x14ac:dyDescent="0.3">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x14ac:dyDescent="0.3">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x14ac:dyDescent="0.3">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x14ac:dyDescent="0.3">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x14ac:dyDescent="0.3">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x14ac:dyDescent="0.3">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x14ac:dyDescent="0.3">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x14ac:dyDescent="0.3">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x14ac:dyDescent="0.3">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x14ac:dyDescent="0.3">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x14ac:dyDescent="0.3">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x14ac:dyDescent="0.3">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x14ac:dyDescent="0.3">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x14ac:dyDescent="0.3">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x14ac:dyDescent="0.3">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x14ac:dyDescent="0.3">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x14ac:dyDescent="0.3">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x14ac:dyDescent="0.3">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x14ac:dyDescent="0.3">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x14ac:dyDescent="0.3">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x14ac:dyDescent="0.3">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x14ac:dyDescent="0.3">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x14ac:dyDescent="0.3">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4.5" thickBot="1" x14ac:dyDescent="0.35">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4.5" thickBot="1" x14ac:dyDescent="0.35">
      <c r="F259" s="501" t="s">
        <v>223</v>
      </c>
      <c r="H259" s="502">
        <f>SUM(H9:H256)</f>
        <v>0.44850000000000001</v>
      </c>
      <c r="N259" s="50"/>
      <c r="P259" s="444"/>
      <c r="Q259" s="513">
        <f>IF('Detailed Results'!$K$40&gt;0,"Error",SUM(Q11:Q258))</f>
        <v>1.6199999999999999E-2</v>
      </c>
      <c r="R259" s="85"/>
      <c r="S259" s="516">
        <f>IF('Detailed Results'!$K$40&gt;0,"Error",SUM(S11:S258))</f>
        <v>5.1999999999999998E-3</v>
      </c>
      <c r="T259" s="517">
        <f>IF('Detailed Results'!$K$40&gt;0,"Error",SUM(T11:T258))</f>
        <v>0</v>
      </c>
      <c r="U259" s="517">
        <f>IF('Detailed Results'!$K$40&gt;0,"Error",SUM(U11:U258))</f>
        <v>1.04E-2</v>
      </c>
      <c r="V259" s="517">
        <f>IF('Detailed Results'!$K$40&gt;0,"Error",SUM(V11:V258))</f>
        <v>0</v>
      </c>
      <c r="W259" s="517">
        <f>IF('Detailed Results'!$K$40&gt;0,"Error",SUM(W11:W258))</f>
        <v>0.44330000000000003</v>
      </c>
      <c r="X259" s="513">
        <f>IF('Detailed Results'!$K$40&gt;0,"Error",SUM(X11:X258))</f>
        <v>5.7999999999999996E-3</v>
      </c>
      <c r="AQ259" s="55">
        <f>SUM(AQ11:AQ258)</f>
        <v>0</v>
      </c>
    </row>
    <row r="260" spans="1:43" ht="28.5" customHeight="1" thickBot="1" x14ac:dyDescent="0.35">
      <c r="F260" s="457"/>
      <c r="P260" s="48"/>
      <c r="Y260" s="86"/>
    </row>
    <row r="261" spans="1:43" ht="38.25" customHeight="1" thickBot="1" x14ac:dyDescent="0.35">
      <c r="D261" s="48"/>
      <c r="E261" s="48"/>
      <c r="F261" s="48"/>
      <c r="G261" s="48"/>
      <c r="H261" s="48"/>
      <c r="S261" s="887" t="s">
        <v>224</v>
      </c>
      <c r="T261" s="888"/>
      <c r="U261" s="888"/>
      <c r="V261" s="889"/>
      <c r="W261" s="502">
        <f>IF('Detailed Results'!$K$40&gt;0,"Error",SUMIFS($W$11:$W$258,$G$11:$G$258,"&lt;&gt;"&amp;'G-1 All Habitats'!B65,$G$11:$G$258,"&lt;&gt;"&amp;'G-1 All Habitats'!B66,$G$11:$G$258,"&lt;&gt;"&amp;'G-1 All Habitats'!B73))</f>
        <v>0.44330000000000003</v>
      </c>
    </row>
    <row r="262" spans="1:43" x14ac:dyDescent="0.3">
      <c r="D262" s="48"/>
      <c r="E262" s="48"/>
    </row>
    <row r="263" spans="1:43" x14ac:dyDescent="0.3">
      <c r="D263" s="48"/>
      <c r="E263" s="48"/>
      <c r="F263" s="48"/>
      <c r="G263" s="48"/>
      <c r="H263" s="48"/>
      <c r="I263" s="48"/>
      <c r="J263" s="48"/>
      <c r="K263" s="48"/>
      <c r="L263" s="48"/>
      <c r="M263" s="48"/>
      <c r="N263" s="48"/>
      <c r="O263" s="48"/>
    </row>
    <row r="264" spans="1:43" x14ac:dyDescent="0.3">
      <c r="D264" s="48"/>
      <c r="E264" s="48"/>
      <c r="F264" s="48"/>
      <c r="G264" s="48"/>
      <c r="H264" s="48"/>
      <c r="I264" s="48"/>
      <c r="J264" s="48"/>
      <c r="K264" s="48"/>
      <c r="L264" s="48"/>
      <c r="M264" s="48"/>
      <c r="N264" s="48"/>
      <c r="O264" s="48"/>
    </row>
    <row r="265" spans="1:43" x14ac:dyDescent="0.3">
      <c r="D265" s="48"/>
      <c r="E265" s="48"/>
      <c r="F265" s="48"/>
      <c r="G265" s="48"/>
      <c r="H265" s="48"/>
      <c r="I265" s="48"/>
      <c r="J265" s="48"/>
      <c r="K265" s="48"/>
      <c r="L265" s="48"/>
      <c r="M265" s="48"/>
      <c r="N265" s="48"/>
      <c r="O265" s="48"/>
    </row>
    <row r="275" x14ac:dyDescent="0.3"/>
  </sheetData>
  <sheetProtection algorithmName="SHA-512" hashValue="vAgAueGv+sNoEE5JM48UMCG2nt3DSe+R4vyfWTvLZjs+TRI/z6FFSW4Wkqsvqzky7HxLkTVC8MewCiaGVhZwEg==" saltValue="Q8yRqiF8tJzfGjyxink1v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D1" zoomScale="70" zoomScaleNormal="70" workbookViewId="0">
      <pane ySplit="10" topLeftCell="A11" activePane="bottomLeft" state="frozen"/>
      <selection activeCell="S28" sqref="S28"/>
      <selection pane="bottomLeft" activeCell="R21" sqref="R21"/>
    </sheetView>
  </sheetViews>
  <sheetFormatPr defaultColWidth="0" defaultRowHeight="14" zeroHeight="1" x14ac:dyDescent="0.3"/>
  <cols>
    <col min="1" max="1" width="7.453125" style="47" hidden="1" customWidth="1"/>
    <col min="2" max="2" width="9.54296875" style="47" hidden="1" customWidth="1"/>
    <col min="3" max="3" width="24.26953125" style="47" hidden="1" customWidth="1"/>
    <col min="4" max="4" width="27.1796875" style="47" customWidth="1"/>
    <col min="5" max="5" width="75" style="49" customWidth="1"/>
    <col min="6" max="6" width="15.81640625" style="47" hidden="1" customWidth="1"/>
    <col min="7" max="7" width="12.7265625" style="47" customWidth="1"/>
    <col min="8" max="8" width="18" style="47" customWidth="1"/>
    <col min="9" max="9" width="14.1796875" style="47" customWidth="1"/>
    <col min="10" max="11" width="12.54296875" style="47" customWidth="1"/>
    <col min="12" max="12" width="42.26953125" style="47" customWidth="1"/>
    <col min="13" max="13" width="19.54296875" style="47" customWidth="1"/>
    <col min="14" max="14" width="13.1796875" style="47" customWidth="1"/>
    <col min="15" max="15" width="18" style="47" customWidth="1"/>
    <col min="16" max="16" width="17.81640625" style="47" customWidth="1"/>
    <col min="17" max="17" width="17.7265625" style="47" customWidth="1"/>
    <col min="18" max="18" width="49.54296875" style="47" customWidth="1"/>
    <col min="19" max="19" width="18.26953125" style="47" customWidth="1"/>
    <col min="20" max="20" width="15.26953125" style="47" customWidth="1"/>
    <col min="21" max="21" width="13.7265625" style="47" customWidth="1"/>
    <col min="22" max="22" width="36.54296875" style="47" customWidth="1"/>
    <col min="23" max="23" width="15.1796875" style="47" customWidth="1"/>
    <col min="24" max="24" width="14.26953125" style="47" customWidth="1"/>
    <col min="25" max="25" width="12.7265625" style="47" customWidth="1"/>
    <col min="26" max="26" width="39.7265625" style="47" customWidth="1"/>
    <col min="27" max="27" width="43.1796875" style="47" customWidth="1"/>
    <col min="28" max="28" width="8.453125" style="47" customWidth="1"/>
    <col min="29" max="29" width="12" style="47" hidden="1" customWidth="1"/>
    <col min="30" max="30" width="8.81640625" style="47" hidden="1" customWidth="1"/>
    <col min="31" max="31" width="10.81640625" style="47" hidden="1" customWidth="1"/>
    <col min="32" max="32" width="11.81640625" style="47" hidden="1" customWidth="1"/>
    <col min="33" max="16384" width="8.81640625" style="47" hidden="1"/>
  </cols>
  <sheetData>
    <row r="1" spans="1:34" ht="14.5" thickBot="1" x14ac:dyDescent="0.35"/>
    <row r="2" spans="1:34" ht="18.75" customHeight="1" thickBot="1" x14ac:dyDescent="0.35">
      <c r="D2" s="896" t="str">
        <f>IF(Start!$F$12="","",Start!$F$12)</f>
        <v/>
      </c>
      <c r="E2" s="898"/>
      <c r="P2" s="907" t="str">
        <f>IF(OR(COUNTIF($O$11:O256,"*30+*")&gt;0,COUNTIF($S$11:S256,"*30+*")&gt;0),"Note; Habitat selected has a time to target condition greater than 30 years. Non standard agreement may be required.","")</f>
        <v/>
      </c>
      <c r="Q2" s="907"/>
      <c r="R2" s="907"/>
      <c r="S2" s="907"/>
    </row>
    <row r="3" spans="1:34" ht="24" customHeight="1" thickBot="1" x14ac:dyDescent="0.35">
      <c r="D3" s="893" t="str">
        <f ca="1">MID(CELL("filename",D1),FIND("]",CELL("filename",D1))+1,256)</f>
        <v>A-2 Site Habitat Creation</v>
      </c>
      <c r="E3" s="895"/>
      <c r="O3" s="400"/>
      <c r="P3" s="907"/>
      <c r="Q3" s="907"/>
      <c r="R3" s="907"/>
      <c r="S3" s="907"/>
      <c r="W3" s="920"/>
      <c r="X3" s="920"/>
      <c r="Y3" s="920"/>
      <c r="Z3" s="920"/>
    </row>
    <row r="4" spans="1:34" ht="12.65" customHeight="1" x14ac:dyDescent="0.3">
      <c r="O4" s="400"/>
      <c r="P4" s="400"/>
      <c r="Q4" s="400"/>
      <c r="R4" s="400"/>
      <c r="W4" s="920"/>
      <c r="X4" s="920"/>
      <c r="Y4" s="920"/>
      <c r="Z4" s="920"/>
    </row>
    <row r="5" spans="1:34" ht="15.65" customHeight="1" x14ac:dyDescent="0.3">
      <c r="M5" s="244"/>
      <c r="N5" s="234"/>
      <c r="O5" s="400"/>
      <c r="P5" s="908" t="str">
        <f>IFERROR(IF(OR((G259-'A-1 Site Habitat Baseline'!W261)&gt;0.01,(G259-'A-1 Site Habitat Baseline'!W261)&lt;-0.01),"Check Areas - Area cross check failed (Baseline habitat lost does not match development footprint plus area of new habitat creation)",""),"")</f>
        <v/>
      </c>
      <c r="Q5" s="908"/>
      <c r="R5" s="908"/>
      <c r="S5" s="908"/>
      <c r="W5" s="920"/>
      <c r="X5" s="920"/>
      <c r="Y5" s="920"/>
      <c r="Z5" s="920"/>
    </row>
    <row r="6" spans="1:34" ht="19.149999999999999" customHeight="1" x14ac:dyDescent="0.3">
      <c r="O6" s="400"/>
      <c r="P6" s="908"/>
      <c r="Q6" s="908"/>
      <c r="R6" s="908"/>
      <c r="S6" s="908"/>
      <c r="W6" s="920"/>
      <c r="X6" s="920"/>
      <c r="Y6" s="920"/>
      <c r="Z6" s="920"/>
    </row>
    <row r="7" spans="1:34" ht="39" customHeight="1" thickBot="1" x14ac:dyDescent="0.4">
      <c r="E7" s="50"/>
      <c r="P7" s="401"/>
      <c r="Q7" s="401"/>
      <c r="R7" s="401"/>
      <c r="S7" s="397"/>
      <c r="T7" s="397"/>
      <c r="U7" s="397"/>
      <c r="V7" s="397"/>
      <c r="W7" s="397"/>
    </row>
    <row r="8" spans="1:34" ht="14.5" thickBot="1" x14ac:dyDescent="0.35">
      <c r="D8" s="916" t="s">
        <v>225</v>
      </c>
      <c r="E8" s="917"/>
      <c r="F8" s="917"/>
      <c r="G8" s="917"/>
      <c r="H8" s="917"/>
      <c r="I8" s="917"/>
      <c r="J8" s="917"/>
      <c r="K8" s="917"/>
      <c r="L8" s="917"/>
      <c r="M8" s="917"/>
      <c r="N8" s="917"/>
      <c r="O8" s="917"/>
      <c r="P8" s="917"/>
      <c r="Q8" s="917"/>
      <c r="R8" s="917"/>
      <c r="S8" s="917"/>
      <c r="T8" s="917"/>
      <c r="U8" s="917"/>
      <c r="V8" s="917"/>
      <c r="W8" s="917"/>
      <c r="X8" s="917"/>
      <c r="Y8" s="917"/>
      <c r="Z8" s="917"/>
      <c r="AA8" s="918"/>
      <c r="AE8" s="909" t="s">
        <v>226</v>
      </c>
    </row>
    <row r="9" spans="1:34" s="49" customFormat="1" ht="15" customHeight="1" thickBot="1" x14ac:dyDescent="0.35">
      <c r="B9" s="47"/>
      <c r="D9" s="914" t="s">
        <v>202</v>
      </c>
      <c r="E9" s="910" t="s">
        <v>227</v>
      </c>
      <c r="F9" s="910" t="s">
        <v>227</v>
      </c>
      <c r="G9" s="912"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09"/>
      <c r="AF9" s="47"/>
      <c r="AG9" s="47"/>
      <c r="AH9" s="47"/>
    </row>
    <row r="10" spans="1:34" ht="42" x14ac:dyDescent="0.3">
      <c r="A10" s="55" t="s">
        <v>200</v>
      </c>
      <c r="D10" s="915"/>
      <c r="E10" s="911"/>
      <c r="F10" s="911"/>
      <c r="G10" s="913"/>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9"/>
      <c r="Z10" s="363" t="s">
        <v>215</v>
      </c>
      <c r="AA10" s="365" t="s">
        <v>216</v>
      </c>
      <c r="AE10" s="47" t="s">
        <v>242</v>
      </c>
    </row>
    <row r="11" spans="1:34" ht="42" x14ac:dyDescent="0.3">
      <c r="A11" s="47" t="str">
        <f>IFERROR(INDEX('G-8 Condition Look up'!$I$4:$I$130,MATCH(F11,'G-8 Condition Look up'!$A$4:$A$130,0)),"")</f>
        <v>Cond2</v>
      </c>
      <c r="C11" s="382" t="str">
        <f>IFERROR(INDEX('G-1 All Habitats'!$AG$3:$AG$15,MATCH(D11,'G-1 All Habitats'!$AF$3:$AF$15,0)),"")</f>
        <v>Urban</v>
      </c>
      <c r="D11" s="71" t="s">
        <v>74</v>
      </c>
      <c r="E11" s="82" t="s">
        <v>599</v>
      </c>
      <c r="F11" s="378" t="str">
        <f>IFERROR(INDEX('G-1 All Habitats'!$B$3:$B$129,MATCH(E11,'G-1 All Habitats'!$A$3:$A$129,0)),"")</f>
        <v>Urban - Developed land; sealed surface</v>
      </c>
      <c r="G11" s="70">
        <v>0.376</v>
      </c>
      <c r="H11" s="497" t="str">
        <f>IF(F11="","",VLOOKUP(F11,'G-1 All Habitats'!$B$2:$M$129,10,FALSE))</f>
        <v>V.Low</v>
      </c>
      <c r="I11" s="498">
        <f>IFERROR(VLOOKUP(H11,'G-1 All Habitats'!$V$3:$W$7,2,FALSE),"")</f>
        <v>0</v>
      </c>
      <c r="J11" s="71" t="s">
        <v>407</v>
      </c>
      <c r="K11" s="498">
        <f>IFERROR(INDEX('G-8 Condition Look up'!$A$3:$H$130,MATCH(F11,'G-8 Condition Look up'!$A$3:$A$130,0),MATCH(J11,'G-8 Condition Look up'!$A$3:$H$3,0)),"")</f>
        <v>0</v>
      </c>
      <c r="L11" s="71" t="s">
        <v>921</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0</v>
      </c>
      <c r="P11" s="82">
        <v>0</v>
      </c>
      <c r="Q11" s="82">
        <v>1</v>
      </c>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1</v>
      </c>
      <c r="T11" s="521">
        <f>IFERROR(IF(S11="Check Data ⚠","Check Data ⚠",VLOOKUP(S11,'G-4 Temporal multipliers'!$A$4:$C$37,3,FALSE)),"")</f>
        <v>0.96499999999999997</v>
      </c>
      <c r="U11" s="522" t="str">
        <f>IF(F11="","",VLOOKUP(F11,'G-3 Multipliers'!$A$2:$E$129,2,FALSE))</f>
        <v>Low</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Medium</v>
      </c>
      <c r="X11" s="523">
        <f>IFERROR(IF(E11="","",VLOOKUP(W11, 'G-3 Multipliers'!$P$2:$Q$6,2,FALSE)),"")</f>
        <v>0.67</v>
      </c>
      <c r="Y11" s="528">
        <f>IFERROR(G11*I11*K11*N11*T11*X11,"")</f>
        <v>0</v>
      </c>
      <c r="Z11" s="238"/>
      <c r="AA11" s="239"/>
      <c r="AE11" s="54" t="str">
        <f t="shared" ref="AE11:AE74" si="1">IFERROR(INDEX(TemporalData,MATCH(F11,TemporalHabitats,0),MATCH($AE$10,TemporalConditions,0)),"")</f>
        <v>Not Possible</v>
      </c>
    </row>
    <row r="12" spans="1:34" ht="42" x14ac:dyDescent="0.3">
      <c r="A12" s="47" t="str">
        <f>IFERROR(INDEX('G-8 Condition Look up'!$I$4:$I$130,MATCH(F12,'G-8 Condition Look up'!$A$4:$A$130,0)),"")</f>
        <v>Cond1</v>
      </c>
      <c r="C12" s="383" t="str">
        <f>IFERROR(INDEX('G-1 All Habitats'!$AG$3:$AG$15,MATCH(D12,'G-1 All Habitats'!$AF$3:$AF$15,0)),"")</f>
        <v>Urban</v>
      </c>
      <c r="D12" s="146" t="s">
        <v>74</v>
      </c>
      <c r="E12" s="79" t="s">
        <v>615</v>
      </c>
      <c r="F12" s="245" t="str">
        <f>IFERROR(INDEX('G-1 All Habitats'!$B$3:$B$129,MATCH(E12,'G-1 All Habitats'!$A$3:$A$129,0)),"")</f>
        <v>Urban - Introduced shrub</v>
      </c>
      <c r="G12" s="70">
        <v>6.7299999999999999E-2</v>
      </c>
      <c r="H12" s="497" t="str">
        <f>IF(F12="","",VLOOKUP(F12,'G-1 All Habitats'!$B$2:$M$129,10,FALSE))</f>
        <v>Low</v>
      </c>
      <c r="I12" s="498">
        <f>IFERROR(VLOOKUP(H12,'G-1 All Habitats'!$V$3:$W$7,2,FALSE),"")</f>
        <v>2</v>
      </c>
      <c r="J12" s="71" t="s">
        <v>403</v>
      </c>
      <c r="K12" s="498">
        <f>IFERROR(INDEX('G-8 Condition Look up'!$A$3:$H$130,MATCH(F12,'G-8 Condition Look up'!$A$3:$A$130,0),MATCH(J12,'G-8 Condition Look up'!$A$3:$H$3,0)),"")</f>
        <v>1</v>
      </c>
      <c r="L12" s="71" t="s">
        <v>921</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1</v>
      </c>
      <c r="P12" s="82">
        <v>0</v>
      </c>
      <c r="Q12" s="82">
        <v>1</v>
      </c>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Check details- Delay in starting habitat in required condition? ⚠</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2</v>
      </c>
      <c r="T12" s="521">
        <f>IFERROR(IF(S12="Check Data ⚠","Check Data ⚠",VLOOKUP(S12,'G-4 Temporal multipliers'!$A$4:$C$37,3,FALSE)),"")</f>
        <v>0.93122499999999997</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Low</v>
      </c>
      <c r="X12" s="523">
        <f>IFERROR(IF(E12="","",VLOOKUP(W12, 'G-3 Multipliers'!$P$2:$Q$6,2,FALSE)),"")</f>
        <v>1</v>
      </c>
      <c r="Y12" s="528">
        <f t="shared" ref="Y12:Y75" si="5">IFERROR(G12*I12*K12*N12*T12*X12,"")</f>
        <v>0.12534288499999999</v>
      </c>
      <c r="Z12" s="238"/>
      <c r="AA12" s="239"/>
      <c r="AE12" s="54" t="str">
        <f t="shared" si="1"/>
        <v>Not Possible</v>
      </c>
    </row>
    <row r="13" spans="1:34" ht="28" x14ac:dyDescent="0.3">
      <c r="A13" s="47" t="str">
        <f>IFERROR(INDEX('G-8 Condition Look up'!$I$4:$I$130,MATCH(F13,'G-8 Condition Look up'!$A$4:$A$130,0)),"")</f>
        <v>Cond4</v>
      </c>
      <c r="C13" s="383" t="str">
        <f>IFERROR(INDEX('G-1 All Habitats'!$AG$3:$AG$15,MATCH(D13,'G-1 All Habitats'!$AF$3:$AF$15,0)),"")</f>
        <v>Urban</v>
      </c>
      <c r="D13" s="146" t="s">
        <v>74</v>
      </c>
      <c r="E13" s="79" t="s">
        <v>627</v>
      </c>
      <c r="F13" s="245" t="str">
        <f>IFERROR(INDEX('G-1 All Habitats'!$B$3:$B$129,MATCH(E13,'G-1 All Habitats'!$A$3:$A$129,0)),"")</f>
        <v>Urban - Urban Tree</v>
      </c>
      <c r="G13" s="70">
        <v>0.18312479999999998</v>
      </c>
      <c r="H13" s="497" t="str">
        <f>IF(F13="","",VLOOKUP(F13,'G-1 All Habitats'!$B$2:$M$129,10,FALSE))</f>
        <v>Medium</v>
      </c>
      <c r="I13" s="498">
        <f>IFERROR(VLOOKUP(H13,'G-1 All Habitats'!$V$3:$W$7,2,FALSE),"")</f>
        <v>4</v>
      </c>
      <c r="J13" s="71" t="s">
        <v>20</v>
      </c>
      <c r="K13" s="498">
        <f>IFERROR(INDEX('G-8 Condition Look up'!$A$3:$H$130,MATCH(F13,'G-8 Condition Look up'!$A$3:$A$130,0),MATCH(J13,'G-8 Condition Look up'!$A$3:$H$3,0)),"")</f>
        <v>2</v>
      </c>
      <c r="L13" s="71" t="s">
        <v>921</v>
      </c>
      <c r="M13" s="506" t="str">
        <f>IF(L13="","",IF(VLOOKUP(L13,'G-3 Multipliers'!$L$3:$N$6,2,FALSE)=0,"Spatial Data Missing",VLOOKUP(L13,'G-3 Multipliers'!$L$3:$N$6,2,FALSE)))</f>
        <v>Low Strategic Significance</v>
      </c>
      <c r="N13" s="504">
        <f>IF(L13="","",IF(VLOOKUP(L13,'G-3 Multipliers'!$L$3:$N$6,3,FALSE)=0,"Spatial Data Missing",VLOOKUP(L13,'G-3 Multipliers'!$L$3:$N$6,3,FALSE)))</f>
        <v>1</v>
      </c>
      <c r="O13" s="497">
        <f t="shared" si="0"/>
        <v>27</v>
      </c>
      <c r="P13" s="82">
        <v>0</v>
      </c>
      <c r="Q13" s="82">
        <v>1</v>
      </c>
      <c r="R13" s="506" t="str">
        <f t="shared" si="2"/>
        <v>Check details- Delay in starting habitat in required condition? ⚠</v>
      </c>
      <c r="S13" s="520">
        <f t="shared" si="3"/>
        <v>28</v>
      </c>
      <c r="T13" s="521">
        <f>IFERROR(IF(S13="Check Data ⚠","Check Data ⚠",VLOOKUP(S13,'G-4 Temporal multipliers'!$A$4:$C$37,3,FALSE)),"")</f>
        <v>0.36877780379999997</v>
      </c>
      <c r="U13" s="522" t="str">
        <f>IF(F13="","",VLOOKUP(F13,'G-3 Multipliers'!$A$2:$E$129,2,FALSE))</f>
        <v>Low</v>
      </c>
      <c r="V13" s="519" t="str">
        <f t="shared" si="4"/>
        <v>Standard difficulty applied</v>
      </c>
      <c r="W13" s="519" t="str">
        <f>IF(E13="","",IF(AND(V13="Standard difficulty applied",O13&gt;P13),U13,IF(AND(V13="Low Difficulty - only applicable if all habitat created before losses",P13&gt;=O13),"Low",VLOOKUP(F13,'G-3 Multipliers'!$A$2:$E$129,4,FALSE))))</f>
        <v>Low</v>
      </c>
      <c r="X13" s="523">
        <f>IFERROR(IF(E13="","",VLOOKUP(W13, 'G-3 Multipliers'!$P$2:$Q$6,2,FALSE)),"")</f>
        <v>1</v>
      </c>
      <c r="Y13" s="528">
        <f t="shared" si="5"/>
        <v>0.5402588925225138</v>
      </c>
      <c r="Z13" s="238"/>
      <c r="AA13" s="239"/>
      <c r="AE13" s="54">
        <f t="shared" si="1"/>
        <v>10</v>
      </c>
    </row>
    <row r="14" spans="1:34" x14ac:dyDescent="0.3">
      <c r="A14" s="47" t="str">
        <f>IFERROR(INDEX('G-8 Condition Look up'!$I$4:$I$130,MATCH(F14,'G-8 Condition Look up'!$A$4:$A$130,0)),"")</f>
        <v/>
      </c>
      <c r="C14" s="383" t="str">
        <f>IFERROR(INDEX('G-1 All Habitats'!$AG$3:$AG$15,MATCH(D14,'G-1 All Habitats'!$AF$3:$AF$15,0)),"")</f>
        <v/>
      </c>
      <c r="D14" s="146"/>
      <c r="E14" s="79"/>
      <c r="F14" s="245" t="str">
        <f>IFERROR(INDEX('G-1 All Habitats'!$B$3:$B$129,MATCH(E14,'G-1 All Habitats'!$A$3:$A$129,0)),"")</f>
        <v/>
      </c>
      <c r="G14" s="70"/>
      <c r="H14" s="497" t="str">
        <f>IF(F14="","",VLOOKUP(F14,'G-1 All Habitats'!$B$2:$M$129,10,FALSE))</f>
        <v/>
      </c>
      <c r="I14" s="498" t="str">
        <f>IFERROR(VLOOKUP(H14,'G-1 All Habitats'!$V$3:$W$7,2,FALSE),"")</f>
        <v/>
      </c>
      <c r="J14" s="71"/>
      <c r="K14" s="498" t="str">
        <f>IFERROR(INDEX('G-8 Condition Look up'!$A$3:$H$130,MATCH(F14,'G-8 Condition Look up'!$A$3:$A$130,0),MATCH(J14,'G-8 Condition Look up'!$A$3:$H$3,0)),"")</f>
        <v/>
      </c>
      <c r="L14" s="71"/>
      <c r="M14" s="506" t="str">
        <f>IF(L14="","",IF(VLOOKUP(L14,'G-3 Multipliers'!$L$3:$N$6,2,FALSE)=0,"Spatial Data Missing",VLOOKUP(L14,'G-3 Multipliers'!$L$3:$N$6,2,FALSE)))</f>
        <v/>
      </c>
      <c r="N14" s="504" t="str">
        <f>IF(L14="","",IF(VLOOKUP(L14,'G-3 Multipliers'!$L$3:$N$6,3,FALSE)=0,"Spatial Data Missing",VLOOKUP(L14,'G-3 Multipliers'!$L$3:$N$6,3,FALSE)))</f>
        <v/>
      </c>
      <c r="O14" s="497" t="str">
        <f t="shared" si="0"/>
        <v/>
      </c>
      <c r="P14" s="82"/>
      <c r="Q14" s="82"/>
      <c r="R14" s="506" t="str">
        <f t="shared" si="2"/>
        <v/>
      </c>
      <c r="S14" s="520" t="str">
        <f t="shared" si="3"/>
        <v/>
      </c>
      <c r="T14" s="521"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losses",P14&gt;=O14),"Low",VLOOKUP(F14,'G-3 Multipliers'!$A$2:$E$129,4,FALSE))))</f>
        <v/>
      </c>
      <c r="X14" s="523" t="str">
        <f>IFERROR(IF(E14="","",VLOOKUP(W14, 'G-3 Multipliers'!$P$2:$Q$6,2,FALSE)),"")</f>
        <v/>
      </c>
      <c r="Y14" s="528" t="str">
        <f t="shared" si="5"/>
        <v/>
      </c>
      <c r="Z14" s="238"/>
      <c r="AA14" s="239"/>
      <c r="AE14" s="54" t="str">
        <f t="shared" si="1"/>
        <v/>
      </c>
    </row>
    <row r="15" spans="1:34" x14ac:dyDescent="0.3">
      <c r="A15" s="47" t="str">
        <f>IFERROR(INDEX('G-8 Condition Look up'!$I$4:$I$130,MATCH(F15,'G-8 Condition Look up'!$A$4:$A$130,0)),"")</f>
        <v/>
      </c>
      <c r="C15" s="383" t="str">
        <f>IFERROR(INDEX('G-1 All Habitats'!$AG$3:$AG$15,MATCH(D15,'G-1 All Habitats'!$AF$3:$AF$15,0)),"")</f>
        <v/>
      </c>
      <c r="D15" s="146"/>
      <c r="E15" s="79"/>
      <c r="F15" s="245" t="str">
        <f>IFERROR(INDEX('G-1 All Habitats'!$B$3:$B$129,MATCH(E15,'G-1 All Habitats'!$A$3:$A$129,0)),"")</f>
        <v/>
      </c>
      <c r="G15" s="70"/>
      <c r="H15" s="497" t="str">
        <f>IF(F15="","",VLOOKUP(F15,'G-1 All Habitats'!$B$2:$M$129,10,FALSE))</f>
        <v/>
      </c>
      <c r="I15" s="498" t="str">
        <f>IFERROR(VLOOKUP(H15,'G-1 All Habitats'!$V$3:$W$7,2,FALSE),"")</f>
        <v/>
      </c>
      <c r="J15" s="71"/>
      <c r="K15" s="498" t="str">
        <f>IFERROR(INDEX('G-8 Condition Look up'!$A$3:$H$130,MATCH(F15,'G-8 Condition Look up'!$A$3:$A$130,0),MATCH(J15,'G-8 Condition Look up'!$A$3:$H$3,0)),"")</f>
        <v/>
      </c>
      <c r="L15" s="71"/>
      <c r="M15" s="506" t="str">
        <f>IF(L15="","",IF(VLOOKUP(L15,'G-3 Multipliers'!$L$3:$N$6,2,FALSE)=0,"Spatial Data Missing",VLOOKUP(L15,'G-3 Multipliers'!$L$3:$N$6,2,FALSE)))</f>
        <v/>
      </c>
      <c r="N15" s="504" t="str">
        <f>IF(L15="","",IF(VLOOKUP(L15,'G-3 Multipliers'!$L$3:$N$6,3,FALSE)=0,"Spatial Data Missing",VLOOKUP(L15,'G-3 Multipliers'!$L$3:$N$6,3,FALSE)))</f>
        <v/>
      </c>
      <c r="O15" s="497" t="str">
        <f t="shared" si="0"/>
        <v/>
      </c>
      <c r="P15" s="82"/>
      <c r="Q15" s="82"/>
      <c r="R15" s="506" t="str">
        <f t="shared" si="2"/>
        <v/>
      </c>
      <c r="S15" s="520" t="str">
        <f t="shared" si="3"/>
        <v/>
      </c>
      <c r="T15" s="521"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losses",P15&gt;=O15),"Low",VLOOKUP(F15,'G-3 Multipliers'!$A$2:$E$129,4,FALSE))))</f>
        <v/>
      </c>
      <c r="X15" s="523" t="str">
        <f>IFERROR(IF(E15="","",VLOOKUP(W15, 'G-3 Multipliers'!$P$2:$Q$6,2,FALSE)),"")</f>
        <v/>
      </c>
      <c r="Y15" s="528" t="str">
        <f t="shared" si="5"/>
        <v/>
      </c>
      <c r="Z15" s="238"/>
      <c r="AA15" s="239"/>
      <c r="AE15" s="54" t="str">
        <f t="shared" si="1"/>
        <v/>
      </c>
    </row>
    <row r="16" spans="1:34" x14ac:dyDescent="0.3">
      <c r="A16" s="47" t="str">
        <f>IFERROR(INDEX('G-8 Condition Look up'!$I$4:$I$130,MATCH(F16,'G-8 Condition Look up'!$A$4:$A$130,0)),"")</f>
        <v/>
      </c>
      <c r="C16" s="383" t="str">
        <f>IFERROR(INDEX('G-1 All Habitats'!$AG$3:$AG$15,MATCH(D16,'G-1 All Habitats'!$AF$3:$AF$15,0)),"")</f>
        <v/>
      </c>
      <c r="D16" s="146"/>
      <c r="E16" s="79"/>
      <c r="F16" s="245" t="str">
        <f>IFERROR(INDEX('G-1 All Habitats'!$B$3:$B$129,MATCH(E16,'G-1 All Habitats'!$A$3:$A$129,0)),"")</f>
        <v/>
      </c>
      <c r="G16" s="70"/>
      <c r="H16" s="497" t="str">
        <f>IF(F16="","",VLOOKUP(F16,'G-1 All Habitats'!$B$2:$M$129,10,FALSE))</f>
        <v/>
      </c>
      <c r="I16" s="498" t="str">
        <f>IFERROR(VLOOKUP(H16,'G-1 All Habitats'!$V$3:$W$7,2,FALSE),"")</f>
        <v/>
      </c>
      <c r="J16" s="71"/>
      <c r="K16" s="498" t="str">
        <f>IFERROR(INDEX('G-8 Condition Look up'!$A$3:$H$130,MATCH(F16,'G-8 Condition Look up'!$A$3:$A$130,0),MATCH(J16,'G-8 Condition Look up'!$A$3:$H$3,0)),"")</f>
        <v/>
      </c>
      <c r="L16" s="71"/>
      <c r="M16" s="506" t="str">
        <f>IF(L16="","",IF(VLOOKUP(L16,'G-3 Multipliers'!$L$3:$N$6,2,FALSE)=0,"Spatial Data Missing",VLOOKUP(L16,'G-3 Multipliers'!$L$3:$N$6,2,FALSE)))</f>
        <v/>
      </c>
      <c r="N16" s="504" t="str">
        <f>IF(L16="","",IF(VLOOKUP(L16,'G-3 Multipliers'!$L$3:$N$6,3,FALSE)=0,"Spatial Data Missing",VLOOKUP(L16,'G-3 Multipliers'!$L$3:$N$6,3,FALSE)))</f>
        <v/>
      </c>
      <c r="O16" s="497" t="str">
        <f t="shared" si="0"/>
        <v/>
      </c>
      <c r="P16" s="82"/>
      <c r="Q16" s="82"/>
      <c r="R16" s="506" t="str">
        <f t="shared" si="2"/>
        <v/>
      </c>
      <c r="S16" s="520" t="str">
        <f t="shared" si="3"/>
        <v/>
      </c>
      <c r="T16" s="521"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losses",P16&gt;=O16),"Low",VLOOKUP(F16,'G-3 Multipliers'!$A$2:$E$129,4,FALSE))))</f>
        <v/>
      </c>
      <c r="X16" s="523" t="str">
        <f>IFERROR(IF(E16="","",VLOOKUP(W16, 'G-3 Multipliers'!$P$2:$Q$6,2,FALSE)),"")</f>
        <v/>
      </c>
      <c r="Y16" s="528" t="str">
        <f t="shared" si="5"/>
        <v/>
      </c>
      <c r="Z16" s="238"/>
      <c r="AA16" s="239"/>
      <c r="AE16" s="54" t="str">
        <f t="shared" si="1"/>
        <v/>
      </c>
    </row>
    <row r="17" spans="1:31" x14ac:dyDescent="0.3">
      <c r="A17" s="47" t="str">
        <f>IFERROR(INDEX('G-8 Condition Look up'!$I$4:$I$130,MATCH(F17,'G-8 Condition Look up'!$A$4:$A$130,0)),"")</f>
        <v/>
      </c>
      <c r="C17" s="383" t="str">
        <f>IFERROR(INDEX('G-1 All Habitats'!$AG$3:$AG$15,MATCH(D17,'G-1 All Habitats'!$AF$3:$AF$15,0)),"")</f>
        <v/>
      </c>
      <c r="D17" s="146"/>
      <c r="E17" s="79"/>
      <c r="F17" s="245" t="str">
        <f>IFERROR(INDEX('G-1 All Habitats'!$B$3:$B$129,MATCH(E17,'G-1 All Habitats'!$A$3:$A$129,0)),"")</f>
        <v/>
      </c>
      <c r="G17" s="70"/>
      <c r="H17" s="497" t="str">
        <f>IF(F17="","",VLOOKUP(F17,'G-1 All Habitats'!$B$2:$M$129,10,FALSE))</f>
        <v/>
      </c>
      <c r="I17" s="498" t="str">
        <f>IFERROR(VLOOKUP(H17,'G-1 All Habitats'!$V$3:$W$7,2,FALSE),"")</f>
        <v/>
      </c>
      <c r="J17" s="71"/>
      <c r="K17" s="498" t="str">
        <f>IFERROR(INDEX('G-8 Condition Look up'!$A$3:$H$130,MATCH(F17,'G-8 Condition Look up'!$A$3:$A$130,0),MATCH(J17,'G-8 Condition Look up'!$A$3:$H$3,0)),"")</f>
        <v/>
      </c>
      <c r="L17" s="71"/>
      <c r="M17" s="506" t="str">
        <f>IF(L17="","",IF(VLOOKUP(L17,'G-3 Multipliers'!$L$3:$N$6,2,FALSE)=0,"Spatial Data Missing",VLOOKUP(L17,'G-3 Multipliers'!$L$3:$N$6,2,FALSE)))</f>
        <v/>
      </c>
      <c r="N17" s="504" t="str">
        <f>IF(L17="","",IF(VLOOKUP(L17,'G-3 Multipliers'!$L$3:$N$6,3,FALSE)=0,"Spatial Data Missing",VLOOKUP(L17,'G-3 Multipliers'!$L$3:$N$6,3,FALSE)))</f>
        <v/>
      </c>
      <c r="O17" s="497" t="str">
        <f t="shared" si="0"/>
        <v/>
      </c>
      <c r="P17" s="82"/>
      <c r="Q17" s="82"/>
      <c r="R17" s="506" t="str">
        <f t="shared" si="2"/>
        <v/>
      </c>
      <c r="S17" s="520" t="str">
        <f t="shared" si="3"/>
        <v/>
      </c>
      <c r="T17" s="521"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losses",P17&gt;=O17),"Low",VLOOKUP(F17,'G-3 Multipliers'!$A$2:$E$129,4,FALSE))))</f>
        <v/>
      </c>
      <c r="X17" s="523" t="str">
        <f>IFERROR(IF(E17="","",VLOOKUP(W17, 'G-3 Multipliers'!$P$2:$Q$6,2,FALSE)),"")</f>
        <v/>
      </c>
      <c r="Y17" s="528" t="str">
        <f t="shared" si="5"/>
        <v/>
      </c>
      <c r="Z17" s="238"/>
      <c r="AA17" s="239"/>
      <c r="AE17" s="54" t="str">
        <f t="shared" si="1"/>
        <v/>
      </c>
    </row>
    <row r="18" spans="1:31" x14ac:dyDescent="0.3">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x14ac:dyDescent="0.3">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x14ac:dyDescent="0.3">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x14ac:dyDescent="0.3">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x14ac:dyDescent="0.3">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x14ac:dyDescent="0.3">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x14ac:dyDescent="0.3">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x14ac:dyDescent="0.3">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x14ac:dyDescent="0.3">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x14ac:dyDescent="0.3">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x14ac:dyDescent="0.3">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x14ac:dyDescent="0.3">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x14ac:dyDescent="0.3">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x14ac:dyDescent="0.3">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x14ac:dyDescent="0.3">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x14ac:dyDescent="0.3">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x14ac:dyDescent="0.3">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x14ac:dyDescent="0.3">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x14ac:dyDescent="0.3">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x14ac:dyDescent="0.3">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x14ac:dyDescent="0.3">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x14ac:dyDescent="0.3">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x14ac:dyDescent="0.3">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x14ac:dyDescent="0.3">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x14ac:dyDescent="0.3">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x14ac:dyDescent="0.3">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x14ac:dyDescent="0.3">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x14ac:dyDescent="0.3">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x14ac:dyDescent="0.3">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x14ac:dyDescent="0.3">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x14ac:dyDescent="0.3">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x14ac:dyDescent="0.3">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x14ac:dyDescent="0.3">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x14ac:dyDescent="0.3">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x14ac:dyDescent="0.3">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x14ac:dyDescent="0.3">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x14ac:dyDescent="0.3">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x14ac:dyDescent="0.3">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x14ac:dyDescent="0.3">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x14ac:dyDescent="0.3">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x14ac:dyDescent="0.3">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x14ac:dyDescent="0.3">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x14ac:dyDescent="0.3">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x14ac:dyDescent="0.3">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x14ac:dyDescent="0.3">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x14ac:dyDescent="0.3">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x14ac:dyDescent="0.3">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x14ac:dyDescent="0.3">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x14ac:dyDescent="0.3">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x14ac:dyDescent="0.3">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x14ac:dyDescent="0.3">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x14ac:dyDescent="0.3">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x14ac:dyDescent="0.3">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x14ac:dyDescent="0.3">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x14ac:dyDescent="0.3">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x14ac:dyDescent="0.3">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x14ac:dyDescent="0.3">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x14ac:dyDescent="0.3">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x14ac:dyDescent="0.3">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x14ac:dyDescent="0.3">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x14ac:dyDescent="0.3">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x14ac:dyDescent="0.3">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x14ac:dyDescent="0.3">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x14ac:dyDescent="0.3">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x14ac:dyDescent="0.3">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x14ac:dyDescent="0.3">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x14ac:dyDescent="0.3">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x14ac:dyDescent="0.3">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x14ac:dyDescent="0.3">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x14ac:dyDescent="0.3">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x14ac:dyDescent="0.3">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x14ac:dyDescent="0.3">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x14ac:dyDescent="0.3">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x14ac:dyDescent="0.3">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x14ac:dyDescent="0.3">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x14ac:dyDescent="0.3">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x14ac:dyDescent="0.3">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x14ac:dyDescent="0.3">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x14ac:dyDescent="0.3">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x14ac:dyDescent="0.3">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x14ac:dyDescent="0.3">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x14ac:dyDescent="0.3">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x14ac:dyDescent="0.3">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x14ac:dyDescent="0.3">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x14ac:dyDescent="0.3">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x14ac:dyDescent="0.3">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x14ac:dyDescent="0.3">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x14ac:dyDescent="0.3">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x14ac:dyDescent="0.3">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x14ac:dyDescent="0.3">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x14ac:dyDescent="0.3">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x14ac:dyDescent="0.3">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x14ac:dyDescent="0.3">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x14ac:dyDescent="0.3">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x14ac:dyDescent="0.3">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x14ac:dyDescent="0.3">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x14ac:dyDescent="0.3">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x14ac:dyDescent="0.3">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x14ac:dyDescent="0.3">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x14ac:dyDescent="0.3">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x14ac:dyDescent="0.3">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x14ac:dyDescent="0.3">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x14ac:dyDescent="0.3">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x14ac:dyDescent="0.3">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x14ac:dyDescent="0.3">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x14ac:dyDescent="0.3">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x14ac:dyDescent="0.3">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x14ac:dyDescent="0.3">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x14ac:dyDescent="0.3">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x14ac:dyDescent="0.3">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x14ac:dyDescent="0.3">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x14ac:dyDescent="0.3">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x14ac:dyDescent="0.3">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x14ac:dyDescent="0.3">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x14ac:dyDescent="0.3">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x14ac:dyDescent="0.3">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x14ac:dyDescent="0.3">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x14ac:dyDescent="0.3">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x14ac:dyDescent="0.3">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x14ac:dyDescent="0.3">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x14ac:dyDescent="0.3">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x14ac:dyDescent="0.3">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x14ac:dyDescent="0.3">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x14ac:dyDescent="0.3">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x14ac:dyDescent="0.3">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x14ac:dyDescent="0.3">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x14ac:dyDescent="0.3">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x14ac:dyDescent="0.3">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x14ac:dyDescent="0.3">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x14ac:dyDescent="0.3">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x14ac:dyDescent="0.3">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x14ac:dyDescent="0.3">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x14ac:dyDescent="0.3">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x14ac:dyDescent="0.3">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x14ac:dyDescent="0.3">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x14ac:dyDescent="0.3">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x14ac:dyDescent="0.3">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x14ac:dyDescent="0.3">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x14ac:dyDescent="0.3">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x14ac:dyDescent="0.3">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x14ac:dyDescent="0.3">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x14ac:dyDescent="0.3">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x14ac:dyDescent="0.3">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x14ac:dyDescent="0.3">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x14ac:dyDescent="0.3">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x14ac:dyDescent="0.3">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x14ac:dyDescent="0.3">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x14ac:dyDescent="0.3">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x14ac:dyDescent="0.3">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x14ac:dyDescent="0.3">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x14ac:dyDescent="0.3">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x14ac:dyDescent="0.3">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x14ac:dyDescent="0.3">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x14ac:dyDescent="0.3">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x14ac:dyDescent="0.3">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x14ac:dyDescent="0.3">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x14ac:dyDescent="0.3">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x14ac:dyDescent="0.3">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x14ac:dyDescent="0.3">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x14ac:dyDescent="0.3">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x14ac:dyDescent="0.3">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x14ac:dyDescent="0.3">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x14ac:dyDescent="0.3">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x14ac:dyDescent="0.3">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x14ac:dyDescent="0.3">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x14ac:dyDescent="0.3">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x14ac:dyDescent="0.3">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x14ac:dyDescent="0.3">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x14ac:dyDescent="0.3">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x14ac:dyDescent="0.3">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x14ac:dyDescent="0.3">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x14ac:dyDescent="0.3">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x14ac:dyDescent="0.3">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x14ac:dyDescent="0.3">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x14ac:dyDescent="0.3">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x14ac:dyDescent="0.3">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x14ac:dyDescent="0.3">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x14ac:dyDescent="0.3">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x14ac:dyDescent="0.3">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x14ac:dyDescent="0.3">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x14ac:dyDescent="0.3">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x14ac:dyDescent="0.3">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x14ac:dyDescent="0.3">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x14ac:dyDescent="0.3">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x14ac:dyDescent="0.3">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x14ac:dyDescent="0.3">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x14ac:dyDescent="0.3">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x14ac:dyDescent="0.3">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x14ac:dyDescent="0.3">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x14ac:dyDescent="0.3">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x14ac:dyDescent="0.3">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x14ac:dyDescent="0.3">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x14ac:dyDescent="0.3">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x14ac:dyDescent="0.3">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x14ac:dyDescent="0.3">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x14ac:dyDescent="0.3">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x14ac:dyDescent="0.3">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x14ac:dyDescent="0.3">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x14ac:dyDescent="0.3">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x14ac:dyDescent="0.3">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x14ac:dyDescent="0.3">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x14ac:dyDescent="0.3">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x14ac:dyDescent="0.3">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x14ac:dyDescent="0.3">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x14ac:dyDescent="0.3">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x14ac:dyDescent="0.3">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x14ac:dyDescent="0.3">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x14ac:dyDescent="0.3">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x14ac:dyDescent="0.3">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x14ac:dyDescent="0.3">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x14ac:dyDescent="0.3">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x14ac:dyDescent="0.3">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x14ac:dyDescent="0.3">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x14ac:dyDescent="0.3">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x14ac:dyDescent="0.3">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x14ac:dyDescent="0.3">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x14ac:dyDescent="0.3">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x14ac:dyDescent="0.3">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x14ac:dyDescent="0.3">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x14ac:dyDescent="0.3">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x14ac:dyDescent="0.3">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x14ac:dyDescent="0.3">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x14ac:dyDescent="0.3">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x14ac:dyDescent="0.3">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x14ac:dyDescent="0.3">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x14ac:dyDescent="0.3">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x14ac:dyDescent="0.3">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x14ac:dyDescent="0.3">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x14ac:dyDescent="0.3">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x14ac:dyDescent="0.3">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x14ac:dyDescent="0.3">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x14ac:dyDescent="0.3">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x14ac:dyDescent="0.3">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x14ac:dyDescent="0.3">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x14ac:dyDescent="0.3">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x14ac:dyDescent="0.3">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x14ac:dyDescent="0.3">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x14ac:dyDescent="0.3">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4.5" thickBot="1" x14ac:dyDescent="0.35">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4.5" thickBot="1" x14ac:dyDescent="0.35">
      <c r="E257" s="178" t="s">
        <v>243</v>
      </c>
      <c r="F257" s="339" t="s">
        <v>244</v>
      </c>
      <c r="G257" s="518">
        <f>SUM(G11:G256)</f>
        <v>0.6264248</v>
      </c>
      <c r="T257" s="86"/>
      <c r="U257" s="86"/>
      <c r="V257" s="86"/>
      <c r="W257" s="86"/>
      <c r="X257" s="173" t="s">
        <v>245</v>
      </c>
      <c r="Y257" s="518">
        <f>SUM(Y11:Y256)</f>
        <v>0.66560177752251382</v>
      </c>
    </row>
    <row r="258" spans="5:25" ht="14.5" thickBot="1" x14ac:dyDescent="0.35">
      <c r="E258" s="47"/>
    </row>
    <row r="259" spans="5:25" ht="14.5" thickBot="1" x14ac:dyDescent="0.35">
      <c r="E259" s="501" t="s">
        <v>246</v>
      </c>
      <c r="G259" s="518">
        <f>IF('Detailed Results'!$K$40&gt;0,"Error",SUMIFS($G$11:$G$256,$F$11:$F$256,"&lt;&gt;"&amp;'G-1 All Habitats'!B73,$F$11:$F$256,"&lt;&gt;"&amp;'G-1 All Habitats'!B65,$F$11:$F$256,"&lt;&gt;"&amp;'G-1 All Habitats'!B66))</f>
        <v>0.44330000000000003</v>
      </c>
    </row>
    <row r="260" spans="5:25" x14ac:dyDescent="0.3">
      <c r="E260" s="47"/>
    </row>
    <row r="261" spans="5:25" x14ac:dyDescent="0.3">
      <c r="E261" s="47"/>
    </row>
    <row r="262" spans="5:25" x14ac:dyDescent="0.3">
      <c r="E262" s="47"/>
    </row>
    <row r="263" spans="5:25" x14ac:dyDescent="0.3">
      <c r="E263" s="47"/>
    </row>
    <row r="264" spans="5:25" x14ac:dyDescent="0.3">
      <c r="E264" s="47"/>
    </row>
    <row r="265" spans="5:25" x14ac:dyDescent="0.3">
      <c r="E265" s="47"/>
    </row>
    <row r="266" spans="5:25" x14ac:dyDescent="0.3">
      <c r="E266" s="47"/>
    </row>
  </sheetData>
  <sheetProtection algorithmName="SHA-512" hashValue="1UGWidchhWCVkFZzilcmBvpuqtqhf0ngv5rLBQXECKCd1wqOpFAV6HpP3Pms1bX0sAUeB8Ph17V0kI5lNx7m6Q==" saltValue="0XuN/NoE4HuSbzSuAz03xw=="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D2:E2"/>
    <mergeCell ref="D3:E3"/>
    <mergeCell ref="F9:F10"/>
    <mergeCell ref="L9:N9"/>
    <mergeCell ref="G9:G10"/>
    <mergeCell ref="D9:D10"/>
    <mergeCell ref="E9:E10"/>
    <mergeCell ref="D8:AA8"/>
    <mergeCell ref="Y9:Y10"/>
    <mergeCell ref="Z9:AA9"/>
    <mergeCell ref="H9:I9"/>
    <mergeCell ref="J9:K9"/>
    <mergeCell ref="W3:Z6"/>
    <mergeCell ref="P2:S3"/>
    <mergeCell ref="P5:S6"/>
    <mergeCell ref="O9:T9"/>
    <mergeCell ref="U9:X9"/>
    <mergeCell ref="AE8:AE9"/>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Normal="100" workbookViewId="0">
      <pane ySplit="11" topLeftCell="A12" activePane="bottomLeft" state="frozen"/>
      <selection activeCell="S28" sqref="S28"/>
      <selection pane="bottomLeft"/>
    </sheetView>
  </sheetViews>
  <sheetFormatPr defaultColWidth="8.81640625" defaultRowHeight="14" zeroHeight="1" x14ac:dyDescent="0.3"/>
  <cols>
    <col min="1" max="1" width="19.54296875" style="47" hidden="1" customWidth="1"/>
    <col min="2" max="2" width="19" style="47" hidden="1" customWidth="1"/>
    <col min="3" max="3" width="11" style="47" hidden="1" customWidth="1"/>
    <col min="4" max="4" width="2.81640625" style="47" customWidth="1"/>
    <col min="5" max="5" width="11.26953125" style="47" customWidth="1"/>
    <col min="6" max="6" width="57.7265625" style="47" customWidth="1"/>
    <col min="7" max="7" width="13.1796875" style="47" customWidth="1"/>
    <col min="8" max="9" width="17.81640625" style="47" customWidth="1"/>
    <col min="10" max="10" width="18.1796875" style="47" customWidth="1"/>
    <col min="11" max="12" width="19.26953125" style="47" customWidth="1"/>
    <col min="13" max="13" width="20.26953125" style="47" customWidth="1"/>
    <col min="14" max="14" width="19.26953125" style="47" customWidth="1"/>
    <col min="15" max="15" width="34" style="47" customWidth="1"/>
    <col min="16" max="16" width="34" style="47" hidden="1" customWidth="1"/>
    <col min="17" max="17" width="34" style="47" customWidth="1"/>
    <col min="18" max="18" width="73" style="47" customWidth="1"/>
    <col min="19" max="19" width="61.26953125" style="47" hidden="1" customWidth="1"/>
    <col min="20" max="21" width="34.26953125" style="47" customWidth="1"/>
    <col min="22" max="22" width="12.1796875" style="47" customWidth="1"/>
    <col min="23" max="23" width="18.453125" style="47" customWidth="1"/>
    <col min="24" max="24" width="13.1796875" style="47" customWidth="1"/>
    <col min="25" max="25" width="12.7265625" style="47" customWidth="1"/>
    <col min="26" max="26" width="12.54296875" style="47" customWidth="1"/>
    <col min="27" max="27" width="41.7265625" style="47" customWidth="1"/>
    <col min="28" max="28" width="15.453125" style="47" customWidth="1"/>
    <col min="29" max="29" width="12.26953125" style="47" customWidth="1"/>
    <col min="30" max="30" width="18.1796875" style="47" customWidth="1"/>
    <col min="31" max="31" width="20.81640625" style="47" customWidth="1"/>
    <col min="32" max="32" width="22.7265625" style="47" customWidth="1"/>
    <col min="33" max="33" width="33.26953125" style="47" customWidth="1"/>
    <col min="34" max="34" width="17.7265625" style="47" customWidth="1"/>
    <col min="35" max="35" width="15.26953125" style="47" customWidth="1"/>
    <col min="36" max="36" width="15.7265625" style="47" customWidth="1"/>
    <col min="37" max="37" width="29.453125" style="47" customWidth="1"/>
    <col min="38" max="38" width="17.1796875" style="47" customWidth="1"/>
    <col min="39" max="39" width="14.54296875" style="47" customWidth="1"/>
    <col min="40" max="40" width="12.7265625" style="47" customWidth="1"/>
    <col min="41" max="41" width="40.26953125" style="47" customWidth="1"/>
    <col min="42" max="42" width="42.26953125" style="47" customWidth="1"/>
    <col min="43" max="55" width="8.81640625" style="47" customWidth="1"/>
    <col min="56" max="16384" width="8.81640625" style="47"/>
  </cols>
  <sheetData>
    <row r="1" spans="1:42" ht="14.5" thickBot="1" x14ac:dyDescent="0.35"/>
    <row r="2" spans="1:42" ht="19.5" customHeight="1" thickBot="1" x14ac:dyDescent="0.35">
      <c r="E2" s="922" t="str">
        <f>IF(Start!$F$12="","",Start!$F$12)</f>
        <v/>
      </c>
      <c r="F2" s="923"/>
      <c r="G2" s="924"/>
      <c r="AD2" s="929" t="str">
        <f>IF(OR(COUNTIF($AD$12:AD257,"*30+*")&gt;0,COUNTIF(AH12:AH257,"*30+*")&gt;0),"Note; Habitat selected has a time to target condition greater than 30 years. Non standard agreement may be required.","")</f>
        <v/>
      </c>
      <c r="AE2" s="929"/>
      <c r="AF2" s="929"/>
      <c r="AG2" s="929"/>
      <c r="AH2" s="929"/>
      <c r="AI2" s="929"/>
    </row>
    <row r="3" spans="1:42" ht="13.15" customHeight="1" x14ac:dyDescent="0.3">
      <c r="E3" s="890" t="str">
        <f ca="1">MID(CELL("filename",D1),FIND("]",CELL("filename",D1))+1,256)</f>
        <v>A-3 Site Habitat Enhancement</v>
      </c>
      <c r="F3" s="891"/>
      <c r="G3" s="892"/>
      <c r="AD3" s="929"/>
      <c r="AE3" s="929"/>
      <c r="AF3" s="929"/>
      <c r="AG3" s="929"/>
      <c r="AH3" s="929"/>
      <c r="AI3" s="929"/>
    </row>
    <row r="4" spans="1:42" ht="15.75" customHeight="1" thickBot="1" x14ac:dyDescent="0.35">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x14ac:dyDescent="0.3">
      <c r="AD5" s="929" t="str">
        <f>IF(Q12&lt;&gt;A12,"Change in broad habitat type detected. Check compliance with guidance.","")</f>
        <v/>
      </c>
      <c r="AE5" s="929"/>
      <c r="AF5" s="929"/>
      <c r="AG5" s="929"/>
      <c r="AH5" s="929"/>
      <c r="AI5" s="929"/>
    </row>
    <row r="6" spans="1:42" ht="15.75" customHeight="1" x14ac:dyDescent="0.3">
      <c r="AD6" s="929"/>
      <c r="AE6" s="929"/>
      <c r="AF6" s="929"/>
      <c r="AG6" s="929"/>
      <c r="AH6" s="929"/>
      <c r="AI6" s="929"/>
    </row>
    <row r="7" spans="1:42" x14ac:dyDescent="0.3">
      <c r="E7" s="48"/>
      <c r="F7" s="48"/>
    </row>
    <row r="8" spans="1:42" ht="18" customHeight="1" thickBot="1" x14ac:dyDescent="0.35"/>
    <row r="9" spans="1:42" ht="15.65" customHeight="1" thickBot="1" x14ac:dyDescent="0.35">
      <c r="F9" s="55"/>
      <c r="G9" s="55"/>
      <c r="H9" s="55"/>
      <c r="I9" s="55"/>
      <c r="J9" s="55"/>
      <c r="K9" s="55"/>
      <c r="L9" s="55"/>
      <c r="M9" s="55"/>
      <c r="N9" s="55"/>
      <c r="O9" s="55"/>
      <c r="P9" s="55"/>
      <c r="Q9" s="916" t="s">
        <v>225</v>
      </c>
      <c r="R9" s="917"/>
      <c r="S9" s="917"/>
      <c r="T9" s="917"/>
      <c r="U9" s="917"/>
      <c r="V9" s="917"/>
      <c r="W9" s="917"/>
      <c r="X9" s="917"/>
      <c r="Y9" s="917"/>
      <c r="Z9" s="917"/>
      <c r="AA9" s="917"/>
      <c r="AB9" s="917"/>
      <c r="AC9" s="917"/>
      <c r="AD9" s="917"/>
      <c r="AE9" s="917"/>
      <c r="AF9" s="917"/>
      <c r="AG9" s="917"/>
      <c r="AH9" s="917"/>
      <c r="AI9" s="917"/>
      <c r="AJ9" s="917"/>
      <c r="AK9" s="917"/>
      <c r="AL9" s="917"/>
      <c r="AM9" s="918"/>
    </row>
    <row r="10" spans="1:42" ht="28.15" customHeight="1" thickBot="1" x14ac:dyDescent="0.35">
      <c r="F10" s="916" t="s">
        <v>247</v>
      </c>
      <c r="G10" s="917"/>
      <c r="H10" s="917"/>
      <c r="I10" s="917"/>
      <c r="J10" s="917"/>
      <c r="K10" s="917"/>
      <c r="L10" s="917"/>
      <c r="M10" s="917"/>
      <c r="N10" s="917"/>
      <c r="O10" s="918"/>
      <c r="P10" s="235"/>
      <c r="Q10" s="925" t="s">
        <v>248</v>
      </c>
      <c r="R10" s="926"/>
      <c r="S10" s="395"/>
      <c r="T10" s="927" t="s">
        <v>249</v>
      </c>
      <c r="U10" s="928"/>
      <c r="V10" s="931" t="s">
        <v>250</v>
      </c>
      <c r="W10" s="936" t="s">
        <v>189</v>
      </c>
      <c r="X10" s="936" t="s">
        <v>206</v>
      </c>
      <c r="Y10" s="936" t="s">
        <v>190</v>
      </c>
      <c r="Z10" s="934" t="s">
        <v>206</v>
      </c>
      <c r="AA10" s="930" t="s">
        <v>191</v>
      </c>
      <c r="AB10" s="927"/>
      <c r="AC10" s="928"/>
      <c r="AD10" s="902" t="s">
        <v>251</v>
      </c>
      <c r="AE10" s="904"/>
      <c r="AF10" s="904"/>
      <c r="AG10" s="904"/>
      <c r="AH10" s="904"/>
      <c r="AI10" s="903"/>
      <c r="AJ10" s="902" t="s">
        <v>252</v>
      </c>
      <c r="AK10" s="904"/>
      <c r="AL10" s="904"/>
      <c r="AM10" s="904"/>
      <c r="AN10" s="905" t="s">
        <v>230</v>
      </c>
      <c r="AO10" s="930" t="s">
        <v>196</v>
      </c>
      <c r="AP10" s="928"/>
    </row>
    <row r="11" spans="1:42" s="49" customFormat="1" ht="42.5" thickBot="1" x14ac:dyDescent="0.35">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32"/>
      <c r="W11" s="937"/>
      <c r="X11" s="937"/>
      <c r="Y11" s="937"/>
      <c r="Z11" s="935"/>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33"/>
      <c r="AO11" s="363" t="s">
        <v>215</v>
      </c>
      <c r="AP11" s="365" t="s">
        <v>216</v>
      </c>
    </row>
    <row r="12" spans="1:42" x14ac:dyDescent="0.3">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t="str">
        <f t="shared" ref="Q12" si="0">A12</f>
        <v/>
      </c>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1">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x14ac:dyDescent="0.3">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t="str">
        <f t="shared" ref="Q13:Q76" si="2">A13</f>
        <v/>
      </c>
      <c r="R13" s="237"/>
      <c r="S13" s="391" t="str">
        <f>IFERROR(INDEX('G-1 All Habitats'!$B$3:$B$129,MATCH(R13,'G-1 All Habitats'!$A$3:$A$129,0)),"")</f>
        <v/>
      </c>
      <c r="T13" s="497"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5">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1"/>
        <v/>
      </c>
      <c r="AE13" s="82"/>
      <c r="AF13" s="82"/>
      <c r="AG13" s="506"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8">IF(E13="","",IF(AG13="Check details - Is there evidence that habitat has reached target condition? ⚠","Low Difficulty - only applicable if all habitat created before losses ⚠","Standard difficulty applied"))</f>
        <v/>
      </c>
      <c r="AL13" s="506" t="str">
        <f t="shared" ref="AL13:AL76" si="9">(IF(AND(AK13="Standard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10">IFERROR(((((V13*X13*Z13)-(V13*I13*K13))*(AM13*AI13))+(V13*I13*K13))*(AC13),"")</f>
        <v/>
      </c>
      <c r="AO13" s="238"/>
      <c r="AP13" s="239"/>
    </row>
    <row r="14" spans="1:42" x14ac:dyDescent="0.3">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t="str">
        <f t="shared" si="2"/>
        <v/>
      </c>
      <c r="R14" s="237"/>
      <c r="S14" s="391" t="str">
        <f>IFERROR(INDEX('G-1 All Habitats'!$B$3:$B$129,MATCH(R14,'G-1 All Habitats'!$A$3:$A$129,0)),"")</f>
        <v/>
      </c>
      <c r="T14" s="497" t="str">
        <f t="shared" si="3"/>
        <v/>
      </c>
      <c r="U14" s="498" t="str">
        <f t="shared" si="4"/>
        <v/>
      </c>
      <c r="V14" s="536" t="str">
        <f t="shared" si="5"/>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1"/>
        <v/>
      </c>
      <c r="AE14" s="82"/>
      <c r="AF14" s="82"/>
      <c r="AG14" s="506" t="str">
        <f t="shared" si="6"/>
        <v/>
      </c>
      <c r="AH14" s="520" t="str">
        <f t="shared" si="7"/>
        <v/>
      </c>
      <c r="AI14" s="521" t="str">
        <f>IF(AH14="Check Data","Check Data",IFERROR(VLOOKUP(AH14,'G-4 Temporal multipliers'!$A$4:$C$36,3,FALSE),""))</f>
        <v/>
      </c>
      <c r="AJ14" s="497" t="str">
        <f>IF(S14="","",VLOOKUP(S14,'G-3 Multipliers'!$A$2:$E$129,4,FALSE))</f>
        <v/>
      </c>
      <c r="AK14" s="506" t="str">
        <f t="shared" si="8"/>
        <v/>
      </c>
      <c r="AL14" s="506" t="str">
        <f t="shared" si="9"/>
        <v/>
      </c>
      <c r="AM14" s="539" t="str">
        <f>IFERROR(IF(F14="","",IF(AH14="Check Data ⚠","Check Data ⚠",VLOOKUP(AL14, 'G-3 Multipliers'!$P$2:$Q$6,2,FALSE))),"")</f>
        <v/>
      </c>
      <c r="AN14" s="512" t="str">
        <f>IFERROR(((((V14*X14*Z14)-(V14*I14*K14))*(AM14*AI14))+(V14*I14*K14))*(AC14),"")</f>
        <v/>
      </c>
      <c r="AO14" s="238"/>
      <c r="AP14" s="239"/>
    </row>
    <row r="15" spans="1:42" x14ac:dyDescent="0.3">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t="str">
        <f t="shared" si="2"/>
        <v/>
      </c>
      <c r="R15" s="237"/>
      <c r="S15" s="391" t="str">
        <f>IFERROR(INDEX('G-1 All Habitats'!$B$3:$B$129,MATCH(R15,'G-1 All Habitats'!$A$3:$A$129,0)),"")</f>
        <v/>
      </c>
      <c r="T15" s="497" t="str">
        <f t="shared" si="3"/>
        <v/>
      </c>
      <c r="U15" s="498" t="str">
        <f t="shared" si="4"/>
        <v/>
      </c>
      <c r="V15" s="536" t="str">
        <f t="shared" si="5"/>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1"/>
        <v/>
      </c>
      <c r="AE15" s="82"/>
      <c r="AF15" s="82"/>
      <c r="AG15" s="506" t="str">
        <f t="shared" si="6"/>
        <v/>
      </c>
      <c r="AH15" s="520" t="str">
        <f t="shared" si="7"/>
        <v/>
      </c>
      <c r="AI15" s="521" t="str">
        <f>IF(AH15="Check Data","Check Data",IFERROR(VLOOKUP(AH15,'G-4 Temporal multipliers'!$A$4:$C$36,3,FALSE),""))</f>
        <v/>
      </c>
      <c r="AJ15" s="497" t="str">
        <f>IF(S15="","",VLOOKUP(S15,'G-3 Multipliers'!$A$2:$E$129,4,FALSE))</f>
        <v/>
      </c>
      <c r="AK15" s="506" t="str">
        <f t="shared" si="8"/>
        <v/>
      </c>
      <c r="AL15" s="506" t="str">
        <f t="shared" si="9"/>
        <v/>
      </c>
      <c r="AM15" s="539" t="str">
        <f>IFERROR(IF(F15="","",IF(AH15="Check Data ⚠","Check Data ⚠",VLOOKUP(AL15, 'G-3 Multipliers'!$P$2:$Q$6,2,FALSE))),"")</f>
        <v/>
      </c>
      <c r="AN15" s="512" t="str">
        <f t="shared" si="10"/>
        <v/>
      </c>
      <c r="AO15" s="238"/>
      <c r="AP15" s="239"/>
    </row>
    <row r="16" spans="1:42" x14ac:dyDescent="0.3">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t="str">
        <f t="shared" si="2"/>
        <v/>
      </c>
      <c r="R16" s="237"/>
      <c r="S16" s="391" t="str">
        <f>IFERROR(INDEX('G-1 All Habitats'!$B$3:$B$129,MATCH(R16,'G-1 All Habitats'!$A$3:$A$129,0)),"")</f>
        <v/>
      </c>
      <c r="T16" s="497" t="str">
        <f t="shared" si="3"/>
        <v/>
      </c>
      <c r="U16" s="498" t="str">
        <f t="shared" si="4"/>
        <v/>
      </c>
      <c r="V16" s="536" t="str">
        <f t="shared" si="5"/>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1"/>
        <v/>
      </c>
      <c r="AE16" s="82"/>
      <c r="AF16" s="82"/>
      <c r="AG16" s="506" t="str">
        <f t="shared" si="6"/>
        <v/>
      </c>
      <c r="AH16" s="520" t="str">
        <f t="shared" si="7"/>
        <v/>
      </c>
      <c r="AI16" s="521" t="str">
        <f>IF(AH16="Check Data","Check Data",IFERROR(VLOOKUP(AH16,'G-4 Temporal multipliers'!$A$4:$C$36,3,FALSE),""))</f>
        <v/>
      </c>
      <c r="AJ16" s="497" t="str">
        <f>IF(S16="","",VLOOKUP(S16,'G-3 Multipliers'!$A$2:$E$129,4,FALSE))</f>
        <v/>
      </c>
      <c r="AK16" s="506" t="str">
        <f t="shared" si="8"/>
        <v/>
      </c>
      <c r="AL16" s="506" t="str">
        <f t="shared" si="9"/>
        <v/>
      </c>
      <c r="AM16" s="539" t="str">
        <f>IFERROR(IF(F16="","",IF(AH16="Check Data ⚠","Check Data ⚠",VLOOKUP(AL16, 'G-3 Multipliers'!$P$2:$Q$6,2,FALSE))),"")</f>
        <v/>
      </c>
      <c r="AN16" s="512" t="str">
        <f t="shared" si="10"/>
        <v/>
      </c>
      <c r="AO16" s="238"/>
      <c r="AP16" s="239"/>
    </row>
    <row r="17" spans="1:42" x14ac:dyDescent="0.3">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t="str">
        <f t="shared" si="2"/>
        <v/>
      </c>
      <c r="R17" s="237"/>
      <c r="S17" s="391" t="str">
        <f>IFERROR(INDEX('G-1 All Habitats'!$B$3:$B$129,MATCH(R17,'G-1 All Habitats'!$A$3:$A$129,0)),"")</f>
        <v/>
      </c>
      <c r="T17" s="497" t="str">
        <f t="shared" si="3"/>
        <v/>
      </c>
      <c r="U17" s="498" t="str">
        <f t="shared" si="4"/>
        <v/>
      </c>
      <c r="V17" s="536" t="str">
        <f t="shared" si="5"/>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1"/>
        <v/>
      </c>
      <c r="AE17" s="82"/>
      <c r="AF17" s="82"/>
      <c r="AG17" s="506" t="str">
        <f t="shared" si="6"/>
        <v/>
      </c>
      <c r="AH17" s="520" t="str">
        <f t="shared" si="7"/>
        <v/>
      </c>
      <c r="AI17" s="521" t="str">
        <f>IF(AH17="Check Data","Check Data",IFERROR(VLOOKUP(AH17,'G-4 Temporal multipliers'!$A$4:$C$36,3,FALSE),""))</f>
        <v/>
      </c>
      <c r="AJ17" s="497" t="str">
        <f>IF(S17="","",VLOOKUP(S17,'G-3 Multipliers'!$A$2:$E$129,4,FALSE))</f>
        <v/>
      </c>
      <c r="AK17" s="506" t="str">
        <f t="shared" si="8"/>
        <v/>
      </c>
      <c r="AL17" s="506" t="str">
        <f t="shared" si="9"/>
        <v/>
      </c>
      <c r="AM17" s="539" t="str">
        <f>IFERROR(IF(F17="","",IF(AH17="Check Data ⚠","Check Data ⚠",VLOOKUP(AL17, 'G-3 Multipliers'!$P$2:$Q$6,2,FALSE))),"")</f>
        <v/>
      </c>
      <c r="AN17" s="512" t="str">
        <f t="shared" si="10"/>
        <v/>
      </c>
      <c r="AO17" s="238"/>
      <c r="AP17" s="239"/>
    </row>
    <row r="18" spans="1:42" x14ac:dyDescent="0.3">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t="str">
        <f t="shared" si="2"/>
        <v/>
      </c>
      <c r="R18" s="237"/>
      <c r="S18" s="391" t="str">
        <f>IFERROR(INDEX('G-1 All Habitats'!$B$3:$B$129,MATCH(R18,'G-1 All Habitats'!$A$3:$A$129,0)),"")</f>
        <v/>
      </c>
      <c r="T18" s="497" t="str">
        <f t="shared" si="3"/>
        <v/>
      </c>
      <c r="U18" s="498" t="str">
        <f t="shared" si="4"/>
        <v/>
      </c>
      <c r="V18" s="536" t="str">
        <f t="shared" si="5"/>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1"/>
        <v/>
      </c>
      <c r="AE18" s="82"/>
      <c r="AF18" s="82"/>
      <c r="AG18" s="506" t="str">
        <f t="shared" si="6"/>
        <v/>
      </c>
      <c r="AH18" s="520" t="str">
        <f t="shared" si="7"/>
        <v/>
      </c>
      <c r="AI18" s="521" t="str">
        <f>IF(AH18="Check Data","Check Data",IFERROR(VLOOKUP(AH18,'G-4 Temporal multipliers'!$A$4:$C$36,3,FALSE),""))</f>
        <v/>
      </c>
      <c r="AJ18" s="497" t="str">
        <f>IF(S18="","",VLOOKUP(S18,'G-3 Multipliers'!$A$2:$E$129,4,FALSE))</f>
        <v/>
      </c>
      <c r="AK18" s="506" t="str">
        <f t="shared" si="8"/>
        <v/>
      </c>
      <c r="AL18" s="506" t="str">
        <f t="shared" si="9"/>
        <v/>
      </c>
      <c r="AM18" s="539" t="str">
        <f>IFERROR(IF(F18="","",IF(AH18="Check Data ⚠","Check Data ⚠",VLOOKUP(AL18, 'G-3 Multipliers'!$P$2:$Q$6,2,FALSE))),"")</f>
        <v/>
      </c>
      <c r="AN18" s="512" t="str">
        <f t="shared" si="10"/>
        <v/>
      </c>
      <c r="AO18" s="238"/>
      <c r="AP18" s="239"/>
    </row>
    <row r="19" spans="1:42" x14ac:dyDescent="0.3">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t="str">
        <f t="shared" si="2"/>
        <v/>
      </c>
      <c r="R19" s="237"/>
      <c r="S19" s="391" t="str">
        <f>IFERROR(INDEX('G-1 All Habitats'!$B$3:$B$129,MATCH(R19,'G-1 All Habitats'!$A$3:$A$129,0)),"")</f>
        <v/>
      </c>
      <c r="T19" s="497" t="str">
        <f t="shared" si="3"/>
        <v/>
      </c>
      <c r="U19" s="498" t="str">
        <f t="shared" si="4"/>
        <v/>
      </c>
      <c r="V19" s="536" t="str">
        <f t="shared" si="5"/>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1"/>
        <v/>
      </c>
      <c r="AE19" s="82"/>
      <c r="AF19" s="82"/>
      <c r="AG19" s="506" t="str">
        <f t="shared" si="6"/>
        <v/>
      </c>
      <c r="AH19" s="520" t="str">
        <f t="shared" si="7"/>
        <v/>
      </c>
      <c r="AI19" s="521" t="str">
        <f>IF(AH19="Check Data","Check Data",IFERROR(VLOOKUP(AH19,'G-4 Temporal multipliers'!$A$4:$C$36,3,FALSE),""))</f>
        <v/>
      </c>
      <c r="AJ19" s="497" t="str">
        <f>IF(S19="","",VLOOKUP(S19,'G-3 Multipliers'!$A$2:$E$129,4,FALSE))</f>
        <v/>
      </c>
      <c r="AK19" s="506" t="str">
        <f t="shared" si="8"/>
        <v/>
      </c>
      <c r="AL19" s="506" t="str">
        <f t="shared" si="9"/>
        <v/>
      </c>
      <c r="AM19" s="539" t="str">
        <f>IFERROR(IF(F19="","",IF(AH19="Check Data ⚠","Check Data ⚠",VLOOKUP(AL19, 'G-3 Multipliers'!$P$2:$Q$6,2,FALSE))),"")</f>
        <v/>
      </c>
      <c r="AN19" s="512" t="str">
        <f t="shared" si="10"/>
        <v/>
      </c>
      <c r="AO19" s="238"/>
      <c r="AP19" s="239"/>
    </row>
    <row r="20" spans="1:42" x14ac:dyDescent="0.3">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t="str">
        <f t="shared" si="2"/>
        <v/>
      </c>
      <c r="R20" s="237"/>
      <c r="S20" s="391" t="str">
        <f>IFERROR(INDEX('G-1 All Habitats'!$B$3:$B$129,MATCH(R20,'G-1 All Habitats'!$A$3:$A$129,0)),"")</f>
        <v/>
      </c>
      <c r="T20" s="497" t="str">
        <f t="shared" si="3"/>
        <v/>
      </c>
      <c r="U20" s="498" t="str">
        <f t="shared" si="4"/>
        <v/>
      </c>
      <c r="V20" s="536" t="str">
        <f t="shared" si="5"/>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1"/>
        <v/>
      </c>
      <c r="AE20" s="82"/>
      <c r="AF20" s="82"/>
      <c r="AG20" s="506" t="str">
        <f t="shared" si="6"/>
        <v/>
      </c>
      <c r="AH20" s="520" t="str">
        <f t="shared" si="7"/>
        <v/>
      </c>
      <c r="AI20" s="521" t="str">
        <f>IF(AH20="Check Data","Check Data",IFERROR(VLOOKUP(AH20,'G-4 Temporal multipliers'!$A$4:$C$36,3,FALSE),""))</f>
        <v/>
      </c>
      <c r="AJ20" s="497" t="str">
        <f>IF(S20="","",VLOOKUP(S20,'G-3 Multipliers'!$A$2:$E$129,4,FALSE))</f>
        <v/>
      </c>
      <c r="AK20" s="506" t="str">
        <f t="shared" si="8"/>
        <v/>
      </c>
      <c r="AL20" s="506" t="str">
        <f t="shared" si="9"/>
        <v/>
      </c>
      <c r="AM20" s="539" t="str">
        <f>IFERROR(IF(F20="","",IF(AH20="Check Data ⚠","Check Data ⚠",VLOOKUP(AL20, 'G-3 Multipliers'!$P$2:$Q$6,2,FALSE))),"")</f>
        <v/>
      </c>
      <c r="AN20" s="512" t="str">
        <f t="shared" si="10"/>
        <v/>
      </c>
      <c r="AO20" s="238"/>
      <c r="AP20" s="239"/>
    </row>
    <row r="21" spans="1:42" x14ac:dyDescent="0.3">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t="str">
        <f t="shared" si="2"/>
        <v/>
      </c>
      <c r="R21" s="237"/>
      <c r="S21" s="391" t="str">
        <f>IFERROR(INDEX('G-1 All Habitats'!$B$3:$B$129,MATCH(R21,'G-1 All Habitats'!$A$3:$A$129,0)),"")</f>
        <v/>
      </c>
      <c r="T21" s="497" t="str">
        <f t="shared" si="3"/>
        <v/>
      </c>
      <c r="U21" s="498" t="str">
        <f t="shared" si="4"/>
        <v/>
      </c>
      <c r="V21" s="536" t="str">
        <f t="shared" si="5"/>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1"/>
        <v/>
      </c>
      <c r="AE21" s="82"/>
      <c r="AF21" s="82"/>
      <c r="AG21" s="506" t="str">
        <f t="shared" si="6"/>
        <v/>
      </c>
      <c r="AH21" s="520" t="str">
        <f t="shared" si="7"/>
        <v/>
      </c>
      <c r="AI21" s="521" t="str">
        <f>IF(AH21="Check Data","Check Data",IFERROR(VLOOKUP(AH21,'G-4 Temporal multipliers'!$A$4:$C$36,3,FALSE),""))</f>
        <v/>
      </c>
      <c r="AJ21" s="497" t="str">
        <f>IF(S21="","",VLOOKUP(S21,'G-3 Multipliers'!$A$2:$E$129,4,FALSE))</f>
        <v/>
      </c>
      <c r="AK21" s="506" t="str">
        <f t="shared" si="8"/>
        <v/>
      </c>
      <c r="AL21" s="506" t="str">
        <f t="shared" si="9"/>
        <v/>
      </c>
      <c r="AM21" s="539" t="str">
        <f>IFERROR(IF(F21="","",IF(AH21="Check Data ⚠","Check Data ⚠",VLOOKUP(AL21, 'G-3 Multipliers'!$P$2:$Q$6,2,FALSE))),"")</f>
        <v/>
      </c>
      <c r="AN21" s="512" t="str">
        <f t="shared" si="10"/>
        <v/>
      </c>
      <c r="AO21" s="238"/>
      <c r="AP21" s="239"/>
    </row>
    <row r="22" spans="1:42" x14ac:dyDescent="0.3">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t="str">
        <f t="shared" si="2"/>
        <v/>
      </c>
      <c r="R22" s="237" t="str">
        <f t="shared" ref="R22:R76" si="11">IF(B22="","",B22)</f>
        <v/>
      </c>
      <c r="S22" s="391" t="str">
        <f>IFERROR(INDEX('G-1 All Habitats'!$B$3:$B$129,MATCH(R22,'G-1 All Habitats'!$A$3:$A$129,0)),"")</f>
        <v/>
      </c>
      <c r="T22" s="497" t="str">
        <f t="shared" si="3"/>
        <v/>
      </c>
      <c r="U22" s="498" t="str">
        <f t="shared" si="4"/>
        <v/>
      </c>
      <c r="V22" s="536" t="str">
        <f t="shared" si="5"/>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1"/>
        <v/>
      </c>
      <c r="AE22" s="82"/>
      <c r="AF22" s="82"/>
      <c r="AG22" s="506" t="str">
        <f t="shared" si="6"/>
        <v/>
      </c>
      <c r="AH22" s="520" t="str">
        <f t="shared" si="7"/>
        <v/>
      </c>
      <c r="AI22" s="521" t="str">
        <f>IF(AH22="Check Data","Check Data",IFERROR(VLOOKUP(AH22,'G-4 Temporal multipliers'!$A$4:$C$36,3,FALSE),""))</f>
        <v/>
      </c>
      <c r="AJ22" s="497" t="str">
        <f>IF(S22="","",VLOOKUP(S22,'G-3 Multipliers'!$A$2:$E$129,4,FALSE))</f>
        <v/>
      </c>
      <c r="AK22" s="506" t="str">
        <f t="shared" si="8"/>
        <v/>
      </c>
      <c r="AL22" s="506" t="str">
        <f t="shared" si="9"/>
        <v/>
      </c>
      <c r="AM22" s="539" t="str">
        <f>IFERROR(IF(F22="","",IF(AH22="Check Data ⚠","Check Data ⚠",VLOOKUP(AL22, 'G-3 Multipliers'!$P$2:$Q$6,2,FALSE))),"")</f>
        <v/>
      </c>
      <c r="AN22" s="512" t="str">
        <f t="shared" si="10"/>
        <v/>
      </c>
      <c r="AO22" s="238"/>
      <c r="AP22" s="239"/>
    </row>
    <row r="23" spans="1:42" x14ac:dyDescent="0.3">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t="str">
        <f t="shared" si="2"/>
        <v/>
      </c>
      <c r="R23" s="237" t="str">
        <f t="shared" si="11"/>
        <v/>
      </c>
      <c r="S23" s="391" t="str">
        <f>IFERROR(INDEX('G-1 All Habitats'!$B$3:$B$129,MATCH(R23,'G-1 All Habitats'!$A$3:$A$129,0)),"")</f>
        <v/>
      </c>
      <c r="T23" s="497" t="str">
        <f t="shared" si="3"/>
        <v/>
      </c>
      <c r="U23" s="498" t="str">
        <f t="shared" si="4"/>
        <v/>
      </c>
      <c r="V23" s="536" t="str">
        <f t="shared" si="5"/>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1"/>
        <v/>
      </c>
      <c r="AE23" s="82"/>
      <c r="AF23" s="82"/>
      <c r="AG23" s="506" t="str">
        <f t="shared" si="6"/>
        <v/>
      </c>
      <c r="AH23" s="520" t="str">
        <f t="shared" si="7"/>
        <v/>
      </c>
      <c r="AI23" s="521" t="str">
        <f>IF(AH23="Check Data","Check Data",IFERROR(VLOOKUP(AH23,'G-4 Temporal multipliers'!$A$4:$C$36,3,FALSE),""))</f>
        <v/>
      </c>
      <c r="AJ23" s="497" t="str">
        <f>IF(S23="","",VLOOKUP(S23,'G-3 Multipliers'!$A$2:$E$129,4,FALSE))</f>
        <v/>
      </c>
      <c r="AK23" s="506" t="str">
        <f t="shared" si="8"/>
        <v/>
      </c>
      <c r="AL23" s="506" t="str">
        <f t="shared" si="9"/>
        <v/>
      </c>
      <c r="AM23" s="539" t="str">
        <f>IFERROR(IF(F23="","",IF(AH23="Check Data ⚠","Check Data ⚠",VLOOKUP(AL23, 'G-3 Multipliers'!$P$2:$Q$6,2,FALSE))),"")</f>
        <v/>
      </c>
      <c r="AN23" s="512" t="str">
        <f t="shared" si="10"/>
        <v/>
      </c>
      <c r="AO23" s="238"/>
      <c r="AP23" s="239"/>
    </row>
    <row r="24" spans="1:42" x14ac:dyDescent="0.3">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t="str">
        <f t="shared" si="2"/>
        <v/>
      </c>
      <c r="R24" s="237" t="str">
        <f t="shared" si="11"/>
        <v/>
      </c>
      <c r="S24" s="391" t="str">
        <f>IFERROR(INDEX('G-1 All Habitats'!$B$3:$B$129,MATCH(R24,'G-1 All Habitats'!$A$3:$A$129,0)),"")</f>
        <v/>
      </c>
      <c r="T24" s="497" t="str">
        <f t="shared" si="3"/>
        <v/>
      </c>
      <c r="U24" s="498" t="str">
        <f t="shared" si="4"/>
        <v/>
      </c>
      <c r="V24" s="536" t="str">
        <f t="shared" si="5"/>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1"/>
        <v/>
      </c>
      <c r="AE24" s="82"/>
      <c r="AF24" s="82"/>
      <c r="AG24" s="506" t="str">
        <f t="shared" si="6"/>
        <v/>
      </c>
      <c r="AH24" s="520" t="str">
        <f t="shared" si="7"/>
        <v/>
      </c>
      <c r="AI24" s="521" t="str">
        <f>IF(AH24="Check Data","Check Data",IFERROR(VLOOKUP(AH24,'G-4 Temporal multipliers'!$A$4:$C$36,3,FALSE),""))</f>
        <v/>
      </c>
      <c r="AJ24" s="497" t="str">
        <f>IF(S24="","",VLOOKUP(S24,'G-3 Multipliers'!$A$2:$E$129,4,FALSE))</f>
        <v/>
      </c>
      <c r="AK24" s="506" t="str">
        <f t="shared" si="8"/>
        <v/>
      </c>
      <c r="AL24" s="506" t="str">
        <f t="shared" si="9"/>
        <v/>
      </c>
      <c r="AM24" s="539" t="str">
        <f>IFERROR(IF(F24="","",IF(AH24="Check Data ⚠","Check Data ⚠",VLOOKUP(AL24, 'G-3 Multipliers'!$P$2:$Q$6,2,FALSE))),"")</f>
        <v/>
      </c>
      <c r="AN24" s="512" t="str">
        <f t="shared" si="10"/>
        <v/>
      </c>
      <c r="AO24" s="238"/>
      <c r="AP24" s="239"/>
    </row>
    <row r="25" spans="1:42" x14ac:dyDescent="0.3">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t="str">
        <f t="shared" si="2"/>
        <v/>
      </c>
      <c r="R25" s="237" t="str">
        <f t="shared" si="11"/>
        <v/>
      </c>
      <c r="S25" s="391" t="str">
        <f>IFERROR(INDEX('G-1 All Habitats'!$B$3:$B$129,MATCH(R25,'G-1 All Habitats'!$A$3:$A$129,0)),"")</f>
        <v/>
      </c>
      <c r="T25" s="497" t="str">
        <f t="shared" si="3"/>
        <v/>
      </c>
      <c r="U25" s="498" t="str">
        <f t="shared" si="4"/>
        <v/>
      </c>
      <c r="V25" s="536" t="str">
        <f t="shared" si="5"/>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1"/>
        <v/>
      </c>
      <c r="AE25" s="82"/>
      <c r="AF25" s="82"/>
      <c r="AG25" s="506" t="str">
        <f t="shared" si="6"/>
        <v/>
      </c>
      <c r="AH25" s="520" t="str">
        <f t="shared" si="7"/>
        <v/>
      </c>
      <c r="AI25" s="521" t="str">
        <f>IF(AH25="Check Data","Check Data",IFERROR(VLOOKUP(AH25,'G-4 Temporal multipliers'!$A$4:$C$36,3,FALSE),""))</f>
        <v/>
      </c>
      <c r="AJ25" s="497" t="str">
        <f>IF(S25="","",VLOOKUP(S25,'G-3 Multipliers'!$A$2:$E$129,4,FALSE))</f>
        <v/>
      </c>
      <c r="AK25" s="506" t="str">
        <f t="shared" si="8"/>
        <v/>
      </c>
      <c r="AL25" s="506" t="str">
        <f t="shared" si="9"/>
        <v/>
      </c>
      <c r="AM25" s="539" t="str">
        <f>IFERROR(IF(F25="","",IF(AH25="Check Data ⚠","Check Data ⚠",VLOOKUP(AL25, 'G-3 Multipliers'!$P$2:$Q$6,2,FALSE))),"")</f>
        <v/>
      </c>
      <c r="AN25" s="512" t="str">
        <f t="shared" si="10"/>
        <v/>
      </c>
      <c r="AO25" s="238"/>
      <c r="AP25" s="239"/>
    </row>
    <row r="26" spans="1:42" x14ac:dyDescent="0.3">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t="str">
        <f t="shared" si="2"/>
        <v/>
      </c>
      <c r="R26" s="237" t="str">
        <f t="shared" si="11"/>
        <v/>
      </c>
      <c r="S26" s="391" t="str">
        <f>IFERROR(INDEX('G-1 All Habitats'!$B$3:$B$129,MATCH(R26,'G-1 All Habitats'!$A$3:$A$129,0)),"")</f>
        <v/>
      </c>
      <c r="T26" s="497" t="str">
        <f t="shared" si="3"/>
        <v/>
      </c>
      <c r="U26" s="498" t="str">
        <f t="shared" si="4"/>
        <v/>
      </c>
      <c r="V26" s="536" t="str">
        <f t="shared" si="5"/>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1"/>
        <v/>
      </c>
      <c r="AE26" s="82"/>
      <c r="AF26" s="82"/>
      <c r="AG26" s="506" t="str">
        <f t="shared" si="6"/>
        <v/>
      </c>
      <c r="AH26" s="520" t="str">
        <f t="shared" si="7"/>
        <v/>
      </c>
      <c r="AI26" s="521" t="str">
        <f>IF(AH26="Check Data","Check Data",IFERROR(VLOOKUP(AH26,'G-4 Temporal multipliers'!$A$4:$C$36,3,FALSE),""))</f>
        <v/>
      </c>
      <c r="AJ26" s="497" t="str">
        <f>IF(S26="","",VLOOKUP(S26,'G-3 Multipliers'!$A$2:$E$129,4,FALSE))</f>
        <v/>
      </c>
      <c r="AK26" s="506" t="str">
        <f t="shared" si="8"/>
        <v/>
      </c>
      <c r="AL26" s="506" t="str">
        <f t="shared" si="9"/>
        <v/>
      </c>
      <c r="AM26" s="539" t="str">
        <f>IFERROR(IF(F26="","",IF(AH26="Check Data ⚠","Check Data ⚠",VLOOKUP(AL26, 'G-3 Multipliers'!$P$2:$Q$6,2,FALSE))),"")</f>
        <v/>
      </c>
      <c r="AN26" s="512" t="str">
        <f t="shared" si="10"/>
        <v/>
      </c>
      <c r="AO26" s="238"/>
      <c r="AP26" s="239"/>
    </row>
    <row r="27" spans="1:42" x14ac:dyDescent="0.3">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t="str">
        <f t="shared" si="2"/>
        <v/>
      </c>
      <c r="R27" s="237" t="str">
        <f t="shared" si="11"/>
        <v/>
      </c>
      <c r="S27" s="391" t="str">
        <f>IFERROR(INDEX('G-1 All Habitats'!$B$3:$B$129,MATCH(R27,'G-1 All Habitats'!$A$3:$A$129,0)),"")</f>
        <v/>
      </c>
      <c r="T27" s="497" t="str">
        <f t="shared" si="3"/>
        <v/>
      </c>
      <c r="U27" s="498" t="str">
        <f t="shared" si="4"/>
        <v/>
      </c>
      <c r="V27" s="536" t="str">
        <f t="shared" si="5"/>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1"/>
        <v/>
      </c>
      <c r="AE27" s="82"/>
      <c r="AF27" s="82"/>
      <c r="AG27" s="506" t="str">
        <f t="shared" si="6"/>
        <v/>
      </c>
      <c r="AH27" s="520" t="str">
        <f t="shared" si="7"/>
        <v/>
      </c>
      <c r="AI27" s="521" t="str">
        <f>IF(AH27="Check Data","Check Data",IFERROR(VLOOKUP(AH27,'G-4 Temporal multipliers'!$A$4:$C$36,3,FALSE),""))</f>
        <v/>
      </c>
      <c r="AJ27" s="497" t="str">
        <f>IF(S27="","",VLOOKUP(S27,'G-3 Multipliers'!$A$2:$E$129,4,FALSE))</f>
        <v/>
      </c>
      <c r="AK27" s="506" t="str">
        <f t="shared" si="8"/>
        <v/>
      </c>
      <c r="AL27" s="506" t="str">
        <f t="shared" si="9"/>
        <v/>
      </c>
      <c r="AM27" s="539" t="str">
        <f>IFERROR(IF(F27="","",IF(AH27="Check Data ⚠","Check Data ⚠",VLOOKUP(AL27, 'G-3 Multipliers'!$P$2:$Q$6,2,FALSE))),"")</f>
        <v/>
      </c>
      <c r="AN27" s="512" t="str">
        <f t="shared" si="10"/>
        <v/>
      </c>
      <c r="AO27" s="238"/>
      <c r="AP27" s="239"/>
    </row>
    <row r="28" spans="1:42" x14ac:dyDescent="0.3">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t="str">
        <f t="shared" si="2"/>
        <v/>
      </c>
      <c r="R28" s="237" t="str">
        <f t="shared" si="11"/>
        <v/>
      </c>
      <c r="S28" s="391" t="str">
        <f>IFERROR(INDEX('G-1 All Habitats'!$B$3:$B$129,MATCH(R28,'G-1 All Habitats'!$A$3:$A$129,0)),"")</f>
        <v/>
      </c>
      <c r="T28" s="497" t="str">
        <f t="shared" si="3"/>
        <v/>
      </c>
      <c r="U28" s="498" t="str">
        <f t="shared" si="4"/>
        <v/>
      </c>
      <c r="V28" s="536" t="str">
        <f t="shared" si="5"/>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1"/>
        <v/>
      </c>
      <c r="AE28" s="82"/>
      <c r="AF28" s="82"/>
      <c r="AG28" s="506" t="str">
        <f t="shared" si="6"/>
        <v/>
      </c>
      <c r="AH28" s="520" t="str">
        <f t="shared" si="7"/>
        <v/>
      </c>
      <c r="AI28" s="521" t="str">
        <f>IF(AH28="Check Data","Check Data",IFERROR(VLOOKUP(AH28,'G-4 Temporal multipliers'!$A$4:$C$36,3,FALSE),""))</f>
        <v/>
      </c>
      <c r="AJ28" s="497" t="str">
        <f>IF(S28="","",VLOOKUP(S28,'G-3 Multipliers'!$A$2:$E$129,4,FALSE))</f>
        <v/>
      </c>
      <c r="AK28" s="506" t="str">
        <f t="shared" si="8"/>
        <v/>
      </c>
      <c r="AL28" s="506" t="str">
        <f t="shared" si="9"/>
        <v/>
      </c>
      <c r="AM28" s="539" t="str">
        <f>IFERROR(IF(F28="","",IF(AH28="Check Data ⚠","Check Data ⚠",VLOOKUP(AL28, 'G-3 Multipliers'!$P$2:$Q$6,2,FALSE))),"")</f>
        <v/>
      </c>
      <c r="AN28" s="512" t="str">
        <f t="shared" si="10"/>
        <v/>
      </c>
      <c r="AO28" s="238"/>
      <c r="AP28" s="239"/>
    </row>
    <row r="29" spans="1:42" x14ac:dyDescent="0.3">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t="str">
        <f t="shared" si="2"/>
        <v/>
      </c>
      <c r="R29" s="237" t="str">
        <f t="shared" si="11"/>
        <v/>
      </c>
      <c r="S29" s="391" t="str">
        <f>IFERROR(INDEX('G-1 All Habitats'!$B$3:$B$129,MATCH(R29,'G-1 All Habitats'!$A$3:$A$129,0)),"")</f>
        <v/>
      </c>
      <c r="T29" s="497" t="str">
        <f t="shared" si="3"/>
        <v/>
      </c>
      <c r="U29" s="498" t="str">
        <f t="shared" si="4"/>
        <v/>
      </c>
      <c r="V29" s="536" t="str">
        <f t="shared" si="5"/>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1"/>
        <v/>
      </c>
      <c r="AE29" s="82"/>
      <c r="AF29" s="82"/>
      <c r="AG29" s="506" t="str">
        <f t="shared" si="6"/>
        <v/>
      </c>
      <c r="AH29" s="520" t="str">
        <f t="shared" si="7"/>
        <v/>
      </c>
      <c r="AI29" s="521" t="str">
        <f>IF(AH29="Check Data","Check Data",IFERROR(VLOOKUP(AH29,'G-4 Temporal multipliers'!$A$4:$C$36,3,FALSE),""))</f>
        <v/>
      </c>
      <c r="AJ29" s="497" t="str">
        <f>IF(S29="","",VLOOKUP(S29,'G-3 Multipliers'!$A$2:$E$129,4,FALSE))</f>
        <v/>
      </c>
      <c r="AK29" s="506" t="str">
        <f t="shared" si="8"/>
        <v/>
      </c>
      <c r="AL29" s="506" t="str">
        <f t="shared" si="9"/>
        <v/>
      </c>
      <c r="AM29" s="539" t="str">
        <f>IFERROR(IF(F29="","",IF(AH29="Check Data ⚠","Check Data ⚠",VLOOKUP(AL29, 'G-3 Multipliers'!$P$2:$Q$6,2,FALSE))),"")</f>
        <v/>
      </c>
      <c r="AN29" s="512" t="str">
        <f t="shared" si="10"/>
        <v/>
      </c>
      <c r="AO29" s="238"/>
      <c r="AP29" s="239"/>
    </row>
    <row r="30" spans="1:42" x14ac:dyDescent="0.3">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t="str">
        <f t="shared" si="2"/>
        <v/>
      </c>
      <c r="R30" s="237" t="str">
        <f t="shared" si="11"/>
        <v/>
      </c>
      <c r="S30" s="391" t="str">
        <f>IFERROR(INDEX('G-1 All Habitats'!$B$3:$B$129,MATCH(R30,'G-1 All Habitats'!$A$3:$A$129,0)),"")</f>
        <v/>
      </c>
      <c r="T30" s="497" t="str">
        <f t="shared" si="3"/>
        <v/>
      </c>
      <c r="U30" s="498" t="str">
        <f t="shared" si="4"/>
        <v/>
      </c>
      <c r="V30" s="536" t="str">
        <f t="shared" si="5"/>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1"/>
        <v/>
      </c>
      <c r="AE30" s="82"/>
      <c r="AF30" s="82"/>
      <c r="AG30" s="506" t="str">
        <f t="shared" si="6"/>
        <v/>
      </c>
      <c r="AH30" s="520" t="str">
        <f t="shared" si="7"/>
        <v/>
      </c>
      <c r="AI30" s="521" t="str">
        <f>IF(AH30="Check Data","Check Data",IFERROR(VLOOKUP(AH30,'G-4 Temporal multipliers'!$A$4:$C$36,3,FALSE),""))</f>
        <v/>
      </c>
      <c r="AJ30" s="497" t="str">
        <f>IF(S30="","",VLOOKUP(S30,'G-3 Multipliers'!$A$2:$E$129,4,FALSE))</f>
        <v/>
      </c>
      <c r="AK30" s="506" t="str">
        <f t="shared" si="8"/>
        <v/>
      </c>
      <c r="AL30" s="506" t="str">
        <f t="shared" si="9"/>
        <v/>
      </c>
      <c r="AM30" s="539" t="str">
        <f>IFERROR(IF(F30="","",IF(AH30="Check Data ⚠","Check Data ⚠",VLOOKUP(AL30, 'G-3 Multipliers'!$P$2:$Q$6,2,FALSE))),"")</f>
        <v/>
      </c>
      <c r="AN30" s="512" t="str">
        <f t="shared" si="10"/>
        <v/>
      </c>
      <c r="AO30" s="238"/>
      <c r="AP30" s="239"/>
    </row>
    <row r="31" spans="1:42" x14ac:dyDescent="0.3">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t="str">
        <f t="shared" si="2"/>
        <v/>
      </c>
      <c r="R31" s="237" t="str">
        <f t="shared" si="11"/>
        <v/>
      </c>
      <c r="S31" s="391" t="str">
        <f>IFERROR(INDEX('G-1 All Habitats'!$B$3:$B$129,MATCH(R31,'G-1 All Habitats'!$A$3:$A$129,0)),"")</f>
        <v/>
      </c>
      <c r="T31" s="497" t="str">
        <f t="shared" si="3"/>
        <v/>
      </c>
      <c r="U31" s="498" t="str">
        <f t="shared" si="4"/>
        <v/>
      </c>
      <c r="V31" s="536" t="str">
        <f t="shared" si="5"/>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1"/>
        <v/>
      </c>
      <c r="AE31" s="82"/>
      <c r="AF31" s="82"/>
      <c r="AG31" s="506" t="str">
        <f t="shared" si="6"/>
        <v/>
      </c>
      <c r="AH31" s="520" t="str">
        <f t="shared" si="7"/>
        <v/>
      </c>
      <c r="AI31" s="521" t="str">
        <f>IF(AH31="Check Data","Check Data",IFERROR(VLOOKUP(AH31,'G-4 Temporal multipliers'!$A$4:$C$36,3,FALSE),""))</f>
        <v/>
      </c>
      <c r="AJ31" s="497" t="str">
        <f>IF(S31="","",VLOOKUP(S31,'G-3 Multipliers'!$A$2:$E$129,4,FALSE))</f>
        <v/>
      </c>
      <c r="AK31" s="506" t="str">
        <f t="shared" si="8"/>
        <v/>
      </c>
      <c r="AL31" s="506" t="str">
        <f t="shared" si="9"/>
        <v/>
      </c>
      <c r="AM31" s="539" t="str">
        <f>IFERROR(IF(F31="","",IF(AH31="Check Data ⚠","Check Data ⚠",VLOOKUP(AL31, 'G-3 Multipliers'!$P$2:$Q$6,2,FALSE))),"")</f>
        <v/>
      </c>
      <c r="AN31" s="512" t="str">
        <f t="shared" si="10"/>
        <v/>
      </c>
      <c r="AO31" s="238"/>
      <c r="AP31" s="239"/>
    </row>
    <row r="32" spans="1:42" x14ac:dyDescent="0.3">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t="str">
        <f t="shared" si="2"/>
        <v/>
      </c>
      <c r="R32" s="237" t="str">
        <f t="shared" si="11"/>
        <v/>
      </c>
      <c r="S32" s="391" t="str">
        <f>IFERROR(INDEX('G-1 All Habitats'!$B$3:$B$129,MATCH(R32,'G-1 All Habitats'!$A$3:$A$129,0)),"")</f>
        <v/>
      </c>
      <c r="T32" s="497" t="str">
        <f t="shared" si="3"/>
        <v/>
      </c>
      <c r="U32" s="498" t="str">
        <f t="shared" si="4"/>
        <v/>
      </c>
      <c r="V32" s="536" t="str">
        <f t="shared" si="5"/>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1"/>
        <v/>
      </c>
      <c r="AE32" s="82"/>
      <c r="AF32" s="82"/>
      <c r="AG32" s="506" t="str">
        <f t="shared" si="6"/>
        <v/>
      </c>
      <c r="AH32" s="520" t="str">
        <f t="shared" si="7"/>
        <v/>
      </c>
      <c r="AI32" s="521" t="str">
        <f>IF(AH32="Check Data","Check Data",IFERROR(VLOOKUP(AH32,'G-4 Temporal multipliers'!$A$4:$C$36,3,FALSE),""))</f>
        <v/>
      </c>
      <c r="AJ32" s="497" t="str">
        <f>IF(S32="","",VLOOKUP(S32,'G-3 Multipliers'!$A$2:$E$129,4,FALSE))</f>
        <v/>
      </c>
      <c r="AK32" s="506" t="str">
        <f t="shared" si="8"/>
        <v/>
      </c>
      <c r="AL32" s="506" t="str">
        <f t="shared" si="9"/>
        <v/>
      </c>
      <c r="AM32" s="539" t="str">
        <f>IFERROR(IF(F32="","",IF(AH32="Check Data ⚠","Check Data ⚠",VLOOKUP(AL32, 'G-3 Multipliers'!$P$2:$Q$6,2,FALSE))),"")</f>
        <v/>
      </c>
      <c r="AN32" s="512" t="str">
        <f t="shared" si="10"/>
        <v/>
      </c>
      <c r="AO32" s="238"/>
      <c r="AP32" s="239"/>
    </row>
    <row r="33" spans="1:42" x14ac:dyDescent="0.3">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t="str">
        <f t="shared" si="2"/>
        <v/>
      </c>
      <c r="R33" s="237" t="str">
        <f t="shared" si="11"/>
        <v/>
      </c>
      <c r="S33" s="391" t="str">
        <f>IFERROR(INDEX('G-1 All Habitats'!$B$3:$B$129,MATCH(R33,'G-1 All Habitats'!$A$3:$A$129,0)),"")</f>
        <v/>
      </c>
      <c r="T33" s="497" t="str">
        <f t="shared" si="3"/>
        <v/>
      </c>
      <c r="U33" s="498" t="str">
        <f t="shared" si="4"/>
        <v/>
      </c>
      <c r="V33" s="536" t="str">
        <f t="shared" si="5"/>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1"/>
        <v/>
      </c>
      <c r="AE33" s="82"/>
      <c r="AF33" s="82"/>
      <c r="AG33" s="506" t="str">
        <f t="shared" si="6"/>
        <v/>
      </c>
      <c r="AH33" s="520" t="str">
        <f t="shared" si="7"/>
        <v/>
      </c>
      <c r="AI33" s="521" t="str">
        <f>IF(AH33="Check Data","Check Data",IFERROR(VLOOKUP(AH33,'G-4 Temporal multipliers'!$A$4:$C$36,3,FALSE),""))</f>
        <v/>
      </c>
      <c r="AJ33" s="497" t="str">
        <f>IF(S33="","",VLOOKUP(S33,'G-3 Multipliers'!$A$2:$E$129,4,FALSE))</f>
        <v/>
      </c>
      <c r="AK33" s="506" t="str">
        <f t="shared" si="8"/>
        <v/>
      </c>
      <c r="AL33" s="506" t="str">
        <f t="shared" si="9"/>
        <v/>
      </c>
      <c r="AM33" s="539" t="str">
        <f>IFERROR(IF(F33="","",IF(AH33="Check Data ⚠","Check Data ⚠",VLOOKUP(AL33, 'G-3 Multipliers'!$P$2:$Q$6,2,FALSE))),"")</f>
        <v/>
      </c>
      <c r="AN33" s="512" t="str">
        <f t="shared" si="10"/>
        <v/>
      </c>
      <c r="AO33" s="238"/>
      <c r="AP33" s="239"/>
    </row>
    <row r="34" spans="1:42" x14ac:dyDescent="0.3">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t="str">
        <f t="shared" si="2"/>
        <v/>
      </c>
      <c r="R34" s="237" t="str">
        <f t="shared" si="11"/>
        <v/>
      </c>
      <c r="S34" s="391" t="str">
        <f>IFERROR(INDEX('G-1 All Habitats'!$B$3:$B$129,MATCH(R34,'G-1 All Habitats'!$A$3:$A$129,0)),"")</f>
        <v/>
      </c>
      <c r="T34" s="497" t="str">
        <f t="shared" si="3"/>
        <v/>
      </c>
      <c r="U34" s="498" t="str">
        <f t="shared" si="4"/>
        <v/>
      </c>
      <c r="V34" s="536" t="str">
        <f t="shared" si="5"/>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1"/>
        <v/>
      </c>
      <c r="AE34" s="82"/>
      <c r="AF34" s="82"/>
      <c r="AG34" s="506" t="str">
        <f t="shared" si="6"/>
        <v/>
      </c>
      <c r="AH34" s="520" t="str">
        <f t="shared" si="7"/>
        <v/>
      </c>
      <c r="AI34" s="521" t="str">
        <f>IF(AH34="Check Data","Check Data",IFERROR(VLOOKUP(AH34,'G-4 Temporal multipliers'!$A$4:$C$36,3,FALSE),""))</f>
        <v/>
      </c>
      <c r="AJ34" s="497" t="str">
        <f>IF(S34="","",VLOOKUP(S34,'G-3 Multipliers'!$A$2:$E$129,4,FALSE))</f>
        <v/>
      </c>
      <c r="AK34" s="506" t="str">
        <f t="shared" si="8"/>
        <v/>
      </c>
      <c r="AL34" s="506" t="str">
        <f t="shared" si="9"/>
        <v/>
      </c>
      <c r="AM34" s="539" t="str">
        <f>IFERROR(IF(F34="","",IF(AH34="Check Data ⚠","Check Data ⚠",VLOOKUP(AL34, 'G-3 Multipliers'!$P$2:$Q$6,2,FALSE))),"")</f>
        <v/>
      </c>
      <c r="AN34" s="512" t="str">
        <f t="shared" si="10"/>
        <v/>
      </c>
      <c r="AO34" s="238"/>
      <c r="AP34" s="239"/>
    </row>
    <row r="35" spans="1:42" x14ac:dyDescent="0.3">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t="str">
        <f t="shared" si="2"/>
        <v/>
      </c>
      <c r="R35" s="237" t="str">
        <f t="shared" si="11"/>
        <v/>
      </c>
      <c r="S35" s="391" t="str">
        <f>IFERROR(INDEX('G-1 All Habitats'!$B$3:$B$129,MATCH(R35,'G-1 All Habitats'!$A$3:$A$129,0)),"")</f>
        <v/>
      </c>
      <c r="T35" s="497" t="str">
        <f t="shared" si="3"/>
        <v/>
      </c>
      <c r="U35" s="498" t="str">
        <f t="shared" si="4"/>
        <v/>
      </c>
      <c r="V35" s="536" t="str">
        <f t="shared" si="5"/>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1"/>
        <v/>
      </c>
      <c r="AE35" s="82"/>
      <c r="AF35" s="82"/>
      <c r="AG35" s="506" t="str">
        <f t="shared" si="6"/>
        <v/>
      </c>
      <c r="AH35" s="520" t="str">
        <f t="shared" si="7"/>
        <v/>
      </c>
      <c r="AI35" s="521" t="str">
        <f>IF(AH35="Check Data","Check Data",IFERROR(VLOOKUP(AH35,'G-4 Temporal multipliers'!$A$4:$C$36,3,FALSE),""))</f>
        <v/>
      </c>
      <c r="AJ35" s="497" t="str">
        <f>IF(S35="","",VLOOKUP(S35,'G-3 Multipliers'!$A$2:$E$129,4,FALSE))</f>
        <v/>
      </c>
      <c r="AK35" s="506" t="str">
        <f t="shared" si="8"/>
        <v/>
      </c>
      <c r="AL35" s="506" t="str">
        <f t="shared" si="9"/>
        <v/>
      </c>
      <c r="AM35" s="539" t="str">
        <f>IFERROR(IF(F35="","",IF(AH35="Check Data ⚠","Check Data ⚠",VLOOKUP(AL35, 'G-3 Multipliers'!$P$2:$Q$6,2,FALSE))),"")</f>
        <v/>
      </c>
      <c r="AN35" s="512" t="str">
        <f t="shared" si="10"/>
        <v/>
      </c>
      <c r="AO35" s="238"/>
      <c r="AP35" s="239"/>
    </row>
    <row r="36" spans="1:42" x14ac:dyDescent="0.3">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t="str">
        <f t="shared" si="2"/>
        <v/>
      </c>
      <c r="R36" s="237" t="str">
        <f t="shared" si="11"/>
        <v/>
      </c>
      <c r="S36" s="391" t="str">
        <f>IFERROR(INDEX('G-1 All Habitats'!$B$3:$B$129,MATCH(R36,'G-1 All Habitats'!$A$3:$A$129,0)),"")</f>
        <v/>
      </c>
      <c r="T36" s="497" t="str">
        <f t="shared" si="3"/>
        <v/>
      </c>
      <c r="U36" s="498" t="str">
        <f t="shared" si="4"/>
        <v/>
      </c>
      <c r="V36" s="536" t="str">
        <f t="shared" si="5"/>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1"/>
        <v/>
      </c>
      <c r="AE36" s="82"/>
      <c r="AF36" s="82"/>
      <c r="AG36" s="506" t="str">
        <f t="shared" si="6"/>
        <v/>
      </c>
      <c r="AH36" s="520" t="str">
        <f t="shared" si="7"/>
        <v/>
      </c>
      <c r="AI36" s="521" t="str">
        <f>IF(AH36="Check Data","Check Data",IFERROR(VLOOKUP(AH36,'G-4 Temporal multipliers'!$A$4:$C$36,3,FALSE),""))</f>
        <v/>
      </c>
      <c r="AJ36" s="497" t="str">
        <f>IF(S36="","",VLOOKUP(S36,'G-3 Multipliers'!$A$2:$E$129,4,FALSE))</f>
        <v/>
      </c>
      <c r="AK36" s="506" t="str">
        <f t="shared" si="8"/>
        <v/>
      </c>
      <c r="AL36" s="506" t="str">
        <f t="shared" si="9"/>
        <v/>
      </c>
      <c r="AM36" s="539" t="str">
        <f>IFERROR(IF(F36="","",IF(AH36="Check Data ⚠","Check Data ⚠",VLOOKUP(AL36, 'G-3 Multipliers'!$P$2:$Q$6,2,FALSE))),"")</f>
        <v/>
      </c>
      <c r="AN36" s="512" t="str">
        <f t="shared" si="10"/>
        <v/>
      </c>
      <c r="AO36" s="238"/>
      <c r="AP36" s="239"/>
    </row>
    <row r="37" spans="1:42" x14ac:dyDescent="0.3">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t="str">
        <f t="shared" si="2"/>
        <v/>
      </c>
      <c r="R37" s="237" t="str">
        <f t="shared" si="11"/>
        <v/>
      </c>
      <c r="S37" s="391" t="str">
        <f>IFERROR(INDEX('G-1 All Habitats'!$B$3:$B$129,MATCH(R37,'G-1 All Habitats'!$A$3:$A$129,0)),"")</f>
        <v/>
      </c>
      <c r="T37" s="497" t="str">
        <f t="shared" si="3"/>
        <v/>
      </c>
      <c r="U37" s="498" t="str">
        <f t="shared" si="4"/>
        <v/>
      </c>
      <c r="V37" s="536" t="str">
        <f t="shared" si="5"/>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1"/>
        <v/>
      </c>
      <c r="AE37" s="82"/>
      <c r="AF37" s="82"/>
      <c r="AG37" s="506" t="str">
        <f t="shared" si="6"/>
        <v/>
      </c>
      <c r="AH37" s="520" t="str">
        <f t="shared" si="7"/>
        <v/>
      </c>
      <c r="AI37" s="521" t="str">
        <f>IF(AH37="Check Data","Check Data",IFERROR(VLOOKUP(AH37,'G-4 Temporal multipliers'!$A$4:$C$36,3,FALSE),""))</f>
        <v/>
      </c>
      <c r="AJ37" s="497" t="str">
        <f>IF(S37="","",VLOOKUP(S37,'G-3 Multipliers'!$A$2:$E$129,4,FALSE))</f>
        <v/>
      </c>
      <c r="AK37" s="506" t="str">
        <f t="shared" si="8"/>
        <v/>
      </c>
      <c r="AL37" s="506" t="str">
        <f t="shared" si="9"/>
        <v/>
      </c>
      <c r="AM37" s="539" t="str">
        <f>IFERROR(IF(F37="","",IF(AH37="Check Data ⚠","Check Data ⚠",VLOOKUP(AL37, 'G-3 Multipliers'!$P$2:$Q$6,2,FALSE))),"")</f>
        <v/>
      </c>
      <c r="AN37" s="512" t="str">
        <f t="shared" si="10"/>
        <v/>
      </c>
      <c r="AO37" s="238"/>
      <c r="AP37" s="239"/>
    </row>
    <row r="38" spans="1:42" x14ac:dyDescent="0.3">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t="str">
        <f t="shared" si="2"/>
        <v/>
      </c>
      <c r="R38" s="237" t="str">
        <f t="shared" si="11"/>
        <v/>
      </c>
      <c r="S38" s="391" t="str">
        <f>IFERROR(INDEX('G-1 All Habitats'!$B$3:$B$129,MATCH(R38,'G-1 All Habitats'!$A$3:$A$129,0)),"")</f>
        <v/>
      </c>
      <c r="T38" s="497" t="str">
        <f t="shared" si="3"/>
        <v/>
      </c>
      <c r="U38" s="498" t="str">
        <f t="shared" si="4"/>
        <v/>
      </c>
      <c r="V38" s="536" t="str">
        <f t="shared" si="5"/>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1"/>
        <v/>
      </c>
      <c r="AE38" s="82"/>
      <c r="AF38" s="82"/>
      <c r="AG38" s="506" t="str">
        <f t="shared" si="6"/>
        <v/>
      </c>
      <c r="AH38" s="520" t="str">
        <f t="shared" si="7"/>
        <v/>
      </c>
      <c r="AI38" s="521" t="str">
        <f>IF(AH38="Check Data","Check Data",IFERROR(VLOOKUP(AH38,'G-4 Temporal multipliers'!$A$4:$C$36,3,FALSE),""))</f>
        <v/>
      </c>
      <c r="AJ38" s="497" t="str">
        <f>IF(S38="","",VLOOKUP(S38,'G-3 Multipliers'!$A$2:$E$129,4,FALSE))</f>
        <v/>
      </c>
      <c r="AK38" s="506" t="str">
        <f t="shared" si="8"/>
        <v/>
      </c>
      <c r="AL38" s="506" t="str">
        <f t="shared" si="9"/>
        <v/>
      </c>
      <c r="AM38" s="539" t="str">
        <f>IFERROR(IF(F38="","",IF(AH38="Check Data ⚠","Check Data ⚠",VLOOKUP(AL38, 'G-3 Multipliers'!$P$2:$Q$6,2,FALSE))),"")</f>
        <v/>
      </c>
      <c r="AN38" s="512" t="str">
        <f t="shared" si="10"/>
        <v/>
      </c>
      <c r="AO38" s="238"/>
      <c r="AP38" s="239"/>
    </row>
    <row r="39" spans="1:42" x14ac:dyDescent="0.3">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t="str">
        <f t="shared" si="2"/>
        <v/>
      </c>
      <c r="R39" s="237" t="str">
        <f t="shared" si="11"/>
        <v/>
      </c>
      <c r="S39" s="391" t="str">
        <f>IFERROR(INDEX('G-1 All Habitats'!$B$3:$B$129,MATCH(R39,'G-1 All Habitats'!$A$3:$A$129,0)),"")</f>
        <v/>
      </c>
      <c r="T39" s="497" t="str">
        <f t="shared" si="3"/>
        <v/>
      </c>
      <c r="U39" s="498" t="str">
        <f t="shared" si="4"/>
        <v/>
      </c>
      <c r="V39" s="536" t="str">
        <f t="shared" si="5"/>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1"/>
        <v/>
      </c>
      <c r="AE39" s="82"/>
      <c r="AF39" s="82"/>
      <c r="AG39" s="506" t="str">
        <f t="shared" si="6"/>
        <v/>
      </c>
      <c r="AH39" s="520" t="str">
        <f t="shared" si="7"/>
        <v/>
      </c>
      <c r="AI39" s="521" t="str">
        <f>IF(AH39="Check Data","Check Data",IFERROR(VLOOKUP(AH39,'G-4 Temporal multipliers'!$A$4:$C$36,3,FALSE),""))</f>
        <v/>
      </c>
      <c r="AJ39" s="497" t="str">
        <f>IF(S39="","",VLOOKUP(S39,'G-3 Multipliers'!$A$2:$E$129,4,FALSE))</f>
        <v/>
      </c>
      <c r="AK39" s="506" t="str">
        <f t="shared" si="8"/>
        <v/>
      </c>
      <c r="AL39" s="506" t="str">
        <f t="shared" si="9"/>
        <v/>
      </c>
      <c r="AM39" s="539" t="str">
        <f>IFERROR(IF(F39="","",IF(AH39="Check Data ⚠","Check Data ⚠",VLOOKUP(AL39, 'G-3 Multipliers'!$P$2:$Q$6,2,FALSE))),"")</f>
        <v/>
      </c>
      <c r="AN39" s="512" t="str">
        <f t="shared" si="10"/>
        <v/>
      </c>
      <c r="AO39" s="238"/>
      <c r="AP39" s="239"/>
    </row>
    <row r="40" spans="1:42" x14ac:dyDescent="0.3">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t="str">
        <f t="shared" si="2"/>
        <v/>
      </c>
      <c r="R40" s="237" t="str">
        <f t="shared" si="11"/>
        <v/>
      </c>
      <c r="S40" s="391" t="str">
        <f>IFERROR(INDEX('G-1 All Habitats'!$B$3:$B$129,MATCH(R40,'G-1 All Habitats'!$A$3:$A$129,0)),"")</f>
        <v/>
      </c>
      <c r="T40" s="497" t="str">
        <f t="shared" si="3"/>
        <v/>
      </c>
      <c r="U40" s="498" t="str">
        <f t="shared" si="4"/>
        <v/>
      </c>
      <c r="V40" s="536" t="str">
        <f t="shared" si="5"/>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1"/>
        <v/>
      </c>
      <c r="AE40" s="82"/>
      <c r="AF40" s="82"/>
      <c r="AG40" s="506" t="str">
        <f t="shared" si="6"/>
        <v/>
      </c>
      <c r="AH40" s="520" t="str">
        <f t="shared" si="7"/>
        <v/>
      </c>
      <c r="AI40" s="521" t="str">
        <f>IF(AH40="Check Data","Check Data",IFERROR(VLOOKUP(AH40,'G-4 Temporal multipliers'!$A$4:$C$36,3,FALSE),""))</f>
        <v/>
      </c>
      <c r="AJ40" s="497" t="str">
        <f>IF(S40="","",VLOOKUP(S40,'G-3 Multipliers'!$A$2:$E$129,4,FALSE))</f>
        <v/>
      </c>
      <c r="AK40" s="506" t="str">
        <f t="shared" si="8"/>
        <v/>
      </c>
      <c r="AL40" s="506" t="str">
        <f t="shared" si="9"/>
        <v/>
      </c>
      <c r="AM40" s="539" t="str">
        <f>IFERROR(IF(F40="","",IF(AH40="Check Data ⚠","Check Data ⚠",VLOOKUP(AL40, 'G-3 Multipliers'!$P$2:$Q$6,2,FALSE))),"")</f>
        <v/>
      </c>
      <c r="AN40" s="512" t="str">
        <f t="shared" si="10"/>
        <v/>
      </c>
      <c r="AO40" s="238"/>
      <c r="AP40" s="239"/>
    </row>
    <row r="41" spans="1:42" x14ac:dyDescent="0.3">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t="str">
        <f t="shared" si="2"/>
        <v/>
      </c>
      <c r="R41" s="237" t="str">
        <f t="shared" si="11"/>
        <v/>
      </c>
      <c r="S41" s="391" t="str">
        <f>IFERROR(INDEX('G-1 All Habitats'!$B$3:$B$129,MATCH(R41,'G-1 All Habitats'!$A$3:$A$129,0)),"")</f>
        <v/>
      </c>
      <c r="T41" s="497" t="str">
        <f t="shared" si="3"/>
        <v/>
      </c>
      <c r="U41" s="498" t="str">
        <f t="shared" si="4"/>
        <v/>
      </c>
      <c r="V41" s="536" t="str">
        <f t="shared" si="5"/>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1"/>
        <v/>
      </c>
      <c r="AE41" s="82"/>
      <c r="AF41" s="82"/>
      <c r="AG41" s="506" t="str">
        <f t="shared" si="6"/>
        <v/>
      </c>
      <c r="AH41" s="520" t="str">
        <f t="shared" si="7"/>
        <v/>
      </c>
      <c r="AI41" s="521" t="str">
        <f>IF(AH41="Check Data","Check Data",IFERROR(VLOOKUP(AH41,'G-4 Temporal multipliers'!$A$4:$C$36,3,FALSE),""))</f>
        <v/>
      </c>
      <c r="AJ41" s="497" t="str">
        <f>IF(S41="","",VLOOKUP(S41,'G-3 Multipliers'!$A$2:$E$129,4,FALSE))</f>
        <v/>
      </c>
      <c r="AK41" s="506" t="str">
        <f t="shared" si="8"/>
        <v/>
      </c>
      <c r="AL41" s="506" t="str">
        <f t="shared" si="9"/>
        <v/>
      </c>
      <c r="AM41" s="539" t="str">
        <f>IFERROR(IF(F41="","",IF(AH41="Check Data ⚠","Check Data ⚠",VLOOKUP(AL41, 'G-3 Multipliers'!$P$2:$Q$6,2,FALSE))),"")</f>
        <v/>
      </c>
      <c r="AN41" s="512" t="str">
        <f t="shared" si="10"/>
        <v/>
      </c>
      <c r="AO41" s="238"/>
      <c r="AP41" s="239"/>
    </row>
    <row r="42" spans="1:42" x14ac:dyDescent="0.3">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t="str">
        <f t="shared" si="2"/>
        <v/>
      </c>
      <c r="R42" s="237" t="str">
        <f t="shared" si="11"/>
        <v/>
      </c>
      <c r="S42" s="391" t="str">
        <f>IFERROR(INDEX('G-1 All Habitats'!$B$3:$B$129,MATCH(R42,'G-1 All Habitats'!$A$3:$A$129,0)),"")</f>
        <v/>
      </c>
      <c r="T42" s="497" t="str">
        <f t="shared" si="3"/>
        <v/>
      </c>
      <c r="U42" s="498" t="str">
        <f t="shared" si="4"/>
        <v/>
      </c>
      <c r="V42" s="536" t="str">
        <f t="shared" si="5"/>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1"/>
        <v/>
      </c>
      <c r="AE42" s="82"/>
      <c r="AF42" s="82"/>
      <c r="AG42" s="506" t="str">
        <f t="shared" si="6"/>
        <v/>
      </c>
      <c r="AH42" s="520" t="str">
        <f t="shared" si="7"/>
        <v/>
      </c>
      <c r="AI42" s="521" t="str">
        <f>IF(AH42="Check Data","Check Data",IFERROR(VLOOKUP(AH42,'G-4 Temporal multipliers'!$A$4:$C$36,3,FALSE),""))</f>
        <v/>
      </c>
      <c r="AJ42" s="497" t="str">
        <f>IF(S42="","",VLOOKUP(S42,'G-3 Multipliers'!$A$2:$E$129,4,FALSE))</f>
        <v/>
      </c>
      <c r="AK42" s="506" t="str">
        <f t="shared" si="8"/>
        <v/>
      </c>
      <c r="AL42" s="506" t="str">
        <f t="shared" si="9"/>
        <v/>
      </c>
      <c r="AM42" s="539" t="str">
        <f>IFERROR(IF(F42="","",IF(AH42="Check Data ⚠","Check Data ⚠",VLOOKUP(AL42, 'G-3 Multipliers'!$P$2:$Q$6,2,FALSE))),"")</f>
        <v/>
      </c>
      <c r="AN42" s="512" t="str">
        <f t="shared" si="10"/>
        <v/>
      </c>
      <c r="AO42" s="238"/>
      <c r="AP42" s="239"/>
    </row>
    <row r="43" spans="1:42" x14ac:dyDescent="0.3">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t="str">
        <f t="shared" si="2"/>
        <v/>
      </c>
      <c r="R43" s="237" t="str">
        <f t="shared" si="11"/>
        <v/>
      </c>
      <c r="S43" s="391" t="str">
        <f>IFERROR(INDEX('G-1 All Habitats'!$B$3:$B$129,MATCH(R43,'G-1 All Habitats'!$A$3:$A$129,0)),"")</f>
        <v/>
      </c>
      <c r="T43" s="497" t="str">
        <f t="shared" si="3"/>
        <v/>
      </c>
      <c r="U43" s="498" t="str">
        <f t="shared" si="4"/>
        <v/>
      </c>
      <c r="V43" s="536" t="str">
        <f t="shared" si="5"/>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1"/>
        <v/>
      </c>
      <c r="AE43" s="82"/>
      <c r="AF43" s="82"/>
      <c r="AG43" s="506" t="str">
        <f t="shared" si="6"/>
        <v/>
      </c>
      <c r="AH43" s="520" t="str">
        <f t="shared" si="7"/>
        <v/>
      </c>
      <c r="AI43" s="521" t="str">
        <f>IF(AH43="Check Data","Check Data",IFERROR(VLOOKUP(AH43,'G-4 Temporal multipliers'!$A$4:$C$36,3,FALSE),""))</f>
        <v/>
      </c>
      <c r="AJ43" s="497" t="str">
        <f>IF(S43="","",VLOOKUP(S43,'G-3 Multipliers'!$A$2:$E$129,4,FALSE))</f>
        <v/>
      </c>
      <c r="AK43" s="506" t="str">
        <f t="shared" si="8"/>
        <v/>
      </c>
      <c r="AL43" s="506" t="str">
        <f t="shared" si="9"/>
        <v/>
      </c>
      <c r="AM43" s="539" t="str">
        <f>IFERROR(IF(F43="","",IF(AH43="Check Data ⚠","Check Data ⚠",VLOOKUP(AL43, 'G-3 Multipliers'!$P$2:$Q$6,2,FALSE))),"")</f>
        <v/>
      </c>
      <c r="AN43" s="512" t="str">
        <f t="shared" si="10"/>
        <v/>
      </c>
      <c r="AO43" s="238"/>
      <c r="AP43" s="239"/>
    </row>
    <row r="44" spans="1:42" x14ac:dyDescent="0.3">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t="str">
        <f t="shared" si="2"/>
        <v/>
      </c>
      <c r="R44" s="237" t="str">
        <f t="shared" si="11"/>
        <v/>
      </c>
      <c r="S44" s="391" t="str">
        <f>IFERROR(INDEX('G-1 All Habitats'!$B$3:$B$129,MATCH(R44,'G-1 All Habitats'!$A$3:$A$129,0)),"")</f>
        <v/>
      </c>
      <c r="T44" s="497" t="str">
        <f t="shared" si="3"/>
        <v/>
      </c>
      <c r="U44" s="498" t="str">
        <f t="shared" si="4"/>
        <v/>
      </c>
      <c r="V44" s="536" t="str">
        <f t="shared" si="5"/>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1"/>
        <v/>
      </c>
      <c r="AE44" s="82"/>
      <c r="AF44" s="82"/>
      <c r="AG44" s="506" t="str">
        <f t="shared" si="6"/>
        <v/>
      </c>
      <c r="AH44" s="520" t="str">
        <f t="shared" si="7"/>
        <v/>
      </c>
      <c r="AI44" s="521" t="str">
        <f>IF(AH44="Check Data","Check Data",IFERROR(VLOOKUP(AH44,'G-4 Temporal multipliers'!$A$4:$C$36,3,FALSE),""))</f>
        <v/>
      </c>
      <c r="AJ44" s="497" t="str">
        <f>IF(S44="","",VLOOKUP(S44,'G-3 Multipliers'!$A$2:$E$129,4,FALSE))</f>
        <v/>
      </c>
      <c r="AK44" s="506" t="str">
        <f t="shared" si="8"/>
        <v/>
      </c>
      <c r="AL44" s="506" t="str">
        <f t="shared" si="9"/>
        <v/>
      </c>
      <c r="AM44" s="539" t="str">
        <f>IFERROR(IF(F44="","",IF(AH44="Check Data ⚠","Check Data ⚠",VLOOKUP(AL44, 'G-3 Multipliers'!$P$2:$Q$6,2,FALSE))),"")</f>
        <v/>
      </c>
      <c r="AN44" s="512" t="str">
        <f t="shared" si="10"/>
        <v/>
      </c>
      <c r="AO44" s="238"/>
      <c r="AP44" s="239"/>
    </row>
    <row r="45" spans="1:42" x14ac:dyDescent="0.3">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t="str">
        <f t="shared" si="2"/>
        <v/>
      </c>
      <c r="R45" s="237" t="str">
        <f t="shared" si="11"/>
        <v/>
      </c>
      <c r="S45" s="391" t="str">
        <f>IFERROR(INDEX('G-1 All Habitats'!$B$3:$B$129,MATCH(R45,'G-1 All Habitats'!$A$3:$A$129,0)),"")</f>
        <v/>
      </c>
      <c r="T45" s="497" t="str">
        <f t="shared" si="3"/>
        <v/>
      </c>
      <c r="U45" s="498" t="str">
        <f t="shared" si="4"/>
        <v/>
      </c>
      <c r="V45" s="536" t="str">
        <f t="shared" si="5"/>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1"/>
        <v/>
      </c>
      <c r="AE45" s="82"/>
      <c r="AF45" s="82"/>
      <c r="AG45" s="506" t="str">
        <f t="shared" si="6"/>
        <v/>
      </c>
      <c r="AH45" s="520" t="str">
        <f t="shared" si="7"/>
        <v/>
      </c>
      <c r="AI45" s="521" t="str">
        <f>IF(AH45="Check Data","Check Data",IFERROR(VLOOKUP(AH45,'G-4 Temporal multipliers'!$A$4:$C$36,3,FALSE),""))</f>
        <v/>
      </c>
      <c r="AJ45" s="497" t="str">
        <f>IF(S45="","",VLOOKUP(S45,'G-3 Multipliers'!$A$2:$E$129,4,FALSE))</f>
        <v/>
      </c>
      <c r="AK45" s="506" t="str">
        <f t="shared" si="8"/>
        <v/>
      </c>
      <c r="AL45" s="506" t="str">
        <f t="shared" si="9"/>
        <v/>
      </c>
      <c r="AM45" s="539" t="str">
        <f>IFERROR(IF(F45="","",IF(AH45="Check Data ⚠","Check Data ⚠",VLOOKUP(AL45, 'G-3 Multipliers'!$P$2:$Q$6,2,FALSE))),"")</f>
        <v/>
      </c>
      <c r="AN45" s="512" t="str">
        <f t="shared" si="10"/>
        <v/>
      </c>
      <c r="AO45" s="238"/>
      <c r="AP45" s="239"/>
    </row>
    <row r="46" spans="1:42" x14ac:dyDescent="0.3">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t="str">
        <f t="shared" si="2"/>
        <v/>
      </c>
      <c r="R46" s="237" t="str">
        <f t="shared" si="11"/>
        <v/>
      </c>
      <c r="S46" s="391" t="str">
        <f>IFERROR(INDEX('G-1 All Habitats'!$B$3:$B$129,MATCH(R46,'G-1 All Habitats'!$A$3:$A$129,0)),"")</f>
        <v/>
      </c>
      <c r="T46" s="497" t="str">
        <f t="shared" si="3"/>
        <v/>
      </c>
      <c r="U46" s="498" t="str">
        <f t="shared" si="4"/>
        <v/>
      </c>
      <c r="V46" s="536" t="str">
        <f t="shared" si="5"/>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1"/>
        <v/>
      </c>
      <c r="AE46" s="82"/>
      <c r="AF46" s="82"/>
      <c r="AG46" s="506" t="str">
        <f t="shared" si="6"/>
        <v/>
      </c>
      <c r="AH46" s="520" t="str">
        <f t="shared" si="7"/>
        <v/>
      </c>
      <c r="AI46" s="521" t="str">
        <f>IF(AH46="Check Data","Check Data",IFERROR(VLOOKUP(AH46,'G-4 Temporal multipliers'!$A$4:$C$36,3,FALSE),""))</f>
        <v/>
      </c>
      <c r="AJ46" s="497" t="str">
        <f>IF(S46="","",VLOOKUP(S46,'G-3 Multipliers'!$A$2:$E$129,4,FALSE))</f>
        <v/>
      </c>
      <c r="AK46" s="506" t="str">
        <f t="shared" si="8"/>
        <v/>
      </c>
      <c r="AL46" s="506" t="str">
        <f t="shared" si="9"/>
        <v/>
      </c>
      <c r="AM46" s="539" t="str">
        <f>IFERROR(IF(F46="","",IF(AH46="Check Data ⚠","Check Data ⚠",VLOOKUP(AL46, 'G-3 Multipliers'!$P$2:$Q$6,2,FALSE))),"")</f>
        <v/>
      </c>
      <c r="AN46" s="512" t="str">
        <f t="shared" si="10"/>
        <v/>
      </c>
      <c r="AO46" s="238"/>
      <c r="AP46" s="239"/>
    </row>
    <row r="47" spans="1:42" x14ac:dyDescent="0.3">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t="str">
        <f t="shared" si="2"/>
        <v/>
      </c>
      <c r="R47" s="237" t="str">
        <f t="shared" si="11"/>
        <v/>
      </c>
      <c r="S47" s="391" t="str">
        <f>IFERROR(INDEX('G-1 All Habitats'!$B$3:$B$129,MATCH(R47,'G-1 All Habitats'!$A$3:$A$129,0)),"")</f>
        <v/>
      </c>
      <c r="T47" s="497" t="str">
        <f t="shared" si="3"/>
        <v/>
      </c>
      <c r="U47" s="498" t="str">
        <f t="shared" si="4"/>
        <v/>
      </c>
      <c r="V47" s="536" t="str">
        <f t="shared" si="5"/>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1"/>
        <v/>
      </c>
      <c r="AE47" s="82"/>
      <c r="AF47" s="82"/>
      <c r="AG47" s="506" t="str">
        <f t="shared" si="6"/>
        <v/>
      </c>
      <c r="AH47" s="520" t="str">
        <f t="shared" si="7"/>
        <v/>
      </c>
      <c r="AI47" s="521" t="str">
        <f>IF(AH47="Check Data","Check Data",IFERROR(VLOOKUP(AH47,'G-4 Temporal multipliers'!$A$4:$C$36,3,FALSE),""))</f>
        <v/>
      </c>
      <c r="AJ47" s="497" t="str">
        <f>IF(S47="","",VLOOKUP(S47,'G-3 Multipliers'!$A$2:$E$129,4,FALSE))</f>
        <v/>
      </c>
      <c r="AK47" s="506" t="str">
        <f t="shared" si="8"/>
        <v/>
      </c>
      <c r="AL47" s="506" t="str">
        <f t="shared" si="9"/>
        <v/>
      </c>
      <c r="AM47" s="539" t="str">
        <f>IFERROR(IF(F47="","",IF(AH47="Check Data ⚠","Check Data ⚠",VLOOKUP(AL47, 'G-3 Multipliers'!$P$2:$Q$6,2,FALSE))),"")</f>
        <v/>
      </c>
      <c r="AN47" s="512" t="str">
        <f t="shared" si="10"/>
        <v/>
      </c>
      <c r="AO47" s="238"/>
      <c r="AP47" s="239"/>
    </row>
    <row r="48" spans="1:42" x14ac:dyDescent="0.3">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t="str">
        <f t="shared" si="2"/>
        <v/>
      </c>
      <c r="R48" s="237" t="str">
        <f t="shared" si="11"/>
        <v/>
      </c>
      <c r="S48" s="391" t="str">
        <f>IFERROR(INDEX('G-1 All Habitats'!$B$3:$B$129,MATCH(R48,'G-1 All Habitats'!$A$3:$A$129,0)),"")</f>
        <v/>
      </c>
      <c r="T48" s="497" t="str">
        <f t="shared" si="3"/>
        <v/>
      </c>
      <c r="U48" s="498" t="str">
        <f t="shared" si="4"/>
        <v/>
      </c>
      <c r="V48" s="536" t="str">
        <f t="shared" si="5"/>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1"/>
        <v/>
      </c>
      <c r="AE48" s="82"/>
      <c r="AF48" s="82"/>
      <c r="AG48" s="506" t="str">
        <f t="shared" si="6"/>
        <v/>
      </c>
      <c r="AH48" s="520" t="str">
        <f t="shared" si="7"/>
        <v/>
      </c>
      <c r="AI48" s="521" t="str">
        <f>IF(AH48="Check Data","Check Data",IFERROR(VLOOKUP(AH48,'G-4 Temporal multipliers'!$A$4:$C$36,3,FALSE),""))</f>
        <v/>
      </c>
      <c r="AJ48" s="497" t="str">
        <f>IF(S48="","",VLOOKUP(S48,'G-3 Multipliers'!$A$2:$E$129,4,FALSE))</f>
        <v/>
      </c>
      <c r="AK48" s="506" t="str">
        <f t="shared" si="8"/>
        <v/>
      </c>
      <c r="AL48" s="506" t="str">
        <f t="shared" si="9"/>
        <v/>
      </c>
      <c r="AM48" s="539" t="str">
        <f>IFERROR(IF(F48="","",IF(AH48="Check Data ⚠","Check Data ⚠",VLOOKUP(AL48, 'G-3 Multipliers'!$P$2:$Q$6,2,FALSE))),"")</f>
        <v/>
      </c>
      <c r="AN48" s="512" t="str">
        <f t="shared" si="10"/>
        <v/>
      </c>
      <c r="AO48" s="238"/>
      <c r="AP48" s="239"/>
    </row>
    <row r="49" spans="1:42" x14ac:dyDescent="0.3">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t="str">
        <f t="shared" si="2"/>
        <v/>
      </c>
      <c r="R49" s="237" t="str">
        <f t="shared" si="11"/>
        <v/>
      </c>
      <c r="S49" s="391" t="str">
        <f>IFERROR(INDEX('G-1 All Habitats'!$B$3:$B$129,MATCH(R49,'G-1 All Habitats'!$A$3:$A$129,0)),"")</f>
        <v/>
      </c>
      <c r="T49" s="497" t="str">
        <f t="shared" si="3"/>
        <v/>
      </c>
      <c r="U49" s="498" t="str">
        <f t="shared" si="4"/>
        <v/>
      </c>
      <c r="V49" s="536" t="str">
        <f t="shared" si="5"/>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1"/>
        <v/>
      </c>
      <c r="AE49" s="82"/>
      <c r="AF49" s="82"/>
      <c r="AG49" s="506" t="str">
        <f t="shared" si="6"/>
        <v/>
      </c>
      <c r="AH49" s="520" t="str">
        <f t="shared" si="7"/>
        <v/>
      </c>
      <c r="AI49" s="521" t="str">
        <f>IF(AH49="Check Data","Check Data",IFERROR(VLOOKUP(AH49,'G-4 Temporal multipliers'!$A$4:$C$36,3,FALSE),""))</f>
        <v/>
      </c>
      <c r="AJ49" s="497" t="str">
        <f>IF(S49="","",VLOOKUP(S49,'G-3 Multipliers'!$A$2:$E$129,4,FALSE))</f>
        <v/>
      </c>
      <c r="AK49" s="506" t="str">
        <f t="shared" si="8"/>
        <v/>
      </c>
      <c r="AL49" s="506" t="str">
        <f t="shared" si="9"/>
        <v/>
      </c>
      <c r="AM49" s="539" t="str">
        <f>IFERROR(IF(F49="","",IF(AH49="Check Data ⚠","Check Data ⚠",VLOOKUP(AL49, 'G-3 Multipliers'!$P$2:$Q$6,2,FALSE))),"")</f>
        <v/>
      </c>
      <c r="AN49" s="512" t="str">
        <f t="shared" si="10"/>
        <v/>
      </c>
      <c r="AO49" s="238"/>
      <c r="AP49" s="239"/>
    </row>
    <row r="50" spans="1:42" x14ac:dyDescent="0.3">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t="str">
        <f t="shared" si="2"/>
        <v/>
      </c>
      <c r="R50" s="237" t="str">
        <f t="shared" si="11"/>
        <v/>
      </c>
      <c r="S50" s="391" t="str">
        <f>IFERROR(INDEX('G-1 All Habitats'!$B$3:$B$129,MATCH(R50,'G-1 All Habitats'!$A$3:$A$129,0)),"")</f>
        <v/>
      </c>
      <c r="T50" s="497" t="str">
        <f t="shared" si="3"/>
        <v/>
      </c>
      <c r="U50" s="498" t="str">
        <f t="shared" si="4"/>
        <v/>
      </c>
      <c r="V50" s="536" t="str">
        <f t="shared" si="5"/>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1"/>
        <v/>
      </c>
      <c r="AE50" s="82"/>
      <c r="AF50" s="82"/>
      <c r="AG50" s="506" t="str">
        <f t="shared" si="6"/>
        <v/>
      </c>
      <c r="AH50" s="520" t="str">
        <f t="shared" si="7"/>
        <v/>
      </c>
      <c r="AI50" s="521" t="str">
        <f>IF(AH50="Check Data","Check Data",IFERROR(VLOOKUP(AH50,'G-4 Temporal multipliers'!$A$4:$C$36,3,FALSE),""))</f>
        <v/>
      </c>
      <c r="AJ50" s="497" t="str">
        <f>IF(S50="","",VLOOKUP(S50,'G-3 Multipliers'!$A$2:$E$129,4,FALSE))</f>
        <v/>
      </c>
      <c r="AK50" s="506" t="str">
        <f t="shared" si="8"/>
        <v/>
      </c>
      <c r="AL50" s="506" t="str">
        <f t="shared" si="9"/>
        <v/>
      </c>
      <c r="AM50" s="539" t="str">
        <f>IFERROR(IF(F50="","",IF(AH50="Check Data ⚠","Check Data ⚠",VLOOKUP(AL50, 'G-3 Multipliers'!$P$2:$Q$6,2,FALSE))),"")</f>
        <v/>
      </c>
      <c r="AN50" s="512" t="str">
        <f t="shared" si="10"/>
        <v/>
      </c>
      <c r="AO50" s="238"/>
      <c r="AP50" s="239"/>
    </row>
    <row r="51" spans="1:42" x14ac:dyDescent="0.3">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t="str">
        <f t="shared" si="2"/>
        <v/>
      </c>
      <c r="R51" s="237" t="str">
        <f t="shared" si="11"/>
        <v/>
      </c>
      <c r="S51" s="391" t="str">
        <f>IFERROR(INDEX('G-1 All Habitats'!$B$3:$B$129,MATCH(R51,'G-1 All Habitats'!$A$3:$A$129,0)),"")</f>
        <v/>
      </c>
      <c r="T51" s="497" t="str">
        <f t="shared" si="3"/>
        <v/>
      </c>
      <c r="U51" s="498" t="str">
        <f t="shared" si="4"/>
        <v/>
      </c>
      <c r="V51" s="536" t="str">
        <f t="shared" si="5"/>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1"/>
        <v/>
      </c>
      <c r="AE51" s="82"/>
      <c r="AF51" s="82"/>
      <c r="AG51" s="506" t="str">
        <f t="shared" si="6"/>
        <v/>
      </c>
      <c r="AH51" s="520" t="str">
        <f t="shared" si="7"/>
        <v/>
      </c>
      <c r="AI51" s="521" t="str">
        <f>IF(AH51="Check Data","Check Data",IFERROR(VLOOKUP(AH51,'G-4 Temporal multipliers'!$A$4:$C$36,3,FALSE),""))</f>
        <v/>
      </c>
      <c r="AJ51" s="497" t="str">
        <f>IF(S51="","",VLOOKUP(S51,'G-3 Multipliers'!$A$2:$E$129,4,FALSE))</f>
        <v/>
      </c>
      <c r="AK51" s="506" t="str">
        <f t="shared" si="8"/>
        <v/>
      </c>
      <c r="AL51" s="506" t="str">
        <f t="shared" si="9"/>
        <v/>
      </c>
      <c r="AM51" s="539" t="str">
        <f>IFERROR(IF(F51="","",IF(AH51="Check Data ⚠","Check Data ⚠",VLOOKUP(AL51, 'G-3 Multipliers'!$P$2:$Q$6,2,FALSE))),"")</f>
        <v/>
      </c>
      <c r="AN51" s="512" t="str">
        <f t="shared" si="10"/>
        <v/>
      </c>
      <c r="AO51" s="238"/>
      <c r="AP51" s="239"/>
    </row>
    <row r="52" spans="1:42" x14ac:dyDescent="0.3">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t="str">
        <f t="shared" si="2"/>
        <v/>
      </c>
      <c r="R52" s="237" t="str">
        <f t="shared" si="11"/>
        <v/>
      </c>
      <c r="S52" s="391" t="str">
        <f>IFERROR(INDEX('G-1 All Habitats'!$B$3:$B$129,MATCH(R52,'G-1 All Habitats'!$A$3:$A$129,0)),"")</f>
        <v/>
      </c>
      <c r="T52" s="497" t="str">
        <f t="shared" si="3"/>
        <v/>
      </c>
      <c r="U52" s="498" t="str">
        <f t="shared" si="4"/>
        <v/>
      </c>
      <c r="V52" s="536" t="str">
        <f t="shared" si="5"/>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1"/>
        <v/>
      </c>
      <c r="AE52" s="82"/>
      <c r="AF52" s="82"/>
      <c r="AG52" s="506" t="str">
        <f t="shared" si="6"/>
        <v/>
      </c>
      <c r="AH52" s="520" t="str">
        <f t="shared" si="7"/>
        <v/>
      </c>
      <c r="AI52" s="521" t="str">
        <f>IF(AH52="Check Data","Check Data",IFERROR(VLOOKUP(AH52,'G-4 Temporal multipliers'!$A$4:$C$36,3,FALSE),""))</f>
        <v/>
      </c>
      <c r="AJ52" s="497" t="str">
        <f>IF(S52="","",VLOOKUP(S52,'G-3 Multipliers'!$A$2:$E$129,4,FALSE))</f>
        <v/>
      </c>
      <c r="AK52" s="506" t="str">
        <f t="shared" si="8"/>
        <v/>
      </c>
      <c r="AL52" s="506" t="str">
        <f t="shared" si="9"/>
        <v/>
      </c>
      <c r="AM52" s="539" t="str">
        <f>IFERROR(IF(F52="","",IF(AH52="Check Data ⚠","Check Data ⚠",VLOOKUP(AL52, 'G-3 Multipliers'!$P$2:$Q$6,2,FALSE))),"")</f>
        <v/>
      </c>
      <c r="AN52" s="512" t="str">
        <f t="shared" si="10"/>
        <v/>
      </c>
      <c r="AO52" s="238"/>
      <c r="AP52" s="239"/>
    </row>
    <row r="53" spans="1:42" x14ac:dyDescent="0.3">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t="str">
        <f t="shared" si="2"/>
        <v/>
      </c>
      <c r="R53" s="237" t="str">
        <f t="shared" si="11"/>
        <v/>
      </c>
      <c r="S53" s="391" t="str">
        <f>IFERROR(INDEX('G-1 All Habitats'!$B$3:$B$129,MATCH(R53,'G-1 All Habitats'!$A$3:$A$129,0)),"")</f>
        <v/>
      </c>
      <c r="T53" s="497" t="str">
        <f t="shared" si="3"/>
        <v/>
      </c>
      <c r="U53" s="498" t="str">
        <f t="shared" si="4"/>
        <v/>
      </c>
      <c r="V53" s="536" t="str">
        <f t="shared" si="5"/>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1"/>
        <v/>
      </c>
      <c r="AE53" s="82"/>
      <c r="AF53" s="82"/>
      <c r="AG53" s="506" t="str">
        <f t="shared" si="6"/>
        <v/>
      </c>
      <c r="AH53" s="520" t="str">
        <f t="shared" si="7"/>
        <v/>
      </c>
      <c r="AI53" s="521" t="str">
        <f>IF(AH53="Check Data","Check Data",IFERROR(VLOOKUP(AH53,'G-4 Temporal multipliers'!$A$4:$C$36,3,FALSE),""))</f>
        <v/>
      </c>
      <c r="AJ53" s="497" t="str">
        <f>IF(S53="","",VLOOKUP(S53,'G-3 Multipliers'!$A$2:$E$129,4,FALSE))</f>
        <v/>
      </c>
      <c r="AK53" s="506" t="str">
        <f t="shared" si="8"/>
        <v/>
      </c>
      <c r="AL53" s="506" t="str">
        <f t="shared" si="9"/>
        <v/>
      </c>
      <c r="AM53" s="539" t="str">
        <f>IFERROR(IF(F53="","",IF(AH53="Check Data ⚠","Check Data ⚠",VLOOKUP(AL53, 'G-3 Multipliers'!$P$2:$Q$6,2,FALSE))),"")</f>
        <v/>
      </c>
      <c r="AN53" s="512" t="str">
        <f t="shared" si="10"/>
        <v/>
      </c>
      <c r="AO53" s="238"/>
      <c r="AP53" s="239"/>
    </row>
    <row r="54" spans="1:42" x14ac:dyDescent="0.3">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t="str">
        <f t="shared" si="2"/>
        <v/>
      </c>
      <c r="R54" s="237" t="str">
        <f t="shared" si="11"/>
        <v/>
      </c>
      <c r="S54" s="391" t="str">
        <f>IFERROR(INDEX('G-1 All Habitats'!$B$3:$B$129,MATCH(R54,'G-1 All Habitats'!$A$3:$A$129,0)),"")</f>
        <v/>
      </c>
      <c r="T54" s="497" t="str">
        <f t="shared" si="3"/>
        <v/>
      </c>
      <c r="U54" s="498" t="str">
        <f t="shared" si="4"/>
        <v/>
      </c>
      <c r="V54" s="536" t="str">
        <f t="shared" si="5"/>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1"/>
        <v/>
      </c>
      <c r="AE54" s="82"/>
      <c r="AF54" s="82"/>
      <c r="AG54" s="506" t="str">
        <f t="shared" si="6"/>
        <v/>
      </c>
      <c r="AH54" s="520" t="str">
        <f t="shared" si="7"/>
        <v/>
      </c>
      <c r="AI54" s="521" t="str">
        <f>IF(AH54="Check Data","Check Data",IFERROR(VLOOKUP(AH54,'G-4 Temporal multipliers'!$A$4:$C$36,3,FALSE),""))</f>
        <v/>
      </c>
      <c r="AJ54" s="497" t="str">
        <f>IF(S54="","",VLOOKUP(S54,'G-3 Multipliers'!$A$2:$E$129,4,FALSE))</f>
        <v/>
      </c>
      <c r="AK54" s="506" t="str">
        <f t="shared" si="8"/>
        <v/>
      </c>
      <c r="AL54" s="506" t="str">
        <f t="shared" si="9"/>
        <v/>
      </c>
      <c r="AM54" s="539" t="str">
        <f>IFERROR(IF(F54="","",IF(AH54="Check Data ⚠","Check Data ⚠",VLOOKUP(AL54, 'G-3 Multipliers'!$P$2:$Q$6,2,FALSE))),"")</f>
        <v/>
      </c>
      <c r="AN54" s="512" t="str">
        <f t="shared" si="10"/>
        <v/>
      </c>
      <c r="AO54" s="238"/>
      <c r="AP54" s="239"/>
    </row>
    <row r="55" spans="1:42" x14ac:dyDescent="0.3">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t="str">
        <f t="shared" si="2"/>
        <v/>
      </c>
      <c r="R55" s="237" t="str">
        <f t="shared" si="11"/>
        <v/>
      </c>
      <c r="S55" s="391" t="str">
        <f>IFERROR(INDEX('G-1 All Habitats'!$B$3:$B$129,MATCH(R55,'G-1 All Habitats'!$A$3:$A$129,0)),"")</f>
        <v/>
      </c>
      <c r="T55" s="497" t="str">
        <f t="shared" si="3"/>
        <v/>
      </c>
      <c r="U55" s="498" t="str">
        <f t="shared" si="4"/>
        <v/>
      </c>
      <c r="V55" s="536" t="str">
        <f t="shared" si="5"/>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1"/>
        <v/>
      </c>
      <c r="AE55" s="82"/>
      <c r="AF55" s="82"/>
      <c r="AG55" s="506" t="str">
        <f t="shared" si="6"/>
        <v/>
      </c>
      <c r="AH55" s="520" t="str">
        <f t="shared" si="7"/>
        <v/>
      </c>
      <c r="AI55" s="521" t="str">
        <f>IF(AH55="Check Data","Check Data",IFERROR(VLOOKUP(AH55,'G-4 Temporal multipliers'!$A$4:$C$36,3,FALSE),""))</f>
        <v/>
      </c>
      <c r="AJ55" s="497" t="str">
        <f>IF(S55="","",VLOOKUP(S55,'G-3 Multipliers'!$A$2:$E$129,4,FALSE))</f>
        <v/>
      </c>
      <c r="AK55" s="506" t="str">
        <f t="shared" si="8"/>
        <v/>
      </c>
      <c r="AL55" s="506" t="str">
        <f t="shared" si="9"/>
        <v/>
      </c>
      <c r="AM55" s="539" t="str">
        <f>IFERROR(IF(F55="","",IF(AH55="Check Data ⚠","Check Data ⚠",VLOOKUP(AL55, 'G-3 Multipliers'!$P$2:$Q$6,2,FALSE))),"")</f>
        <v/>
      </c>
      <c r="AN55" s="512" t="str">
        <f t="shared" si="10"/>
        <v/>
      </c>
      <c r="AO55" s="238"/>
      <c r="AP55" s="239"/>
    </row>
    <row r="56" spans="1:42" x14ac:dyDescent="0.3">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t="str">
        <f t="shared" si="2"/>
        <v/>
      </c>
      <c r="R56" s="237" t="str">
        <f t="shared" si="11"/>
        <v/>
      </c>
      <c r="S56" s="391" t="str">
        <f>IFERROR(INDEX('G-1 All Habitats'!$B$3:$B$129,MATCH(R56,'G-1 All Habitats'!$A$3:$A$129,0)),"")</f>
        <v/>
      </c>
      <c r="T56" s="497" t="str">
        <f t="shared" si="3"/>
        <v/>
      </c>
      <c r="U56" s="498" t="str">
        <f t="shared" si="4"/>
        <v/>
      </c>
      <c r="V56" s="536" t="str">
        <f t="shared" si="5"/>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1"/>
        <v/>
      </c>
      <c r="AE56" s="82"/>
      <c r="AF56" s="82"/>
      <c r="AG56" s="506" t="str">
        <f t="shared" si="6"/>
        <v/>
      </c>
      <c r="AH56" s="520" t="str">
        <f t="shared" si="7"/>
        <v/>
      </c>
      <c r="AI56" s="521" t="str">
        <f>IF(AH56="Check Data","Check Data",IFERROR(VLOOKUP(AH56,'G-4 Temporal multipliers'!$A$4:$C$36,3,FALSE),""))</f>
        <v/>
      </c>
      <c r="AJ56" s="497" t="str">
        <f>IF(S56="","",VLOOKUP(S56,'G-3 Multipliers'!$A$2:$E$129,4,FALSE))</f>
        <v/>
      </c>
      <c r="AK56" s="506" t="str">
        <f t="shared" si="8"/>
        <v/>
      </c>
      <c r="AL56" s="506" t="str">
        <f t="shared" si="9"/>
        <v/>
      </c>
      <c r="AM56" s="539" t="str">
        <f>IFERROR(IF(F56="","",IF(AH56="Check Data ⚠","Check Data ⚠",VLOOKUP(AL56, 'G-3 Multipliers'!$P$2:$Q$6,2,FALSE))),"")</f>
        <v/>
      </c>
      <c r="AN56" s="512" t="str">
        <f t="shared" si="10"/>
        <v/>
      </c>
      <c r="AO56" s="238"/>
      <c r="AP56" s="239"/>
    </row>
    <row r="57" spans="1:42" x14ac:dyDescent="0.3">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t="str">
        <f t="shared" si="2"/>
        <v/>
      </c>
      <c r="R57" s="237" t="str">
        <f t="shared" si="11"/>
        <v/>
      </c>
      <c r="S57" s="391" t="str">
        <f>IFERROR(INDEX('G-1 All Habitats'!$B$3:$B$129,MATCH(R57,'G-1 All Habitats'!$A$3:$A$129,0)),"")</f>
        <v/>
      </c>
      <c r="T57" s="497" t="str">
        <f t="shared" si="3"/>
        <v/>
      </c>
      <c r="U57" s="498" t="str">
        <f t="shared" si="4"/>
        <v/>
      </c>
      <c r="V57" s="536" t="str">
        <f t="shared" si="5"/>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1"/>
        <v/>
      </c>
      <c r="AE57" s="82"/>
      <c r="AF57" s="82"/>
      <c r="AG57" s="506" t="str">
        <f t="shared" si="6"/>
        <v/>
      </c>
      <c r="AH57" s="520" t="str">
        <f t="shared" si="7"/>
        <v/>
      </c>
      <c r="AI57" s="521" t="str">
        <f>IF(AH57="Check Data","Check Data",IFERROR(VLOOKUP(AH57,'G-4 Temporal multipliers'!$A$4:$C$36,3,FALSE),""))</f>
        <v/>
      </c>
      <c r="AJ57" s="497" t="str">
        <f>IF(S57="","",VLOOKUP(S57,'G-3 Multipliers'!$A$2:$E$129,4,FALSE))</f>
        <v/>
      </c>
      <c r="AK57" s="506" t="str">
        <f t="shared" si="8"/>
        <v/>
      </c>
      <c r="AL57" s="506" t="str">
        <f t="shared" si="9"/>
        <v/>
      </c>
      <c r="AM57" s="539" t="str">
        <f>IFERROR(IF(F57="","",IF(AH57="Check Data ⚠","Check Data ⚠",VLOOKUP(AL57, 'G-3 Multipliers'!$P$2:$Q$6,2,FALSE))),"")</f>
        <v/>
      </c>
      <c r="AN57" s="512" t="str">
        <f t="shared" si="10"/>
        <v/>
      </c>
      <c r="AO57" s="238"/>
      <c r="AP57" s="239"/>
    </row>
    <row r="58" spans="1:42" x14ac:dyDescent="0.3">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t="str">
        <f t="shared" si="2"/>
        <v/>
      </c>
      <c r="R58" s="237" t="str">
        <f t="shared" si="11"/>
        <v/>
      </c>
      <c r="S58" s="391" t="str">
        <f>IFERROR(INDEX('G-1 All Habitats'!$B$3:$B$129,MATCH(R58,'G-1 All Habitats'!$A$3:$A$129,0)),"")</f>
        <v/>
      </c>
      <c r="T58" s="497" t="str">
        <f t="shared" si="3"/>
        <v/>
      </c>
      <c r="U58" s="498" t="str">
        <f t="shared" si="4"/>
        <v/>
      </c>
      <c r="V58" s="536" t="str">
        <f t="shared" si="5"/>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1"/>
        <v/>
      </c>
      <c r="AE58" s="82"/>
      <c r="AF58" s="82"/>
      <c r="AG58" s="506" t="str">
        <f t="shared" si="6"/>
        <v/>
      </c>
      <c r="AH58" s="520" t="str">
        <f t="shared" si="7"/>
        <v/>
      </c>
      <c r="AI58" s="521" t="str">
        <f>IF(AH58="Check Data","Check Data",IFERROR(VLOOKUP(AH58,'G-4 Temporal multipliers'!$A$4:$C$36,3,FALSE),""))</f>
        <v/>
      </c>
      <c r="AJ58" s="497" t="str">
        <f>IF(S58="","",VLOOKUP(S58,'G-3 Multipliers'!$A$2:$E$129,4,FALSE))</f>
        <v/>
      </c>
      <c r="AK58" s="506" t="str">
        <f t="shared" si="8"/>
        <v/>
      </c>
      <c r="AL58" s="506" t="str">
        <f t="shared" si="9"/>
        <v/>
      </c>
      <c r="AM58" s="539" t="str">
        <f>IFERROR(IF(F58="","",IF(AH58="Check Data ⚠","Check Data ⚠",VLOOKUP(AL58, 'G-3 Multipliers'!$P$2:$Q$6,2,FALSE))),"")</f>
        <v/>
      </c>
      <c r="AN58" s="512" t="str">
        <f t="shared" si="10"/>
        <v/>
      </c>
      <c r="AO58" s="238"/>
      <c r="AP58" s="239"/>
    </row>
    <row r="59" spans="1:42" x14ac:dyDescent="0.3">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t="str">
        <f t="shared" si="2"/>
        <v/>
      </c>
      <c r="R59" s="237" t="str">
        <f t="shared" si="11"/>
        <v/>
      </c>
      <c r="S59" s="391" t="str">
        <f>IFERROR(INDEX('G-1 All Habitats'!$B$3:$B$129,MATCH(R59,'G-1 All Habitats'!$A$3:$A$129,0)),"")</f>
        <v/>
      </c>
      <c r="T59" s="497" t="str">
        <f t="shared" si="3"/>
        <v/>
      </c>
      <c r="U59" s="498" t="str">
        <f t="shared" si="4"/>
        <v/>
      </c>
      <c r="V59" s="536" t="str">
        <f t="shared" si="5"/>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1"/>
        <v/>
      </c>
      <c r="AE59" s="82"/>
      <c r="AF59" s="82"/>
      <c r="AG59" s="506" t="str">
        <f t="shared" si="6"/>
        <v/>
      </c>
      <c r="AH59" s="520" t="str">
        <f t="shared" si="7"/>
        <v/>
      </c>
      <c r="AI59" s="521" t="str">
        <f>IF(AH59="Check Data","Check Data",IFERROR(VLOOKUP(AH59,'G-4 Temporal multipliers'!$A$4:$C$36,3,FALSE),""))</f>
        <v/>
      </c>
      <c r="AJ59" s="497" t="str">
        <f>IF(S59="","",VLOOKUP(S59,'G-3 Multipliers'!$A$2:$E$129,4,FALSE))</f>
        <v/>
      </c>
      <c r="AK59" s="506" t="str">
        <f t="shared" si="8"/>
        <v/>
      </c>
      <c r="AL59" s="506" t="str">
        <f t="shared" si="9"/>
        <v/>
      </c>
      <c r="AM59" s="539" t="str">
        <f>IFERROR(IF(F59="","",IF(AH59="Check Data ⚠","Check Data ⚠",VLOOKUP(AL59, 'G-3 Multipliers'!$P$2:$Q$6,2,FALSE))),"")</f>
        <v/>
      </c>
      <c r="AN59" s="512" t="str">
        <f t="shared" si="10"/>
        <v/>
      </c>
      <c r="AO59" s="238"/>
      <c r="AP59" s="239"/>
    </row>
    <row r="60" spans="1:42" x14ac:dyDescent="0.3">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t="str">
        <f t="shared" si="2"/>
        <v/>
      </c>
      <c r="R60" s="237" t="str">
        <f t="shared" si="11"/>
        <v/>
      </c>
      <c r="S60" s="391" t="str">
        <f>IFERROR(INDEX('G-1 All Habitats'!$B$3:$B$129,MATCH(R60,'G-1 All Habitats'!$A$3:$A$129,0)),"")</f>
        <v/>
      </c>
      <c r="T60" s="497" t="str">
        <f t="shared" si="3"/>
        <v/>
      </c>
      <c r="U60" s="498" t="str">
        <f t="shared" si="4"/>
        <v/>
      </c>
      <c r="V60" s="536" t="str">
        <f t="shared" si="5"/>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1"/>
        <v/>
      </c>
      <c r="AE60" s="82"/>
      <c r="AF60" s="82"/>
      <c r="AG60" s="506" t="str">
        <f t="shared" si="6"/>
        <v/>
      </c>
      <c r="AH60" s="520" t="str">
        <f t="shared" si="7"/>
        <v/>
      </c>
      <c r="AI60" s="521" t="str">
        <f>IF(AH60="Check Data","Check Data",IFERROR(VLOOKUP(AH60,'G-4 Temporal multipliers'!$A$4:$C$36,3,FALSE),""))</f>
        <v/>
      </c>
      <c r="AJ60" s="497" t="str">
        <f>IF(S60="","",VLOOKUP(S60,'G-3 Multipliers'!$A$2:$E$129,4,FALSE))</f>
        <v/>
      </c>
      <c r="AK60" s="506" t="str">
        <f t="shared" si="8"/>
        <v/>
      </c>
      <c r="AL60" s="506" t="str">
        <f t="shared" si="9"/>
        <v/>
      </c>
      <c r="AM60" s="539" t="str">
        <f>IFERROR(IF(F60="","",IF(AH60="Check Data ⚠","Check Data ⚠",VLOOKUP(AL60, 'G-3 Multipliers'!$P$2:$Q$6,2,FALSE))),"")</f>
        <v/>
      </c>
      <c r="AN60" s="512" t="str">
        <f t="shared" si="10"/>
        <v/>
      </c>
      <c r="AO60" s="238"/>
      <c r="AP60" s="239"/>
    </row>
    <row r="61" spans="1:42" x14ac:dyDescent="0.3">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t="str">
        <f t="shared" si="2"/>
        <v/>
      </c>
      <c r="R61" s="237" t="str">
        <f t="shared" si="11"/>
        <v/>
      </c>
      <c r="S61" s="391" t="str">
        <f>IFERROR(INDEX('G-1 All Habitats'!$B$3:$B$129,MATCH(R61,'G-1 All Habitats'!$A$3:$A$129,0)),"")</f>
        <v/>
      </c>
      <c r="T61" s="497" t="str">
        <f t="shared" si="3"/>
        <v/>
      </c>
      <c r="U61" s="498" t="str">
        <f t="shared" si="4"/>
        <v/>
      </c>
      <c r="V61" s="536" t="str">
        <f t="shared" si="5"/>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1"/>
        <v/>
      </c>
      <c r="AE61" s="82"/>
      <c r="AF61" s="82"/>
      <c r="AG61" s="506" t="str">
        <f t="shared" si="6"/>
        <v/>
      </c>
      <c r="AH61" s="520" t="str">
        <f t="shared" si="7"/>
        <v/>
      </c>
      <c r="AI61" s="521" t="str">
        <f>IF(AH61="Check Data","Check Data",IFERROR(VLOOKUP(AH61,'G-4 Temporal multipliers'!$A$4:$C$36,3,FALSE),""))</f>
        <v/>
      </c>
      <c r="AJ61" s="497" t="str">
        <f>IF(S61="","",VLOOKUP(S61,'G-3 Multipliers'!$A$2:$E$129,4,FALSE))</f>
        <v/>
      </c>
      <c r="AK61" s="506" t="str">
        <f t="shared" si="8"/>
        <v/>
      </c>
      <c r="AL61" s="506" t="str">
        <f t="shared" si="9"/>
        <v/>
      </c>
      <c r="AM61" s="539" t="str">
        <f>IFERROR(IF(F61="","",IF(AH61="Check Data ⚠","Check Data ⚠",VLOOKUP(AL61, 'G-3 Multipliers'!$P$2:$Q$6,2,FALSE))),"")</f>
        <v/>
      </c>
      <c r="AN61" s="512" t="str">
        <f t="shared" si="10"/>
        <v/>
      </c>
      <c r="AO61" s="238"/>
      <c r="AP61" s="239"/>
    </row>
    <row r="62" spans="1:42" x14ac:dyDescent="0.3">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t="str">
        <f t="shared" si="2"/>
        <v/>
      </c>
      <c r="R62" s="237" t="str">
        <f t="shared" si="11"/>
        <v/>
      </c>
      <c r="S62" s="391" t="str">
        <f>IFERROR(INDEX('G-1 All Habitats'!$B$3:$B$129,MATCH(R62,'G-1 All Habitats'!$A$3:$A$129,0)),"")</f>
        <v/>
      </c>
      <c r="T62" s="497" t="str">
        <f t="shared" si="3"/>
        <v/>
      </c>
      <c r="U62" s="498" t="str">
        <f t="shared" si="4"/>
        <v/>
      </c>
      <c r="V62" s="536" t="str">
        <f t="shared" si="5"/>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1"/>
        <v/>
      </c>
      <c r="AE62" s="82"/>
      <c r="AF62" s="82"/>
      <c r="AG62" s="506" t="str">
        <f t="shared" si="6"/>
        <v/>
      </c>
      <c r="AH62" s="520" t="str">
        <f t="shared" si="7"/>
        <v/>
      </c>
      <c r="AI62" s="521" t="str">
        <f>IF(AH62="Check Data","Check Data",IFERROR(VLOOKUP(AH62,'G-4 Temporal multipliers'!$A$4:$C$36,3,FALSE),""))</f>
        <v/>
      </c>
      <c r="AJ62" s="497" t="str">
        <f>IF(S62="","",VLOOKUP(S62,'G-3 Multipliers'!$A$2:$E$129,4,FALSE))</f>
        <v/>
      </c>
      <c r="AK62" s="506" t="str">
        <f t="shared" si="8"/>
        <v/>
      </c>
      <c r="AL62" s="506" t="str">
        <f t="shared" si="9"/>
        <v/>
      </c>
      <c r="AM62" s="539" t="str">
        <f>IFERROR(IF(F62="","",IF(AH62="Check Data ⚠","Check Data ⚠",VLOOKUP(AL62, 'G-3 Multipliers'!$P$2:$Q$6,2,FALSE))),"")</f>
        <v/>
      </c>
      <c r="AN62" s="512" t="str">
        <f t="shared" si="10"/>
        <v/>
      </c>
      <c r="AO62" s="238"/>
      <c r="AP62" s="239"/>
    </row>
    <row r="63" spans="1:42" x14ac:dyDescent="0.3">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t="str">
        <f t="shared" si="2"/>
        <v/>
      </c>
      <c r="R63" s="237" t="str">
        <f t="shared" si="11"/>
        <v/>
      </c>
      <c r="S63" s="391" t="str">
        <f>IFERROR(INDEX('G-1 All Habitats'!$B$3:$B$129,MATCH(R63,'G-1 All Habitats'!$A$3:$A$129,0)),"")</f>
        <v/>
      </c>
      <c r="T63" s="497" t="str">
        <f t="shared" si="3"/>
        <v/>
      </c>
      <c r="U63" s="498" t="str">
        <f t="shared" si="4"/>
        <v/>
      </c>
      <c r="V63" s="536" t="str">
        <f t="shared" si="5"/>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1"/>
        <v/>
      </c>
      <c r="AE63" s="82"/>
      <c r="AF63" s="82"/>
      <c r="AG63" s="506" t="str">
        <f t="shared" si="6"/>
        <v/>
      </c>
      <c r="AH63" s="520" t="str">
        <f t="shared" si="7"/>
        <v/>
      </c>
      <c r="AI63" s="521" t="str">
        <f>IF(AH63="Check Data","Check Data",IFERROR(VLOOKUP(AH63,'G-4 Temporal multipliers'!$A$4:$C$36,3,FALSE),""))</f>
        <v/>
      </c>
      <c r="AJ63" s="497" t="str">
        <f>IF(S63="","",VLOOKUP(S63,'G-3 Multipliers'!$A$2:$E$129,4,FALSE))</f>
        <v/>
      </c>
      <c r="AK63" s="506" t="str">
        <f t="shared" si="8"/>
        <v/>
      </c>
      <c r="AL63" s="506" t="str">
        <f t="shared" si="9"/>
        <v/>
      </c>
      <c r="AM63" s="539" t="str">
        <f>IFERROR(IF(F63="","",IF(AH63="Check Data ⚠","Check Data ⚠",VLOOKUP(AL63, 'G-3 Multipliers'!$P$2:$Q$6,2,FALSE))),"")</f>
        <v/>
      </c>
      <c r="AN63" s="512" t="str">
        <f t="shared" si="10"/>
        <v/>
      </c>
      <c r="AO63" s="238"/>
      <c r="AP63" s="239"/>
    </row>
    <row r="64" spans="1:42" x14ac:dyDescent="0.3">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t="str">
        <f t="shared" si="2"/>
        <v/>
      </c>
      <c r="R64" s="237" t="str">
        <f t="shared" si="11"/>
        <v/>
      </c>
      <c r="S64" s="391" t="str">
        <f>IFERROR(INDEX('G-1 All Habitats'!$B$3:$B$129,MATCH(R64,'G-1 All Habitats'!$A$3:$A$129,0)),"")</f>
        <v/>
      </c>
      <c r="T64" s="497" t="str">
        <f t="shared" si="3"/>
        <v/>
      </c>
      <c r="U64" s="498" t="str">
        <f t="shared" si="4"/>
        <v/>
      </c>
      <c r="V64" s="536" t="str">
        <f t="shared" si="5"/>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1"/>
        <v/>
      </c>
      <c r="AE64" s="82"/>
      <c r="AF64" s="82"/>
      <c r="AG64" s="506" t="str">
        <f t="shared" si="6"/>
        <v/>
      </c>
      <c r="AH64" s="520" t="str">
        <f t="shared" si="7"/>
        <v/>
      </c>
      <c r="AI64" s="521" t="str">
        <f>IF(AH64="Check Data","Check Data",IFERROR(VLOOKUP(AH64,'G-4 Temporal multipliers'!$A$4:$C$36,3,FALSE),""))</f>
        <v/>
      </c>
      <c r="AJ64" s="497" t="str">
        <f>IF(S64="","",VLOOKUP(S64,'G-3 Multipliers'!$A$2:$E$129,4,FALSE))</f>
        <v/>
      </c>
      <c r="AK64" s="506" t="str">
        <f t="shared" si="8"/>
        <v/>
      </c>
      <c r="AL64" s="506" t="str">
        <f t="shared" si="9"/>
        <v/>
      </c>
      <c r="AM64" s="539" t="str">
        <f>IFERROR(IF(F64="","",IF(AH64="Check Data ⚠","Check Data ⚠",VLOOKUP(AL64, 'G-3 Multipliers'!$P$2:$Q$6,2,FALSE))),"")</f>
        <v/>
      </c>
      <c r="AN64" s="512" t="str">
        <f t="shared" si="10"/>
        <v/>
      </c>
      <c r="AO64" s="238"/>
      <c r="AP64" s="239"/>
    </row>
    <row r="65" spans="1:42" x14ac:dyDescent="0.3">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t="str">
        <f t="shared" si="2"/>
        <v/>
      </c>
      <c r="R65" s="237" t="str">
        <f t="shared" si="11"/>
        <v/>
      </c>
      <c r="S65" s="391" t="str">
        <f>IFERROR(INDEX('G-1 All Habitats'!$B$3:$B$129,MATCH(R65,'G-1 All Habitats'!$A$3:$A$129,0)),"")</f>
        <v/>
      </c>
      <c r="T65" s="497" t="str">
        <f t="shared" si="3"/>
        <v/>
      </c>
      <c r="U65" s="498" t="str">
        <f t="shared" si="4"/>
        <v/>
      </c>
      <c r="V65" s="536" t="str">
        <f t="shared" si="5"/>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1"/>
        <v/>
      </c>
      <c r="AE65" s="82"/>
      <c r="AF65" s="82"/>
      <c r="AG65" s="506" t="str">
        <f t="shared" si="6"/>
        <v/>
      </c>
      <c r="AH65" s="520" t="str">
        <f t="shared" si="7"/>
        <v/>
      </c>
      <c r="AI65" s="521" t="str">
        <f>IF(AH65="Check Data","Check Data",IFERROR(VLOOKUP(AH65,'G-4 Temporal multipliers'!$A$4:$C$36,3,FALSE),""))</f>
        <v/>
      </c>
      <c r="AJ65" s="497" t="str">
        <f>IF(S65="","",VLOOKUP(S65,'G-3 Multipliers'!$A$2:$E$129,4,FALSE))</f>
        <v/>
      </c>
      <c r="AK65" s="506" t="str">
        <f t="shared" si="8"/>
        <v/>
      </c>
      <c r="AL65" s="506" t="str">
        <f t="shared" si="9"/>
        <v/>
      </c>
      <c r="AM65" s="539" t="str">
        <f>IFERROR(IF(F65="","",IF(AH65="Check Data ⚠","Check Data ⚠",VLOOKUP(AL65, 'G-3 Multipliers'!$P$2:$Q$6,2,FALSE))),"")</f>
        <v/>
      </c>
      <c r="AN65" s="512" t="str">
        <f t="shared" si="10"/>
        <v/>
      </c>
      <c r="AO65" s="238"/>
      <c r="AP65" s="239"/>
    </row>
    <row r="66" spans="1:42" x14ac:dyDescent="0.3">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t="str">
        <f t="shared" si="2"/>
        <v/>
      </c>
      <c r="R66" s="237" t="str">
        <f t="shared" si="11"/>
        <v/>
      </c>
      <c r="S66" s="391" t="str">
        <f>IFERROR(INDEX('G-1 All Habitats'!$B$3:$B$129,MATCH(R66,'G-1 All Habitats'!$A$3:$A$129,0)),"")</f>
        <v/>
      </c>
      <c r="T66" s="497" t="str">
        <f t="shared" si="3"/>
        <v/>
      </c>
      <c r="U66" s="498" t="str">
        <f t="shared" si="4"/>
        <v/>
      </c>
      <c r="V66" s="536" t="str">
        <f t="shared" si="5"/>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1"/>
        <v/>
      </c>
      <c r="AE66" s="82"/>
      <c r="AF66" s="82"/>
      <c r="AG66" s="506" t="str">
        <f t="shared" si="6"/>
        <v/>
      </c>
      <c r="AH66" s="520" t="str">
        <f t="shared" si="7"/>
        <v/>
      </c>
      <c r="AI66" s="521" t="str">
        <f>IF(AH66="Check Data","Check Data",IFERROR(VLOOKUP(AH66,'G-4 Temporal multipliers'!$A$4:$C$36,3,FALSE),""))</f>
        <v/>
      </c>
      <c r="AJ66" s="497" t="str">
        <f>IF(S66="","",VLOOKUP(S66,'G-3 Multipliers'!$A$2:$E$129,4,FALSE))</f>
        <v/>
      </c>
      <c r="AK66" s="506" t="str">
        <f t="shared" si="8"/>
        <v/>
      </c>
      <c r="AL66" s="506" t="str">
        <f t="shared" si="9"/>
        <v/>
      </c>
      <c r="AM66" s="539" t="str">
        <f>IFERROR(IF(F66="","",IF(AH66="Check Data ⚠","Check Data ⚠",VLOOKUP(AL66, 'G-3 Multipliers'!$P$2:$Q$6,2,FALSE))),"")</f>
        <v/>
      </c>
      <c r="AN66" s="512" t="str">
        <f t="shared" si="10"/>
        <v/>
      </c>
      <c r="AO66" s="238"/>
      <c r="AP66" s="239"/>
    </row>
    <row r="67" spans="1:42" x14ac:dyDescent="0.3">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t="str">
        <f t="shared" si="2"/>
        <v/>
      </c>
      <c r="R67" s="237" t="str">
        <f t="shared" si="11"/>
        <v/>
      </c>
      <c r="S67" s="391" t="str">
        <f>IFERROR(INDEX('G-1 All Habitats'!$B$3:$B$129,MATCH(R67,'G-1 All Habitats'!$A$3:$A$129,0)),"")</f>
        <v/>
      </c>
      <c r="T67" s="497" t="str">
        <f t="shared" si="3"/>
        <v/>
      </c>
      <c r="U67" s="498" t="str">
        <f t="shared" si="4"/>
        <v/>
      </c>
      <c r="V67" s="536" t="str">
        <f t="shared" si="5"/>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1"/>
        <v/>
      </c>
      <c r="AE67" s="82"/>
      <c r="AF67" s="82"/>
      <c r="AG67" s="506" t="str">
        <f t="shared" si="6"/>
        <v/>
      </c>
      <c r="AH67" s="520" t="str">
        <f t="shared" si="7"/>
        <v/>
      </c>
      <c r="AI67" s="521" t="str">
        <f>IF(AH67="Check Data","Check Data",IFERROR(VLOOKUP(AH67,'G-4 Temporal multipliers'!$A$4:$C$36,3,FALSE),""))</f>
        <v/>
      </c>
      <c r="AJ67" s="497" t="str">
        <f>IF(S67="","",VLOOKUP(S67,'G-3 Multipliers'!$A$2:$E$129,4,FALSE))</f>
        <v/>
      </c>
      <c r="AK67" s="506" t="str">
        <f t="shared" si="8"/>
        <v/>
      </c>
      <c r="AL67" s="506" t="str">
        <f t="shared" si="9"/>
        <v/>
      </c>
      <c r="AM67" s="539" t="str">
        <f>IFERROR(IF(F67="","",IF(AH67="Check Data ⚠","Check Data ⚠",VLOOKUP(AL67, 'G-3 Multipliers'!$P$2:$Q$6,2,FALSE))),"")</f>
        <v/>
      </c>
      <c r="AN67" s="512" t="str">
        <f t="shared" si="10"/>
        <v/>
      </c>
      <c r="AO67" s="238"/>
      <c r="AP67" s="239"/>
    </row>
    <row r="68" spans="1:42" x14ac:dyDescent="0.3">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t="str">
        <f t="shared" si="2"/>
        <v/>
      </c>
      <c r="R68" s="237" t="str">
        <f t="shared" si="11"/>
        <v/>
      </c>
      <c r="S68" s="391" t="str">
        <f>IFERROR(INDEX('G-1 All Habitats'!$B$3:$B$129,MATCH(R68,'G-1 All Habitats'!$A$3:$A$129,0)),"")</f>
        <v/>
      </c>
      <c r="T68" s="497" t="str">
        <f t="shared" si="3"/>
        <v/>
      </c>
      <c r="U68" s="498" t="str">
        <f t="shared" si="4"/>
        <v/>
      </c>
      <c r="V68" s="536" t="str">
        <f t="shared" si="5"/>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1"/>
        <v/>
      </c>
      <c r="AE68" s="82"/>
      <c r="AF68" s="82"/>
      <c r="AG68" s="506" t="str">
        <f t="shared" si="6"/>
        <v/>
      </c>
      <c r="AH68" s="520" t="str">
        <f t="shared" si="7"/>
        <v/>
      </c>
      <c r="AI68" s="521" t="str">
        <f>IF(AH68="Check Data","Check Data",IFERROR(VLOOKUP(AH68,'G-4 Temporal multipliers'!$A$4:$C$36,3,FALSE),""))</f>
        <v/>
      </c>
      <c r="AJ68" s="497" t="str">
        <f>IF(S68="","",VLOOKUP(S68,'G-3 Multipliers'!$A$2:$E$129,4,FALSE))</f>
        <v/>
      </c>
      <c r="AK68" s="506" t="str">
        <f t="shared" si="8"/>
        <v/>
      </c>
      <c r="AL68" s="506" t="str">
        <f t="shared" si="9"/>
        <v/>
      </c>
      <c r="AM68" s="539" t="str">
        <f>IFERROR(IF(F68="","",IF(AH68="Check Data ⚠","Check Data ⚠",VLOOKUP(AL68, 'G-3 Multipliers'!$P$2:$Q$6,2,FALSE))),"")</f>
        <v/>
      </c>
      <c r="AN68" s="512" t="str">
        <f t="shared" si="10"/>
        <v/>
      </c>
      <c r="AO68" s="238"/>
      <c r="AP68" s="239"/>
    </row>
    <row r="69" spans="1:42" x14ac:dyDescent="0.3">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t="str">
        <f t="shared" si="2"/>
        <v/>
      </c>
      <c r="R69" s="237" t="str">
        <f t="shared" si="11"/>
        <v/>
      </c>
      <c r="S69" s="391" t="str">
        <f>IFERROR(INDEX('G-1 All Habitats'!$B$3:$B$129,MATCH(R69,'G-1 All Habitats'!$A$3:$A$129,0)),"")</f>
        <v/>
      </c>
      <c r="T69" s="497" t="str">
        <f t="shared" si="3"/>
        <v/>
      </c>
      <c r="U69" s="498" t="str">
        <f t="shared" si="4"/>
        <v/>
      </c>
      <c r="V69" s="536" t="str">
        <f t="shared" si="5"/>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1"/>
        <v/>
      </c>
      <c r="AE69" s="82"/>
      <c r="AF69" s="82"/>
      <c r="AG69" s="506" t="str">
        <f t="shared" si="6"/>
        <v/>
      </c>
      <c r="AH69" s="520" t="str">
        <f t="shared" si="7"/>
        <v/>
      </c>
      <c r="AI69" s="521" t="str">
        <f>IF(AH69="Check Data","Check Data",IFERROR(VLOOKUP(AH69,'G-4 Temporal multipliers'!$A$4:$C$36,3,FALSE),""))</f>
        <v/>
      </c>
      <c r="AJ69" s="497" t="str">
        <f>IF(S69="","",VLOOKUP(S69,'G-3 Multipliers'!$A$2:$E$129,4,FALSE))</f>
        <v/>
      </c>
      <c r="AK69" s="506" t="str">
        <f t="shared" si="8"/>
        <v/>
      </c>
      <c r="AL69" s="506" t="str">
        <f t="shared" si="9"/>
        <v/>
      </c>
      <c r="AM69" s="539" t="str">
        <f>IFERROR(IF(F69="","",IF(AH69="Check Data ⚠","Check Data ⚠",VLOOKUP(AL69, 'G-3 Multipliers'!$P$2:$Q$6,2,FALSE))),"")</f>
        <v/>
      </c>
      <c r="AN69" s="512" t="str">
        <f t="shared" si="10"/>
        <v/>
      </c>
      <c r="AO69" s="238"/>
      <c r="AP69" s="239"/>
    </row>
    <row r="70" spans="1:42" x14ac:dyDescent="0.3">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t="str">
        <f t="shared" si="2"/>
        <v/>
      </c>
      <c r="R70" s="237" t="str">
        <f t="shared" si="11"/>
        <v/>
      </c>
      <c r="S70" s="391" t="str">
        <f>IFERROR(INDEX('G-1 All Habitats'!$B$3:$B$129,MATCH(R70,'G-1 All Habitats'!$A$3:$A$129,0)),"")</f>
        <v/>
      </c>
      <c r="T70" s="497" t="str">
        <f t="shared" si="3"/>
        <v/>
      </c>
      <c r="U70" s="498" t="str">
        <f t="shared" si="4"/>
        <v/>
      </c>
      <c r="V70" s="536" t="str">
        <f t="shared" si="5"/>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1"/>
        <v/>
      </c>
      <c r="AE70" s="82"/>
      <c r="AF70" s="82"/>
      <c r="AG70" s="506" t="str">
        <f t="shared" si="6"/>
        <v/>
      </c>
      <c r="AH70" s="520" t="str">
        <f t="shared" si="7"/>
        <v/>
      </c>
      <c r="AI70" s="521" t="str">
        <f>IF(AH70="Check Data","Check Data",IFERROR(VLOOKUP(AH70,'G-4 Temporal multipliers'!$A$4:$C$36,3,FALSE),""))</f>
        <v/>
      </c>
      <c r="AJ70" s="497" t="str">
        <f>IF(S70="","",VLOOKUP(S70,'G-3 Multipliers'!$A$2:$E$129,4,FALSE))</f>
        <v/>
      </c>
      <c r="AK70" s="506" t="str">
        <f t="shared" si="8"/>
        <v/>
      </c>
      <c r="AL70" s="506" t="str">
        <f t="shared" si="9"/>
        <v/>
      </c>
      <c r="AM70" s="539" t="str">
        <f>IFERROR(IF(F70="","",IF(AH70="Check Data ⚠","Check Data ⚠",VLOOKUP(AL70, 'G-3 Multipliers'!$P$2:$Q$6,2,FALSE))),"")</f>
        <v/>
      </c>
      <c r="AN70" s="512" t="str">
        <f t="shared" si="10"/>
        <v/>
      </c>
      <c r="AO70" s="238"/>
      <c r="AP70" s="239"/>
    </row>
    <row r="71" spans="1:42" x14ac:dyDescent="0.3">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t="str">
        <f t="shared" si="2"/>
        <v/>
      </c>
      <c r="R71" s="237" t="str">
        <f t="shared" si="11"/>
        <v/>
      </c>
      <c r="S71" s="391" t="str">
        <f>IFERROR(INDEX('G-1 All Habitats'!$B$3:$B$129,MATCH(R71,'G-1 All Habitats'!$A$3:$A$129,0)),"")</f>
        <v/>
      </c>
      <c r="T71" s="497" t="str">
        <f t="shared" si="3"/>
        <v/>
      </c>
      <c r="U71" s="498" t="str">
        <f t="shared" si="4"/>
        <v/>
      </c>
      <c r="V71" s="536" t="str">
        <f t="shared" si="5"/>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1"/>
        <v/>
      </c>
      <c r="AE71" s="82"/>
      <c r="AF71" s="82"/>
      <c r="AG71" s="506" t="str">
        <f t="shared" si="6"/>
        <v/>
      </c>
      <c r="AH71" s="520" t="str">
        <f t="shared" si="7"/>
        <v/>
      </c>
      <c r="AI71" s="521" t="str">
        <f>IF(AH71="Check Data","Check Data",IFERROR(VLOOKUP(AH71,'G-4 Temporal multipliers'!$A$4:$C$36,3,FALSE),""))</f>
        <v/>
      </c>
      <c r="AJ71" s="497" t="str">
        <f>IF(S71="","",VLOOKUP(S71,'G-3 Multipliers'!$A$2:$E$129,4,FALSE))</f>
        <v/>
      </c>
      <c r="AK71" s="506" t="str">
        <f t="shared" si="8"/>
        <v/>
      </c>
      <c r="AL71" s="506" t="str">
        <f t="shared" si="9"/>
        <v/>
      </c>
      <c r="AM71" s="539" t="str">
        <f>IFERROR(IF(F71="","",IF(AH71="Check Data ⚠","Check Data ⚠",VLOOKUP(AL71, 'G-3 Multipliers'!$P$2:$Q$6,2,FALSE))),"")</f>
        <v/>
      </c>
      <c r="AN71" s="512" t="str">
        <f t="shared" si="10"/>
        <v/>
      </c>
      <c r="AO71" s="238"/>
      <c r="AP71" s="239"/>
    </row>
    <row r="72" spans="1:42" x14ac:dyDescent="0.3">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t="str">
        <f t="shared" si="2"/>
        <v/>
      </c>
      <c r="R72" s="237" t="str">
        <f t="shared" si="11"/>
        <v/>
      </c>
      <c r="S72" s="391" t="str">
        <f>IFERROR(INDEX('G-1 All Habitats'!$B$3:$B$129,MATCH(R72,'G-1 All Habitats'!$A$3:$A$129,0)),"")</f>
        <v/>
      </c>
      <c r="T72" s="497" t="str">
        <f t="shared" si="3"/>
        <v/>
      </c>
      <c r="U72" s="498" t="str">
        <f t="shared" si="4"/>
        <v/>
      </c>
      <c r="V72" s="536" t="str">
        <f t="shared" si="5"/>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1"/>
        <v/>
      </c>
      <c r="AE72" s="82"/>
      <c r="AF72" s="82"/>
      <c r="AG72" s="506" t="str">
        <f t="shared" si="6"/>
        <v/>
      </c>
      <c r="AH72" s="520" t="str">
        <f t="shared" si="7"/>
        <v/>
      </c>
      <c r="AI72" s="521" t="str">
        <f>IF(AH72="Check Data","Check Data",IFERROR(VLOOKUP(AH72,'G-4 Temporal multipliers'!$A$4:$C$36,3,FALSE),""))</f>
        <v/>
      </c>
      <c r="AJ72" s="497" t="str">
        <f>IF(S72="","",VLOOKUP(S72,'G-3 Multipliers'!$A$2:$E$129,4,FALSE))</f>
        <v/>
      </c>
      <c r="AK72" s="506" t="str">
        <f t="shared" si="8"/>
        <v/>
      </c>
      <c r="AL72" s="506" t="str">
        <f t="shared" si="9"/>
        <v/>
      </c>
      <c r="AM72" s="539" t="str">
        <f>IFERROR(IF(F72="","",IF(AH72="Check Data ⚠","Check Data ⚠",VLOOKUP(AL72, 'G-3 Multipliers'!$P$2:$Q$6,2,FALSE))),"")</f>
        <v/>
      </c>
      <c r="AN72" s="512" t="str">
        <f t="shared" si="10"/>
        <v/>
      </c>
      <c r="AO72" s="238"/>
      <c r="AP72" s="239"/>
    </row>
    <row r="73" spans="1:42" x14ac:dyDescent="0.3">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t="str">
        <f t="shared" si="2"/>
        <v/>
      </c>
      <c r="R73" s="237" t="str">
        <f t="shared" si="11"/>
        <v/>
      </c>
      <c r="S73" s="391" t="str">
        <f>IFERROR(INDEX('G-1 All Habitats'!$B$3:$B$129,MATCH(R73,'G-1 All Habitats'!$A$3:$A$129,0)),"")</f>
        <v/>
      </c>
      <c r="T73" s="497" t="str">
        <f t="shared" si="3"/>
        <v/>
      </c>
      <c r="U73" s="498" t="str">
        <f t="shared" si="4"/>
        <v/>
      </c>
      <c r="V73" s="536" t="str">
        <f t="shared" si="5"/>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1"/>
        <v/>
      </c>
      <c r="AE73" s="82"/>
      <c r="AF73" s="82"/>
      <c r="AG73" s="506" t="str">
        <f t="shared" si="6"/>
        <v/>
      </c>
      <c r="AH73" s="520" t="str">
        <f t="shared" si="7"/>
        <v/>
      </c>
      <c r="AI73" s="521" t="str">
        <f>IF(AH73="Check Data","Check Data",IFERROR(VLOOKUP(AH73,'G-4 Temporal multipliers'!$A$4:$C$36,3,FALSE),""))</f>
        <v/>
      </c>
      <c r="AJ73" s="497" t="str">
        <f>IF(S73="","",VLOOKUP(S73,'G-3 Multipliers'!$A$2:$E$129,4,FALSE))</f>
        <v/>
      </c>
      <c r="AK73" s="506" t="str">
        <f t="shared" si="8"/>
        <v/>
      </c>
      <c r="AL73" s="506" t="str">
        <f t="shared" si="9"/>
        <v/>
      </c>
      <c r="AM73" s="539" t="str">
        <f>IFERROR(IF(F73="","",IF(AH73="Check Data ⚠","Check Data ⚠",VLOOKUP(AL73, 'G-3 Multipliers'!$P$2:$Q$6,2,FALSE))),"")</f>
        <v/>
      </c>
      <c r="AN73" s="512" t="str">
        <f t="shared" si="10"/>
        <v/>
      </c>
      <c r="AO73" s="238"/>
      <c r="AP73" s="239"/>
    </row>
    <row r="74" spans="1:42" x14ac:dyDescent="0.3">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t="str">
        <f t="shared" si="2"/>
        <v/>
      </c>
      <c r="R74" s="237" t="str">
        <f t="shared" si="11"/>
        <v/>
      </c>
      <c r="S74" s="391" t="str">
        <f>IFERROR(INDEX('G-1 All Habitats'!$B$3:$B$129,MATCH(R74,'G-1 All Habitats'!$A$3:$A$129,0)),"")</f>
        <v/>
      </c>
      <c r="T74" s="497" t="str">
        <f t="shared" si="3"/>
        <v/>
      </c>
      <c r="U74" s="498" t="str">
        <f t="shared" si="4"/>
        <v/>
      </c>
      <c r="V74" s="536" t="str">
        <f t="shared" si="5"/>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1"/>
        <v/>
      </c>
      <c r="AE74" s="82"/>
      <c r="AF74" s="82"/>
      <c r="AG74" s="506" t="str">
        <f t="shared" si="6"/>
        <v/>
      </c>
      <c r="AH74" s="520" t="str">
        <f t="shared" si="7"/>
        <v/>
      </c>
      <c r="AI74" s="521" t="str">
        <f>IF(AH74="Check Data","Check Data",IFERROR(VLOOKUP(AH74,'G-4 Temporal multipliers'!$A$4:$C$36,3,FALSE),""))</f>
        <v/>
      </c>
      <c r="AJ74" s="497" t="str">
        <f>IF(S74="","",VLOOKUP(S74,'G-3 Multipliers'!$A$2:$E$129,4,FALSE))</f>
        <v/>
      </c>
      <c r="AK74" s="506" t="str">
        <f t="shared" si="8"/>
        <v/>
      </c>
      <c r="AL74" s="506" t="str">
        <f t="shared" si="9"/>
        <v/>
      </c>
      <c r="AM74" s="539" t="str">
        <f>IFERROR(IF(F74="","",IF(AH74="Check Data ⚠","Check Data ⚠",VLOOKUP(AL74, 'G-3 Multipliers'!$P$2:$Q$6,2,FALSE))),"")</f>
        <v/>
      </c>
      <c r="AN74" s="512" t="str">
        <f t="shared" si="10"/>
        <v/>
      </c>
      <c r="AO74" s="238"/>
      <c r="AP74" s="239"/>
    </row>
    <row r="75" spans="1:42" x14ac:dyDescent="0.3">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t="str">
        <f t="shared" si="2"/>
        <v/>
      </c>
      <c r="R75" s="237" t="str">
        <f t="shared" si="11"/>
        <v/>
      </c>
      <c r="S75" s="391" t="str">
        <f>IFERROR(INDEX('G-1 All Habitats'!$B$3:$B$129,MATCH(R75,'G-1 All Habitats'!$A$3:$A$129,0)),"")</f>
        <v/>
      </c>
      <c r="T75" s="497" t="str">
        <f t="shared" si="3"/>
        <v/>
      </c>
      <c r="U75" s="498" t="str">
        <f t="shared" si="4"/>
        <v/>
      </c>
      <c r="V75" s="536" t="str">
        <f t="shared" si="5"/>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1"/>
        <v/>
      </c>
      <c r="AE75" s="82"/>
      <c r="AF75" s="82"/>
      <c r="AG75" s="506" t="str">
        <f t="shared" si="6"/>
        <v/>
      </c>
      <c r="AH75" s="520" t="str">
        <f t="shared" si="7"/>
        <v/>
      </c>
      <c r="AI75" s="521" t="str">
        <f>IF(AH75="Check Data","Check Data",IFERROR(VLOOKUP(AH75,'G-4 Temporal multipliers'!$A$4:$C$36,3,FALSE),""))</f>
        <v/>
      </c>
      <c r="AJ75" s="497" t="str">
        <f>IF(S75="","",VLOOKUP(S75,'G-3 Multipliers'!$A$2:$E$129,4,FALSE))</f>
        <v/>
      </c>
      <c r="AK75" s="506" t="str">
        <f t="shared" si="8"/>
        <v/>
      </c>
      <c r="AL75" s="506" t="str">
        <f t="shared" si="9"/>
        <v/>
      </c>
      <c r="AM75" s="539" t="str">
        <f>IFERROR(IF(F75="","",IF(AH75="Check Data ⚠","Check Data ⚠",VLOOKUP(AL75, 'G-3 Multipliers'!$P$2:$Q$6,2,FALSE))),"")</f>
        <v/>
      </c>
      <c r="AN75" s="512" t="str">
        <f t="shared" si="10"/>
        <v/>
      </c>
      <c r="AO75" s="238"/>
      <c r="AP75" s="239"/>
    </row>
    <row r="76" spans="1:42" x14ac:dyDescent="0.3">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t="str">
        <f t="shared" si="2"/>
        <v/>
      </c>
      <c r="R76" s="237" t="str">
        <f t="shared" si="11"/>
        <v/>
      </c>
      <c r="S76" s="391" t="str">
        <f>IFERROR(INDEX('G-1 All Habitats'!$B$3:$B$129,MATCH(R76,'G-1 All Habitats'!$A$3:$A$129,0)),"")</f>
        <v/>
      </c>
      <c r="T76" s="497" t="str">
        <f t="shared" si="3"/>
        <v/>
      </c>
      <c r="U76" s="498" t="str">
        <f t="shared" si="4"/>
        <v/>
      </c>
      <c r="V76" s="536" t="str">
        <f t="shared" ref="V76:V139" si="12">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3">IFERROR(IF(OR(LEFT(U76,5)="Error ▲",LEFT(T76,5)="Error ▲"),"Check Data ⚠",INDEX(EnhanceTemporal,MATCH(S76,EnhanceHabitat,0),MATCH(U76,EnhanceCondition,0))),"")</f>
        <v/>
      </c>
      <c r="AE76" s="82"/>
      <c r="AF76" s="82"/>
      <c r="AG76" s="506" t="str">
        <f t="shared" si="6"/>
        <v/>
      </c>
      <c r="AH76" s="520" t="str">
        <f t="shared" si="7"/>
        <v/>
      </c>
      <c r="AI76" s="521" t="str">
        <f>IF(AH76="Check Data","Check Data",IFERROR(VLOOKUP(AH76,'G-4 Temporal multipliers'!$A$4:$C$36,3,FALSE),""))</f>
        <v/>
      </c>
      <c r="AJ76" s="497" t="str">
        <f>IF(S76="","",VLOOKUP(S76,'G-3 Multipliers'!$A$2:$E$129,4,FALSE))</f>
        <v/>
      </c>
      <c r="AK76" s="506" t="str">
        <f t="shared" si="8"/>
        <v/>
      </c>
      <c r="AL76" s="506" t="str">
        <f t="shared" si="9"/>
        <v/>
      </c>
      <c r="AM76" s="539" t="str">
        <f>IFERROR(IF(F76="","",IF(AH76="Check Data ⚠","Check Data ⚠",VLOOKUP(AL76, 'G-3 Multipliers'!$P$2:$Q$6,2,FALSE))),"")</f>
        <v/>
      </c>
      <c r="AN76" s="512" t="str">
        <f t="shared" ref="AN76:AN139" si="14">IFERROR(((((V76*X76*Z76)-(V76*I76*K76))*(AM76*AI76))+(V76*I76*K76))*(AC76),"")</f>
        <v/>
      </c>
      <c r="AO76" s="238"/>
      <c r="AP76" s="239"/>
    </row>
    <row r="77" spans="1:42" x14ac:dyDescent="0.3">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t="str">
        <f t="shared" ref="Q77:Q140" si="15">A77</f>
        <v/>
      </c>
      <c r="R77" s="237" t="str">
        <f t="shared" ref="R77:R140" si="16">IF(B77="","",B77)</f>
        <v/>
      </c>
      <c r="S77" s="391" t="str">
        <f>IFERROR(INDEX('G-1 All Habitats'!$B$3:$B$129,MATCH(R77,'G-1 All Habitats'!$A$3:$A$129,0)),"")</f>
        <v/>
      </c>
      <c r="T77" s="497"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12"/>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3"/>
        <v/>
      </c>
      <c r="AE77" s="82"/>
      <c r="AF77" s="82"/>
      <c r="AG77" s="506"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21">IF(E77="","",IF(AG77="Check details - Is there evidence that habitat has reached target condition? ⚠","Low Difficulty - only applicable if all habitat created before losses ⚠","Standard difficulty applied"))</f>
        <v/>
      </c>
      <c r="AL77" s="506" t="str">
        <f t="shared" ref="AL77:AL140" si="22">(IF(AND(AK77="Standard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4"/>
        <v/>
      </c>
      <c r="AO77" s="238"/>
      <c r="AP77" s="239"/>
    </row>
    <row r="78" spans="1:42" x14ac:dyDescent="0.3">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t="str">
        <f t="shared" si="15"/>
        <v/>
      </c>
      <c r="R78" s="237" t="str">
        <f t="shared" si="16"/>
        <v/>
      </c>
      <c r="S78" s="391" t="str">
        <f>IFERROR(INDEX('G-1 All Habitats'!$B$3:$B$129,MATCH(R78,'G-1 All Habitats'!$A$3:$A$129,0)),"")</f>
        <v/>
      </c>
      <c r="T78" s="497" t="str">
        <f t="shared" si="17"/>
        <v/>
      </c>
      <c r="U78" s="498" t="str">
        <f t="shared" si="18"/>
        <v/>
      </c>
      <c r="V78" s="536" t="str">
        <f t="shared" si="12"/>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3"/>
        <v/>
      </c>
      <c r="AE78" s="82"/>
      <c r="AF78" s="82"/>
      <c r="AG78" s="506" t="str">
        <f t="shared" si="19"/>
        <v/>
      </c>
      <c r="AH78" s="520" t="str">
        <f t="shared" si="20"/>
        <v/>
      </c>
      <c r="AI78" s="521" t="str">
        <f>IF(AH78="Check Data","Check Data",IFERROR(VLOOKUP(AH78,'G-4 Temporal multipliers'!$A$4:$C$36,3,FALSE),""))</f>
        <v/>
      </c>
      <c r="AJ78" s="497" t="str">
        <f>IF(S78="","",VLOOKUP(S78,'G-3 Multipliers'!$A$2:$E$129,4,FALSE))</f>
        <v/>
      </c>
      <c r="AK78" s="506" t="str">
        <f t="shared" si="21"/>
        <v/>
      </c>
      <c r="AL78" s="506" t="str">
        <f t="shared" si="22"/>
        <v/>
      </c>
      <c r="AM78" s="539" t="str">
        <f>IFERROR(IF(F78="","",IF(AH78="Check Data ⚠","Check Data ⚠",VLOOKUP(AL78, 'G-3 Multipliers'!$P$2:$Q$6,2,FALSE))),"")</f>
        <v/>
      </c>
      <c r="AN78" s="512" t="str">
        <f t="shared" si="14"/>
        <v/>
      </c>
      <c r="AO78" s="238"/>
      <c r="AP78" s="239"/>
    </row>
    <row r="79" spans="1:42" x14ac:dyDescent="0.3">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t="str">
        <f t="shared" si="15"/>
        <v/>
      </c>
      <c r="R79" s="237" t="str">
        <f t="shared" si="16"/>
        <v/>
      </c>
      <c r="S79" s="391" t="str">
        <f>IFERROR(INDEX('G-1 All Habitats'!$B$3:$B$129,MATCH(R79,'G-1 All Habitats'!$A$3:$A$129,0)),"")</f>
        <v/>
      </c>
      <c r="T79" s="497" t="str">
        <f t="shared" si="17"/>
        <v/>
      </c>
      <c r="U79" s="498" t="str">
        <f t="shared" si="18"/>
        <v/>
      </c>
      <c r="V79" s="536" t="str">
        <f t="shared" si="12"/>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3"/>
        <v/>
      </c>
      <c r="AE79" s="82"/>
      <c r="AF79" s="82"/>
      <c r="AG79" s="506" t="str">
        <f t="shared" si="19"/>
        <v/>
      </c>
      <c r="AH79" s="520" t="str">
        <f t="shared" si="20"/>
        <v/>
      </c>
      <c r="AI79" s="521" t="str">
        <f>IF(AH79="Check Data","Check Data",IFERROR(VLOOKUP(AH79,'G-4 Temporal multipliers'!$A$4:$C$36,3,FALSE),""))</f>
        <v/>
      </c>
      <c r="AJ79" s="497" t="str">
        <f>IF(S79="","",VLOOKUP(S79,'G-3 Multipliers'!$A$2:$E$129,4,FALSE))</f>
        <v/>
      </c>
      <c r="AK79" s="506" t="str">
        <f t="shared" si="21"/>
        <v/>
      </c>
      <c r="AL79" s="506" t="str">
        <f t="shared" si="22"/>
        <v/>
      </c>
      <c r="AM79" s="539" t="str">
        <f>IFERROR(IF(F79="","",IF(AH79="Check Data ⚠","Check Data ⚠",VLOOKUP(AL79, 'G-3 Multipliers'!$P$2:$Q$6,2,FALSE))),"")</f>
        <v/>
      </c>
      <c r="AN79" s="512" t="str">
        <f t="shared" si="14"/>
        <v/>
      </c>
      <c r="AO79" s="238"/>
      <c r="AP79" s="239"/>
    </row>
    <row r="80" spans="1:42" x14ac:dyDescent="0.3">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t="str">
        <f t="shared" si="15"/>
        <v/>
      </c>
      <c r="R80" s="237" t="str">
        <f t="shared" si="16"/>
        <v/>
      </c>
      <c r="S80" s="391" t="str">
        <f>IFERROR(INDEX('G-1 All Habitats'!$B$3:$B$129,MATCH(R80,'G-1 All Habitats'!$A$3:$A$129,0)),"")</f>
        <v/>
      </c>
      <c r="T80" s="497" t="str">
        <f t="shared" si="17"/>
        <v/>
      </c>
      <c r="U80" s="498" t="str">
        <f t="shared" si="18"/>
        <v/>
      </c>
      <c r="V80" s="536" t="str">
        <f t="shared" si="12"/>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3"/>
        <v/>
      </c>
      <c r="AE80" s="82"/>
      <c r="AF80" s="82"/>
      <c r="AG80" s="506" t="str">
        <f t="shared" si="19"/>
        <v/>
      </c>
      <c r="AH80" s="520" t="str">
        <f t="shared" si="20"/>
        <v/>
      </c>
      <c r="AI80" s="521" t="str">
        <f>IF(AH80="Check Data","Check Data",IFERROR(VLOOKUP(AH80,'G-4 Temporal multipliers'!$A$4:$C$36,3,FALSE),""))</f>
        <v/>
      </c>
      <c r="AJ80" s="497" t="str">
        <f>IF(S80="","",VLOOKUP(S80,'G-3 Multipliers'!$A$2:$E$129,4,FALSE))</f>
        <v/>
      </c>
      <c r="AK80" s="506" t="str">
        <f t="shared" si="21"/>
        <v/>
      </c>
      <c r="AL80" s="506" t="str">
        <f t="shared" si="22"/>
        <v/>
      </c>
      <c r="AM80" s="539" t="str">
        <f>IFERROR(IF(F80="","",IF(AH80="Check Data ⚠","Check Data ⚠",VLOOKUP(AL80, 'G-3 Multipliers'!$P$2:$Q$6,2,FALSE))),"")</f>
        <v/>
      </c>
      <c r="AN80" s="512" t="str">
        <f t="shared" si="14"/>
        <v/>
      </c>
      <c r="AO80" s="238"/>
      <c r="AP80" s="239"/>
    </row>
    <row r="81" spans="1:42" x14ac:dyDescent="0.3">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t="str">
        <f t="shared" si="15"/>
        <v/>
      </c>
      <c r="R81" s="237" t="str">
        <f t="shared" si="16"/>
        <v/>
      </c>
      <c r="S81" s="391" t="str">
        <f>IFERROR(INDEX('G-1 All Habitats'!$B$3:$B$129,MATCH(R81,'G-1 All Habitats'!$A$3:$A$129,0)),"")</f>
        <v/>
      </c>
      <c r="T81" s="497" t="str">
        <f t="shared" si="17"/>
        <v/>
      </c>
      <c r="U81" s="498" t="str">
        <f t="shared" si="18"/>
        <v/>
      </c>
      <c r="V81" s="536" t="str">
        <f t="shared" si="12"/>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3"/>
        <v/>
      </c>
      <c r="AE81" s="82"/>
      <c r="AF81" s="82"/>
      <c r="AG81" s="506" t="str">
        <f t="shared" si="19"/>
        <v/>
      </c>
      <c r="AH81" s="520" t="str">
        <f t="shared" si="20"/>
        <v/>
      </c>
      <c r="AI81" s="521" t="str">
        <f>IF(AH81="Check Data","Check Data",IFERROR(VLOOKUP(AH81,'G-4 Temporal multipliers'!$A$4:$C$36,3,FALSE),""))</f>
        <v/>
      </c>
      <c r="AJ81" s="497" t="str">
        <f>IF(S81="","",VLOOKUP(S81,'G-3 Multipliers'!$A$2:$E$129,4,FALSE))</f>
        <v/>
      </c>
      <c r="AK81" s="506" t="str">
        <f t="shared" si="21"/>
        <v/>
      </c>
      <c r="AL81" s="506" t="str">
        <f t="shared" si="22"/>
        <v/>
      </c>
      <c r="AM81" s="539" t="str">
        <f>IFERROR(IF(F81="","",IF(AH81="Check Data ⚠","Check Data ⚠",VLOOKUP(AL81, 'G-3 Multipliers'!$P$2:$Q$6,2,FALSE))),"")</f>
        <v/>
      </c>
      <c r="AN81" s="512" t="str">
        <f t="shared" si="14"/>
        <v/>
      </c>
      <c r="AO81" s="238"/>
      <c r="AP81" s="239"/>
    </row>
    <row r="82" spans="1:42" x14ac:dyDescent="0.3">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t="str">
        <f t="shared" si="15"/>
        <v/>
      </c>
      <c r="R82" s="237" t="str">
        <f t="shared" si="16"/>
        <v/>
      </c>
      <c r="S82" s="391" t="str">
        <f>IFERROR(INDEX('G-1 All Habitats'!$B$3:$B$129,MATCH(R82,'G-1 All Habitats'!$A$3:$A$129,0)),"")</f>
        <v/>
      </c>
      <c r="T82" s="497" t="str">
        <f t="shared" si="17"/>
        <v/>
      </c>
      <c r="U82" s="498" t="str">
        <f t="shared" si="18"/>
        <v/>
      </c>
      <c r="V82" s="536" t="str">
        <f t="shared" si="12"/>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3"/>
        <v/>
      </c>
      <c r="AE82" s="82"/>
      <c r="AF82" s="82"/>
      <c r="AG82" s="506" t="str">
        <f t="shared" si="19"/>
        <v/>
      </c>
      <c r="AH82" s="520" t="str">
        <f t="shared" si="20"/>
        <v/>
      </c>
      <c r="AI82" s="521" t="str">
        <f>IF(AH82="Check Data","Check Data",IFERROR(VLOOKUP(AH82,'G-4 Temporal multipliers'!$A$4:$C$36,3,FALSE),""))</f>
        <v/>
      </c>
      <c r="AJ82" s="497" t="str">
        <f>IF(S82="","",VLOOKUP(S82,'G-3 Multipliers'!$A$2:$E$129,4,FALSE))</f>
        <v/>
      </c>
      <c r="AK82" s="506" t="str">
        <f t="shared" si="21"/>
        <v/>
      </c>
      <c r="AL82" s="506" t="str">
        <f t="shared" si="22"/>
        <v/>
      </c>
      <c r="AM82" s="539" t="str">
        <f>IFERROR(IF(F82="","",IF(AH82="Check Data ⚠","Check Data ⚠",VLOOKUP(AL82, 'G-3 Multipliers'!$P$2:$Q$6,2,FALSE))),"")</f>
        <v/>
      </c>
      <c r="AN82" s="512" t="str">
        <f t="shared" si="14"/>
        <v/>
      </c>
      <c r="AO82" s="238"/>
      <c r="AP82" s="239"/>
    </row>
    <row r="83" spans="1:42" x14ac:dyDescent="0.3">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t="str">
        <f t="shared" si="15"/>
        <v/>
      </c>
      <c r="R83" s="237" t="str">
        <f t="shared" si="16"/>
        <v/>
      </c>
      <c r="S83" s="391" t="str">
        <f>IFERROR(INDEX('G-1 All Habitats'!$B$3:$B$129,MATCH(R83,'G-1 All Habitats'!$A$3:$A$129,0)),"")</f>
        <v/>
      </c>
      <c r="T83" s="497" t="str">
        <f t="shared" si="17"/>
        <v/>
      </c>
      <c r="U83" s="498" t="str">
        <f t="shared" si="18"/>
        <v/>
      </c>
      <c r="V83" s="536" t="str">
        <f t="shared" si="12"/>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3"/>
        <v/>
      </c>
      <c r="AE83" s="82"/>
      <c r="AF83" s="82"/>
      <c r="AG83" s="506" t="str">
        <f t="shared" si="19"/>
        <v/>
      </c>
      <c r="AH83" s="520" t="str">
        <f t="shared" si="20"/>
        <v/>
      </c>
      <c r="AI83" s="521" t="str">
        <f>IF(AH83="Check Data","Check Data",IFERROR(VLOOKUP(AH83,'G-4 Temporal multipliers'!$A$4:$C$36,3,FALSE),""))</f>
        <v/>
      </c>
      <c r="AJ83" s="497" t="str">
        <f>IF(S83="","",VLOOKUP(S83,'G-3 Multipliers'!$A$2:$E$129,4,FALSE))</f>
        <v/>
      </c>
      <c r="AK83" s="506" t="str">
        <f t="shared" si="21"/>
        <v/>
      </c>
      <c r="AL83" s="506" t="str">
        <f t="shared" si="22"/>
        <v/>
      </c>
      <c r="AM83" s="539" t="str">
        <f>IFERROR(IF(F83="","",IF(AH83="Check Data ⚠","Check Data ⚠",VLOOKUP(AL83, 'G-3 Multipliers'!$P$2:$Q$6,2,FALSE))),"")</f>
        <v/>
      </c>
      <c r="AN83" s="512" t="str">
        <f t="shared" si="14"/>
        <v/>
      </c>
      <c r="AO83" s="238"/>
      <c r="AP83" s="239"/>
    </row>
    <row r="84" spans="1:42" x14ac:dyDescent="0.3">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t="str">
        <f t="shared" si="15"/>
        <v/>
      </c>
      <c r="R84" s="237" t="str">
        <f t="shared" si="16"/>
        <v/>
      </c>
      <c r="S84" s="391" t="str">
        <f>IFERROR(INDEX('G-1 All Habitats'!$B$3:$B$129,MATCH(R84,'G-1 All Habitats'!$A$3:$A$129,0)),"")</f>
        <v/>
      </c>
      <c r="T84" s="497" t="str">
        <f t="shared" si="17"/>
        <v/>
      </c>
      <c r="U84" s="498" t="str">
        <f t="shared" si="18"/>
        <v/>
      </c>
      <c r="V84" s="536" t="str">
        <f t="shared" si="12"/>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3"/>
        <v/>
      </c>
      <c r="AE84" s="82"/>
      <c r="AF84" s="82"/>
      <c r="AG84" s="506" t="str">
        <f t="shared" si="19"/>
        <v/>
      </c>
      <c r="AH84" s="520" t="str">
        <f t="shared" si="20"/>
        <v/>
      </c>
      <c r="AI84" s="521" t="str">
        <f>IF(AH84="Check Data","Check Data",IFERROR(VLOOKUP(AH84,'G-4 Temporal multipliers'!$A$4:$C$36,3,FALSE),""))</f>
        <v/>
      </c>
      <c r="AJ84" s="497" t="str">
        <f>IF(S84="","",VLOOKUP(S84,'G-3 Multipliers'!$A$2:$E$129,4,FALSE))</f>
        <v/>
      </c>
      <c r="AK84" s="506" t="str">
        <f t="shared" si="21"/>
        <v/>
      </c>
      <c r="AL84" s="506" t="str">
        <f t="shared" si="22"/>
        <v/>
      </c>
      <c r="AM84" s="539" t="str">
        <f>IFERROR(IF(F84="","",IF(AH84="Check Data ⚠","Check Data ⚠",VLOOKUP(AL84, 'G-3 Multipliers'!$P$2:$Q$6,2,FALSE))),"")</f>
        <v/>
      </c>
      <c r="AN84" s="512" t="str">
        <f t="shared" si="14"/>
        <v/>
      </c>
      <c r="AO84" s="238"/>
      <c r="AP84" s="239"/>
    </row>
    <row r="85" spans="1:42" x14ac:dyDescent="0.3">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t="str">
        <f t="shared" si="15"/>
        <v/>
      </c>
      <c r="R85" s="237" t="str">
        <f t="shared" si="16"/>
        <v/>
      </c>
      <c r="S85" s="391" t="str">
        <f>IFERROR(INDEX('G-1 All Habitats'!$B$3:$B$129,MATCH(R85,'G-1 All Habitats'!$A$3:$A$129,0)),"")</f>
        <v/>
      </c>
      <c r="T85" s="497" t="str">
        <f t="shared" si="17"/>
        <v/>
      </c>
      <c r="U85" s="498" t="str">
        <f t="shared" si="18"/>
        <v/>
      </c>
      <c r="V85" s="536" t="str">
        <f t="shared" si="12"/>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3"/>
        <v/>
      </c>
      <c r="AE85" s="82"/>
      <c r="AF85" s="82"/>
      <c r="AG85" s="506" t="str">
        <f t="shared" si="19"/>
        <v/>
      </c>
      <c r="AH85" s="520" t="str">
        <f t="shared" si="20"/>
        <v/>
      </c>
      <c r="AI85" s="521" t="str">
        <f>IF(AH85="Check Data","Check Data",IFERROR(VLOOKUP(AH85,'G-4 Temporal multipliers'!$A$4:$C$36,3,FALSE),""))</f>
        <v/>
      </c>
      <c r="AJ85" s="497" t="str">
        <f>IF(S85="","",VLOOKUP(S85,'G-3 Multipliers'!$A$2:$E$129,4,FALSE))</f>
        <v/>
      </c>
      <c r="AK85" s="506" t="str">
        <f t="shared" si="21"/>
        <v/>
      </c>
      <c r="AL85" s="506" t="str">
        <f t="shared" si="22"/>
        <v/>
      </c>
      <c r="AM85" s="539" t="str">
        <f>IFERROR(IF(F85="","",IF(AH85="Check Data ⚠","Check Data ⚠",VLOOKUP(AL85, 'G-3 Multipliers'!$P$2:$Q$6,2,FALSE))),"")</f>
        <v/>
      </c>
      <c r="AN85" s="512" t="str">
        <f t="shared" si="14"/>
        <v/>
      </c>
      <c r="AO85" s="238"/>
      <c r="AP85" s="239"/>
    </row>
    <row r="86" spans="1:42" x14ac:dyDescent="0.3">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t="str">
        <f t="shared" si="15"/>
        <v/>
      </c>
      <c r="R86" s="237" t="str">
        <f t="shared" si="16"/>
        <v/>
      </c>
      <c r="S86" s="391" t="str">
        <f>IFERROR(INDEX('G-1 All Habitats'!$B$3:$B$129,MATCH(R86,'G-1 All Habitats'!$A$3:$A$129,0)),"")</f>
        <v/>
      </c>
      <c r="T86" s="497" t="str">
        <f t="shared" si="17"/>
        <v/>
      </c>
      <c r="U86" s="498" t="str">
        <f t="shared" si="18"/>
        <v/>
      </c>
      <c r="V86" s="536" t="str">
        <f t="shared" si="12"/>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3"/>
        <v/>
      </c>
      <c r="AE86" s="82"/>
      <c r="AF86" s="82"/>
      <c r="AG86" s="506" t="str">
        <f t="shared" si="19"/>
        <v/>
      </c>
      <c r="AH86" s="520" t="str">
        <f t="shared" si="20"/>
        <v/>
      </c>
      <c r="AI86" s="521" t="str">
        <f>IF(AH86="Check Data","Check Data",IFERROR(VLOOKUP(AH86,'G-4 Temporal multipliers'!$A$4:$C$36,3,FALSE),""))</f>
        <v/>
      </c>
      <c r="AJ86" s="497" t="str">
        <f>IF(S86="","",VLOOKUP(S86,'G-3 Multipliers'!$A$2:$E$129,4,FALSE))</f>
        <v/>
      </c>
      <c r="AK86" s="506" t="str">
        <f t="shared" si="21"/>
        <v/>
      </c>
      <c r="AL86" s="506" t="str">
        <f t="shared" si="22"/>
        <v/>
      </c>
      <c r="AM86" s="539" t="str">
        <f>IFERROR(IF(F86="","",IF(AH86="Check Data ⚠","Check Data ⚠",VLOOKUP(AL86, 'G-3 Multipliers'!$P$2:$Q$6,2,FALSE))),"")</f>
        <v/>
      </c>
      <c r="AN86" s="512" t="str">
        <f t="shared" si="14"/>
        <v/>
      </c>
      <c r="AO86" s="238"/>
      <c r="AP86" s="239"/>
    </row>
    <row r="87" spans="1:42" x14ac:dyDescent="0.3">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t="str">
        <f t="shared" si="15"/>
        <v/>
      </c>
      <c r="R87" s="237" t="str">
        <f t="shared" si="16"/>
        <v/>
      </c>
      <c r="S87" s="391" t="str">
        <f>IFERROR(INDEX('G-1 All Habitats'!$B$3:$B$129,MATCH(R87,'G-1 All Habitats'!$A$3:$A$129,0)),"")</f>
        <v/>
      </c>
      <c r="T87" s="497" t="str">
        <f t="shared" si="17"/>
        <v/>
      </c>
      <c r="U87" s="498" t="str">
        <f t="shared" si="18"/>
        <v/>
      </c>
      <c r="V87" s="536" t="str">
        <f t="shared" si="12"/>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3"/>
        <v/>
      </c>
      <c r="AE87" s="82"/>
      <c r="AF87" s="82"/>
      <c r="AG87" s="506" t="str">
        <f t="shared" si="19"/>
        <v/>
      </c>
      <c r="AH87" s="520" t="str">
        <f t="shared" si="20"/>
        <v/>
      </c>
      <c r="AI87" s="521" t="str">
        <f>IF(AH87="Check Data","Check Data",IFERROR(VLOOKUP(AH87,'G-4 Temporal multipliers'!$A$4:$C$36,3,FALSE),""))</f>
        <v/>
      </c>
      <c r="AJ87" s="497" t="str">
        <f>IF(S87="","",VLOOKUP(S87,'G-3 Multipliers'!$A$2:$E$129,4,FALSE))</f>
        <v/>
      </c>
      <c r="AK87" s="506" t="str">
        <f t="shared" si="21"/>
        <v/>
      </c>
      <c r="AL87" s="506" t="str">
        <f t="shared" si="22"/>
        <v/>
      </c>
      <c r="AM87" s="539" t="str">
        <f>IFERROR(IF(F87="","",IF(AH87="Check Data ⚠","Check Data ⚠",VLOOKUP(AL87, 'G-3 Multipliers'!$P$2:$Q$6,2,FALSE))),"")</f>
        <v/>
      </c>
      <c r="AN87" s="512" t="str">
        <f t="shared" si="14"/>
        <v/>
      </c>
      <c r="AO87" s="238"/>
      <c r="AP87" s="239"/>
    </row>
    <row r="88" spans="1:42" x14ac:dyDescent="0.3">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t="str">
        <f t="shared" si="15"/>
        <v/>
      </c>
      <c r="R88" s="237" t="str">
        <f t="shared" si="16"/>
        <v/>
      </c>
      <c r="S88" s="391" t="str">
        <f>IFERROR(INDEX('G-1 All Habitats'!$B$3:$B$129,MATCH(R88,'G-1 All Habitats'!$A$3:$A$129,0)),"")</f>
        <v/>
      </c>
      <c r="T88" s="497" t="str">
        <f t="shared" si="17"/>
        <v/>
      </c>
      <c r="U88" s="498" t="str">
        <f t="shared" si="18"/>
        <v/>
      </c>
      <c r="V88" s="536" t="str">
        <f t="shared" si="12"/>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3"/>
        <v/>
      </c>
      <c r="AE88" s="82"/>
      <c r="AF88" s="82"/>
      <c r="AG88" s="506" t="str">
        <f t="shared" si="19"/>
        <v/>
      </c>
      <c r="AH88" s="520" t="str">
        <f t="shared" si="20"/>
        <v/>
      </c>
      <c r="AI88" s="521" t="str">
        <f>IF(AH88="Check Data","Check Data",IFERROR(VLOOKUP(AH88,'G-4 Temporal multipliers'!$A$4:$C$36,3,FALSE),""))</f>
        <v/>
      </c>
      <c r="AJ88" s="497" t="str">
        <f>IF(S88="","",VLOOKUP(S88,'G-3 Multipliers'!$A$2:$E$129,4,FALSE))</f>
        <v/>
      </c>
      <c r="AK88" s="506" t="str">
        <f t="shared" si="21"/>
        <v/>
      </c>
      <c r="AL88" s="506" t="str">
        <f t="shared" si="22"/>
        <v/>
      </c>
      <c r="AM88" s="539" t="str">
        <f>IFERROR(IF(F88="","",IF(AH88="Check Data ⚠","Check Data ⚠",VLOOKUP(AL88, 'G-3 Multipliers'!$P$2:$Q$6,2,FALSE))),"")</f>
        <v/>
      </c>
      <c r="AN88" s="512" t="str">
        <f t="shared" si="14"/>
        <v/>
      </c>
      <c r="AO88" s="238"/>
      <c r="AP88" s="239"/>
    </row>
    <row r="89" spans="1:42" x14ac:dyDescent="0.3">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t="str">
        <f t="shared" si="15"/>
        <v/>
      </c>
      <c r="R89" s="237" t="str">
        <f t="shared" si="16"/>
        <v/>
      </c>
      <c r="S89" s="391" t="str">
        <f>IFERROR(INDEX('G-1 All Habitats'!$B$3:$B$129,MATCH(R89,'G-1 All Habitats'!$A$3:$A$129,0)),"")</f>
        <v/>
      </c>
      <c r="T89" s="497" t="str">
        <f t="shared" si="17"/>
        <v/>
      </c>
      <c r="U89" s="498" t="str">
        <f t="shared" si="18"/>
        <v/>
      </c>
      <c r="V89" s="536" t="str">
        <f t="shared" si="12"/>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3"/>
        <v/>
      </c>
      <c r="AE89" s="82"/>
      <c r="AF89" s="82"/>
      <c r="AG89" s="506" t="str">
        <f t="shared" si="19"/>
        <v/>
      </c>
      <c r="AH89" s="520" t="str">
        <f t="shared" si="20"/>
        <v/>
      </c>
      <c r="AI89" s="521" t="str">
        <f>IF(AH89="Check Data","Check Data",IFERROR(VLOOKUP(AH89,'G-4 Temporal multipliers'!$A$4:$C$36,3,FALSE),""))</f>
        <v/>
      </c>
      <c r="AJ89" s="497" t="str">
        <f>IF(S89="","",VLOOKUP(S89,'G-3 Multipliers'!$A$2:$E$129,4,FALSE))</f>
        <v/>
      </c>
      <c r="AK89" s="506" t="str">
        <f t="shared" si="21"/>
        <v/>
      </c>
      <c r="AL89" s="506" t="str">
        <f t="shared" si="22"/>
        <v/>
      </c>
      <c r="AM89" s="539" t="str">
        <f>IFERROR(IF(F89="","",IF(AH89="Check Data ⚠","Check Data ⚠",VLOOKUP(AL89, 'G-3 Multipliers'!$P$2:$Q$6,2,FALSE))),"")</f>
        <v/>
      </c>
      <c r="AN89" s="512" t="str">
        <f t="shared" si="14"/>
        <v/>
      </c>
      <c r="AO89" s="238"/>
      <c r="AP89" s="239"/>
    </row>
    <row r="90" spans="1:42" x14ac:dyDescent="0.3">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t="str">
        <f t="shared" si="15"/>
        <v/>
      </c>
      <c r="R90" s="237" t="str">
        <f t="shared" si="16"/>
        <v/>
      </c>
      <c r="S90" s="391" t="str">
        <f>IFERROR(INDEX('G-1 All Habitats'!$B$3:$B$129,MATCH(R90,'G-1 All Habitats'!$A$3:$A$129,0)),"")</f>
        <v/>
      </c>
      <c r="T90" s="497" t="str">
        <f t="shared" si="17"/>
        <v/>
      </c>
      <c r="U90" s="498" t="str">
        <f t="shared" si="18"/>
        <v/>
      </c>
      <c r="V90" s="536" t="str">
        <f t="shared" si="12"/>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3"/>
        <v/>
      </c>
      <c r="AE90" s="82"/>
      <c r="AF90" s="82"/>
      <c r="AG90" s="506" t="str">
        <f t="shared" si="19"/>
        <v/>
      </c>
      <c r="AH90" s="520" t="str">
        <f t="shared" si="20"/>
        <v/>
      </c>
      <c r="AI90" s="521" t="str">
        <f>IF(AH90="Check Data","Check Data",IFERROR(VLOOKUP(AH90,'G-4 Temporal multipliers'!$A$4:$C$36,3,FALSE),""))</f>
        <v/>
      </c>
      <c r="AJ90" s="497" t="str">
        <f>IF(S90="","",VLOOKUP(S90,'G-3 Multipliers'!$A$2:$E$129,4,FALSE))</f>
        <v/>
      </c>
      <c r="AK90" s="506" t="str">
        <f t="shared" si="21"/>
        <v/>
      </c>
      <c r="AL90" s="506" t="str">
        <f t="shared" si="22"/>
        <v/>
      </c>
      <c r="AM90" s="539" t="str">
        <f>IFERROR(IF(F90="","",IF(AH90="Check Data ⚠","Check Data ⚠",VLOOKUP(AL90, 'G-3 Multipliers'!$P$2:$Q$6,2,FALSE))),"")</f>
        <v/>
      </c>
      <c r="AN90" s="512" t="str">
        <f t="shared" si="14"/>
        <v/>
      </c>
      <c r="AO90" s="238"/>
      <c r="AP90" s="239"/>
    </row>
    <row r="91" spans="1:42" x14ac:dyDescent="0.3">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t="str">
        <f t="shared" si="15"/>
        <v/>
      </c>
      <c r="R91" s="237" t="str">
        <f t="shared" si="16"/>
        <v/>
      </c>
      <c r="S91" s="391" t="str">
        <f>IFERROR(INDEX('G-1 All Habitats'!$B$3:$B$129,MATCH(R91,'G-1 All Habitats'!$A$3:$A$129,0)),"")</f>
        <v/>
      </c>
      <c r="T91" s="497" t="str">
        <f t="shared" si="17"/>
        <v/>
      </c>
      <c r="U91" s="498" t="str">
        <f t="shared" si="18"/>
        <v/>
      </c>
      <c r="V91" s="536" t="str">
        <f t="shared" si="12"/>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3"/>
        <v/>
      </c>
      <c r="AE91" s="82"/>
      <c r="AF91" s="82"/>
      <c r="AG91" s="506" t="str">
        <f t="shared" si="19"/>
        <v/>
      </c>
      <c r="AH91" s="520" t="str">
        <f t="shared" si="20"/>
        <v/>
      </c>
      <c r="AI91" s="521" t="str">
        <f>IF(AH91="Check Data","Check Data",IFERROR(VLOOKUP(AH91,'G-4 Temporal multipliers'!$A$4:$C$36,3,FALSE),""))</f>
        <v/>
      </c>
      <c r="AJ91" s="497" t="str">
        <f>IF(S91="","",VLOOKUP(S91,'G-3 Multipliers'!$A$2:$E$129,4,FALSE))</f>
        <v/>
      </c>
      <c r="AK91" s="506" t="str">
        <f t="shared" si="21"/>
        <v/>
      </c>
      <c r="AL91" s="506" t="str">
        <f t="shared" si="22"/>
        <v/>
      </c>
      <c r="AM91" s="539" t="str">
        <f>IFERROR(IF(F91="","",IF(AH91="Check Data ⚠","Check Data ⚠",VLOOKUP(AL91, 'G-3 Multipliers'!$P$2:$Q$6,2,FALSE))),"")</f>
        <v/>
      </c>
      <c r="AN91" s="512" t="str">
        <f t="shared" si="14"/>
        <v/>
      </c>
      <c r="AO91" s="238"/>
      <c r="AP91" s="239"/>
    </row>
    <row r="92" spans="1:42" x14ac:dyDescent="0.3">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t="str">
        <f t="shared" si="15"/>
        <v/>
      </c>
      <c r="R92" s="237" t="str">
        <f t="shared" si="16"/>
        <v/>
      </c>
      <c r="S92" s="391" t="str">
        <f>IFERROR(INDEX('G-1 All Habitats'!$B$3:$B$129,MATCH(R92,'G-1 All Habitats'!$A$3:$A$129,0)),"")</f>
        <v/>
      </c>
      <c r="T92" s="497" t="str">
        <f t="shared" si="17"/>
        <v/>
      </c>
      <c r="U92" s="498" t="str">
        <f t="shared" si="18"/>
        <v/>
      </c>
      <c r="V92" s="536" t="str">
        <f t="shared" si="12"/>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3"/>
        <v/>
      </c>
      <c r="AE92" s="82"/>
      <c r="AF92" s="82"/>
      <c r="AG92" s="506" t="str">
        <f t="shared" si="19"/>
        <v/>
      </c>
      <c r="AH92" s="520" t="str">
        <f t="shared" si="20"/>
        <v/>
      </c>
      <c r="AI92" s="521" t="str">
        <f>IF(AH92="Check Data","Check Data",IFERROR(VLOOKUP(AH92,'G-4 Temporal multipliers'!$A$4:$C$36,3,FALSE),""))</f>
        <v/>
      </c>
      <c r="AJ92" s="497" t="str">
        <f>IF(S92="","",VLOOKUP(S92,'G-3 Multipliers'!$A$2:$E$129,4,FALSE))</f>
        <v/>
      </c>
      <c r="AK92" s="506" t="str">
        <f t="shared" si="21"/>
        <v/>
      </c>
      <c r="AL92" s="506" t="str">
        <f t="shared" si="22"/>
        <v/>
      </c>
      <c r="AM92" s="539" t="str">
        <f>IFERROR(IF(F92="","",IF(AH92="Check Data ⚠","Check Data ⚠",VLOOKUP(AL92, 'G-3 Multipliers'!$P$2:$Q$6,2,FALSE))),"")</f>
        <v/>
      </c>
      <c r="AN92" s="512" t="str">
        <f t="shared" si="14"/>
        <v/>
      </c>
      <c r="AO92" s="238"/>
      <c r="AP92" s="239"/>
    </row>
    <row r="93" spans="1:42" x14ac:dyDescent="0.3">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t="str">
        <f t="shared" si="15"/>
        <v/>
      </c>
      <c r="R93" s="237" t="str">
        <f t="shared" si="16"/>
        <v/>
      </c>
      <c r="S93" s="391" t="str">
        <f>IFERROR(INDEX('G-1 All Habitats'!$B$3:$B$129,MATCH(R93,'G-1 All Habitats'!$A$3:$A$129,0)),"")</f>
        <v/>
      </c>
      <c r="T93" s="497" t="str">
        <f t="shared" si="17"/>
        <v/>
      </c>
      <c r="U93" s="498" t="str">
        <f t="shared" si="18"/>
        <v/>
      </c>
      <c r="V93" s="536" t="str">
        <f t="shared" si="12"/>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3"/>
        <v/>
      </c>
      <c r="AE93" s="82"/>
      <c r="AF93" s="82"/>
      <c r="AG93" s="506" t="str">
        <f t="shared" si="19"/>
        <v/>
      </c>
      <c r="AH93" s="520" t="str">
        <f t="shared" si="20"/>
        <v/>
      </c>
      <c r="AI93" s="521" t="str">
        <f>IF(AH93="Check Data","Check Data",IFERROR(VLOOKUP(AH93,'G-4 Temporal multipliers'!$A$4:$C$36,3,FALSE),""))</f>
        <v/>
      </c>
      <c r="AJ93" s="497" t="str">
        <f>IF(S93="","",VLOOKUP(S93,'G-3 Multipliers'!$A$2:$E$129,4,FALSE))</f>
        <v/>
      </c>
      <c r="AK93" s="506" t="str">
        <f t="shared" si="21"/>
        <v/>
      </c>
      <c r="AL93" s="506" t="str">
        <f t="shared" si="22"/>
        <v/>
      </c>
      <c r="AM93" s="539" t="str">
        <f>IFERROR(IF(F93="","",IF(AH93="Check Data ⚠","Check Data ⚠",VLOOKUP(AL93, 'G-3 Multipliers'!$P$2:$Q$6,2,FALSE))),"")</f>
        <v/>
      </c>
      <c r="AN93" s="512" t="str">
        <f t="shared" si="14"/>
        <v/>
      </c>
      <c r="AO93" s="238"/>
      <c r="AP93" s="239"/>
    </row>
    <row r="94" spans="1:42" x14ac:dyDescent="0.3">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t="str">
        <f t="shared" si="15"/>
        <v/>
      </c>
      <c r="R94" s="237" t="str">
        <f t="shared" si="16"/>
        <v/>
      </c>
      <c r="S94" s="391" t="str">
        <f>IFERROR(INDEX('G-1 All Habitats'!$B$3:$B$129,MATCH(R94,'G-1 All Habitats'!$A$3:$A$129,0)),"")</f>
        <v/>
      </c>
      <c r="T94" s="497" t="str">
        <f t="shared" si="17"/>
        <v/>
      </c>
      <c r="U94" s="498" t="str">
        <f t="shared" si="18"/>
        <v/>
      </c>
      <c r="V94" s="536" t="str">
        <f t="shared" si="12"/>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3"/>
        <v/>
      </c>
      <c r="AE94" s="82"/>
      <c r="AF94" s="82"/>
      <c r="AG94" s="506" t="str">
        <f t="shared" si="19"/>
        <v/>
      </c>
      <c r="AH94" s="520" t="str">
        <f t="shared" si="20"/>
        <v/>
      </c>
      <c r="AI94" s="521" t="str">
        <f>IF(AH94="Check Data","Check Data",IFERROR(VLOOKUP(AH94,'G-4 Temporal multipliers'!$A$4:$C$36,3,FALSE),""))</f>
        <v/>
      </c>
      <c r="AJ94" s="497" t="str">
        <f>IF(S94="","",VLOOKUP(S94,'G-3 Multipliers'!$A$2:$E$129,4,FALSE))</f>
        <v/>
      </c>
      <c r="AK94" s="506" t="str">
        <f t="shared" si="21"/>
        <v/>
      </c>
      <c r="AL94" s="506" t="str">
        <f t="shared" si="22"/>
        <v/>
      </c>
      <c r="AM94" s="539" t="str">
        <f>IFERROR(IF(F94="","",IF(AH94="Check Data ⚠","Check Data ⚠",VLOOKUP(AL94, 'G-3 Multipliers'!$P$2:$Q$6,2,FALSE))),"")</f>
        <v/>
      </c>
      <c r="AN94" s="512" t="str">
        <f t="shared" si="14"/>
        <v/>
      </c>
      <c r="AO94" s="238"/>
      <c r="AP94" s="239"/>
    </row>
    <row r="95" spans="1:42" x14ac:dyDescent="0.3">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t="str">
        <f t="shared" si="15"/>
        <v/>
      </c>
      <c r="R95" s="237" t="str">
        <f t="shared" si="16"/>
        <v/>
      </c>
      <c r="S95" s="391" t="str">
        <f>IFERROR(INDEX('G-1 All Habitats'!$B$3:$B$129,MATCH(R95,'G-1 All Habitats'!$A$3:$A$129,0)),"")</f>
        <v/>
      </c>
      <c r="T95" s="497" t="str">
        <f t="shared" si="17"/>
        <v/>
      </c>
      <c r="U95" s="498" t="str">
        <f t="shared" si="18"/>
        <v/>
      </c>
      <c r="V95" s="536" t="str">
        <f t="shared" si="12"/>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3"/>
        <v/>
      </c>
      <c r="AE95" s="82"/>
      <c r="AF95" s="82"/>
      <c r="AG95" s="506" t="str">
        <f t="shared" si="19"/>
        <v/>
      </c>
      <c r="AH95" s="520" t="str">
        <f t="shared" si="20"/>
        <v/>
      </c>
      <c r="AI95" s="521" t="str">
        <f>IF(AH95="Check Data","Check Data",IFERROR(VLOOKUP(AH95,'G-4 Temporal multipliers'!$A$4:$C$36,3,FALSE),""))</f>
        <v/>
      </c>
      <c r="AJ95" s="497" t="str">
        <f>IF(S95="","",VLOOKUP(S95,'G-3 Multipliers'!$A$2:$E$129,4,FALSE))</f>
        <v/>
      </c>
      <c r="AK95" s="506" t="str">
        <f t="shared" si="21"/>
        <v/>
      </c>
      <c r="AL95" s="506" t="str">
        <f t="shared" si="22"/>
        <v/>
      </c>
      <c r="AM95" s="539" t="str">
        <f>IFERROR(IF(F95="","",IF(AH95="Check Data ⚠","Check Data ⚠",VLOOKUP(AL95, 'G-3 Multipliers'!$P$2:$Q$6,2,FALSE))),"")</f>
        <v/>
      </c>
      <c r="AN95" s="512" t="str">
        <f t="shared" si="14"/>
        <v/>
      </c>
      <c r="AO95" s="238"/>
      <c r="AP95" s="239"/>
    </row>
    <row r="96" spans="1:42" x14ac:dyDescent="0.3">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t="str">
        <f t="shared" si="15"/>
        <v/>
      </c>
      <c r="R96" s="237" t="str">
        <f t="shared" si="16"/>
        <v/>
      </c>
      <c r="S96" s="391" t="str">
        <f>IFERROR(INDEX('G-1 All Habitats'!$B$3:$B$129,MATCH(R96,'G-1 All Habitats'!$A$3:$A$129,0)),"")</f>
        <v/>
      </c>
      <c r="T96" s="497" t="str">
        <f t="shared" si="17"/>
        <v/>
      </c>
      <c r="U96" s="498" t="str">
        <f t="shared" si="18"/>
        <v/>
      </c>
      <c r="V96" s="536" t="str">
        <f t="shared" si="12"/>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3"/>
        <v/>
      </c>
      <c r="AE96" s="82"/>
      <c r="AF96" s="82"/>
      <c r="AG96" s="506" t="str">
        <f t="shared" si="19"/>
        <v/>
      </c>
      <c r="AH96" s="520" t="str">
        <f t="shared" si="20"/>
        <v/>
      </c>
      <c r="AI96" s="521" t="str">
        <f>IF(AH96="Check Data","Check Data",IFERROR(VLOOKUP(AH96,'G-4 Temporal multipliers'!$A$4:$C$36,3,FALSE),""))</f>
        <v/>
      </c>
      <c r="AJ96" s="497" t="str">
        <f>IF(S96="","",VLOOKUP(S96,'G-3 Multipliers'!$A$2:$E$129,4,FALSE))</f>
        <v/>
      </c>
      <c r="AK96" s="506" t="str">
        <f t="shared" si="21"/>
        <v/>
      </c>
      <c r="AL96" s="506" t="str">
        <f t="shared" si="22"/>
        <v/>
      </c>
      <c r="AM96" s="539" t="str">
        <f>IFERROR(IF(F96="","",IF(AH96="Check Data ⚠","Check Data ⚠",VLOOKUP(AL96, 'G-3 Multipliers'!$P$2:$Q$6,2,FALSE))),"")</f>
        <v/>
      </c>
      <c r="AN96" s="512" t="str">
        <f t="shared" si="14"/>
        <v/>
      </c>
      <c r="AO96" s="238"/>
      <c r="AP96" s="239"/>
    </row>
    <row r="97" spans="1:42" x14ac:dyDescent="0.3">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t="str">
        <f t="shared" si="15"/>
        <v/>
      </c>
      <c r="R97" s="237" t="str">
        <f t="shared" si="16"/>
        <v/>
      </c>
      <c r="S97" s="391" t="str">
        <f>IFERROR(INDEX('G-1 All Habitats'!$B$3:$B$129,MATCH(R97,'G-1 All Habitats'!$A$3:$A$129,0)),"")</f>
        <v/>
      </c>
      <c r="T97" s="497" t="str">
        <f t="shared" si="17"/>
        <v/>
      </c>
      <c r="U97" s="498" t="str">
        <f t="shared" si="18"/>
        <v/>
      </c>
      <c r="V97" s="536" t="str">
        <f t="shared" si="12"/>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3"/>
        <v/>
      </c>
      <c r="AE97" s="82"/>
      <c r="AF97" s="82"/>
      <c r="AG97" s="506" t="str">
        <f t="shared" si="19"/>
        <v/>
      </c>
      <c r="AH97" s="520" t="str">
        <f t="shared" si="20"/>
        <v/>
      </c>
      <c r="AI97" s="521" t="str">
        <f>IF(AH97="Check Data","Check Data",IFERROR(VLOOKUP(AH97,'G-4 Temporal multipliers'!$A$4:$C$36,3,FALSE),""))</f>
        <v/>
      </c>
      <c r="AJ97" s="497" t="str">
        <f>IF(S97="","",VLOOKUP(S97,'G-3 Multipliers'!$A$2:$E$129,4,FALSE))</f>
        <v/>
      </c>
      <c r="AK97" s="506" t="str">
        <f t="shared" si="21"/>
        <v/>
      </c>
      <c r="AL97" s="506" t="str">
        <f t="shared" si="22"/>
        <v/>
      </c>
      <c r="AM97" s="539" t="str">
        <f>IFERROR(IF(F97="","",IF(AH97="Check Data ⚠","Check Data ⚠",VLOOKUP(AL97, 'G-3 Multipliers'!$P$2:$Q$6,2,FALSE))),"")</f>
        <v/>
      </c>
      <c r="AN97" s="512" t="str">
        <f t="shared" si="14"/>
        <v/>
      </c>
      <c r="AO97" s="238"/>
      <c r="AP97" s="239"/>
    </row>
    <row r="98" spans="1:42" x14ac:dyDescent="0.3">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t="str">
        <f t="shared" si="15"/>
        <v/>
      </c>
      <c r="R98" s="237" t="str">
        <f t="shared" si="16"/>
        <v/>
      </c>
      <c r="S98" s="391" t="str">
        <f>IFERROR(INDEX('G-1 All Habitats'!$B$3:$B$129,MATCH(R98,'G-1 All Habitats'!$A$3:$A$129,0)),"")</f>
        <v/>
      </c>
      <c r="T98" s="497" t="str">
        <f t="shared" si="17"/>
        <v/>
      </c>
      <c r="U98" s="498" t="str">
        <f t="shared" si="18"/>
        <v/>
      </c>
      <c r="V98" s="536" t="str">
        <f t="shared" si="12"/>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3"/>
        <v/>
      </c>
      <c r="AE98" s="82"/>
      <c r="AF98" s="82"/>
      <c r="AG98" s="506" t="str">
        <f t="shared" si="19"/>
        <v/>
      </c>
      <c r="AH98" s="520" t="str">
        <f t="shared" si="20"/>
        <v/>
      </c>
      <c r="AI98" s="521" t="str">
        <f>IF(AH98="Check Data","Check Data",IFERROR(VLOOKUP(AH98,'G-4 Temporal multipliers'!$A$4:$C$36,3,FALSE),""))</f>
        <v/>
      </c>
      <c r="AJ98" s="497" t="str">
        <f>IF(S98="","",VLOOKUP(S98,'G-3 Multipliers'!$A$2:$E$129,4,FALSE))</f>
        <v/>
      </c>
      <c r="AK98" s="506" t="str">
        <f t="shared" si="21"/>
        <v/>
      </c>
      <c r="AL98" s="506" t="str">
        <f t="shared" si="22"/>
        <v/>
      </c>
      <c r="AM98" s="539" t="str">
        <f>IFERROR(IF(F98="","",IF(AH98="Check Data ⚠","Check Data ⚠",VLOOKUP(AL98, 'G-3 Multipliers'!$P$2:$Q$6,2,FALSE))),"")</f>
        <v/>
      </c>
      <c r="AN98" s="512" t="str">
        <f t="shared" si="14"/>
        <v/>
      </c>
      <c r="AO98" s="238"/>
      <c r="AP98" s="239"/>
    </row>
    <row r="99" spans="1:42" x14ac:dyDescent="0.3">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t="str">
        <f t="shared" si="15"/>
        <v/>
      </c>
      <c r="R99" s="237" t="str">
        <f t="shared" si="16"/>
        <v/>
      </c>
      <c r="S99" s="391" t="str">
        <f>IFERROR(INDEX('G-1 All Habitats'!$B$3:$B$129,MATCH(R99,'G-1 All Habitats'!$A$3:$A$129,0)),"")</f>
        <v/>
      </c>
      <c r="T99" s="497" t="str">
        <f t="shared" si="17"/>
        <v/>
      </c>
      <c r="U99" s="498" t="str">
        <f t="shared" si="18"/>
        <v/>
      </c>
      <c r="V99" s="536" t="str">
        <f t="shared" si="12"/>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3"/>
        <v/>
      </c>
      <c r="AE99" s="82"/>
      <c r="AF99" s="82"/>
      <c r="AG99" s="506" t="str">
        <f t="shared" si="19"/>
        <v/>
      </c>
      <c r="AH99" s="520" t="str">
        <f t="shared" si="20"/>
        <v/>
      </c>
      <c r="AI99" s="521" t="str">
        <f>IF(AH99="Check Data","Check Data",IFERROR(VLOOKUP(AH99,'G-4 Temporal multipliers'!$A$4:$C$36,3,FALSE),""))</f>
        <v/>
      </c>
      <c r="AJ99" s="497" t="str">
        <f>IF(S99="","",VLOOKUP(S99,'G-3 Multipliers'!$A$2:$E$129,4,FALSE))</f>
        <v/>
      </c>
      <c r="AK99" s="506" t="str">
        <f t="shared" si="21"/>
        <v/>
      </c>
      <c r="AL99" s="506" t="str">
        <f t="shared" si="22"/>
        <v/>
      </c>
      <c r="AM99" s="539" t="str">
        <f>IFERROR(IF(F99="","",IF(AH99="Check Data ⚠","Check Data ⚠",VLOOKUP(AL99, 'G-3 Multipliers'!$P$2:$Q$6,2,FALSE))),"")</f>
        <v/>
      </c>
      <c r="AN99" s="512" t="str">
        <f t="shared" si="14"/>
        <v/>
      </c>
      <c r="AO99" s="238"/>
      <c r="AP99" s="239"/>
    </row>
    <row r="100" spans="1:42" x14ac:dyDescent="0.3">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t="str">
        <f t="shared" si="15"/>
        <v/>
      </c>
      <c r="R100" s="237" t="str">
        <f t="shared" si="16"/>
        <v/>
      </c>
      <c r="S100" s="391" t="str">
        <f>IFERROR(INDEX('G-1 All Habitats'!$B$3:$B$129,MATCH(R100,'G-1 All Habitats'!$A$3:$A$129,0)),"")</f>
        <v/>
      </c>
      <c r="T100" s="497" t="str">
        <f t="shared" si="17"/>
        <v/>
      </c>
      <c r="U100" s="498" t="str">
        <f t="shared" si="18"/>
        <v/>
      </c>
      <c r="V100" s="536" t="str">
        <f t="shared" si="12"/>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3"/>
        <v/>
      </c>
      <c r="AE100" s="82"/>
      <c r="AF100" s="82"/>
      <c r="AG100" s="506" t="str">
        <f t="shared" si="19"/>
        <v/>
      </c>
      <c r="AH100" s="520" t="str">
        <f t="shared" si="20"/>
        <v/>
      </c>
      <c r="AI100" s="521" t="str">
        <f>IF(AH100="Check Data","Check Data",IFERROR(VLOOKUP(AH100,'G-4 Temporal multipliers'!$A$4:$C$36,3,FALSE),""))</f>
        <v/>
      </c>
      <c r="AJ100" s="497" t="str">
        <f>IF(S100="","",VLOOKUP(S100,'G-3 Multipliers'!$A$2:$E$129,4,FALSE))</f>
        <v/>
      </c>
      <c r="AK100" s="506" t="str">
        <f t="shared" si="21"/>
        <v/>
      </c>
      <c r="AL100" s="506" t="str">
        <f t="shared" si="22"/>
        <v/>
      </c>
      <c r="AM100" s="539" t="str">
        <f>IFERROR(IF(F100="","",IF(AH100="Check Data ⚠","Check Data ⚠",VLOOKUP(AL100, 'G-3 Multipliers'!$P$2:$Q$6,2,FALSE))),"")</f>
        <v/>
      </c>
      <c r="AN100" s="512" t="str">
        <f t="shared" si="14"/>
        <v/>
      </c>
      <c r="AO100" s="238"/>
      <c r="AP100" s="239"/>
    </row>
    <row r="101" spans="1:42" x14ac:dyDescent="0.3">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t="str">
        <f t="shared" si="15"/>
        <v/>
      </c>
      <c r="R101" s="237" t="str">
        <f t="shared" si="16"/>
        <v/>
      </c>
      <c r="S101" s="391" t="str">
        <f>IFERROR(INDEX('G-1 All Habitats'!$B$3:$B$129,MATCH(R101,'G-1 All Habitats'!$A$3:$A$129,0)),"")</f>
        <v/>
      </c>
      <c r="T101" s="497" t="str">
        <f t="shared" si="17"/>
        <v/>
      </c>
      <c r="U101" s="498" t="str">
        <f t="shared" si="18"/>
        <v/>
      </c>
      <c r="V101" s="536" t="str">
        <f t="shared" si="12"/>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3"/>
        <v/>
      </c>
      <c r="AE101" s="82"/>
      <c r="AF101" s="82"/>
      <c r="AG101" s="506" t="str">
        <f t="shared" si="19"/>
        <v/>
      </c>
      <c r="AH101" s="520" t="str">
        <f t="shared" si="20"/>
        <v/>
      </c>
      <c r="AI101" s="521" t="str">
        <f>IF(AH101="Check Data","Check Data",IFERROR(VLOOKUP(AH101,'G-4 Temporal multipliers'!$A$4:$C$36,3,FALSE),""))</f>
        <v/>
      </c>
      <c r="AJ101" s="497" t="str">
        <f>IF(S101="","",VLOOKUP(S101,'G-3 Multipliers'!$A$2:$E$129,4,FALSE))</f>
        <v/>
      </c>
      <c r="AK101" s="506" t="str">
        <f t="shared" si="21"/>
        <v/>
      </c>
      <c r="AL101" s="506" t="str">
        <f t="shared" si="22"/>
        <v/>
      </c>
      <c r="AM101" s="539" t="str">
        <f>IFERROR(IF(F101="","",IF(AH101="Check Data ⚠","Check Data ⚠",VLOOKUP(AL101, 'G-3 Multipliers'!$P$2:$Q$6,2,FALSE))),"")</f>
        <v/>
      </c>
      <c r="AN101" s="512" t="str">
        <f t="shared" si="14"/>
        <v/>
      </c>
      <c r="AO101" s="238"/>
      <c r="AP101" s="239"/>
    </row>
    <row r="102" spans="1:42" x14ac:dyDescent="0.3">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t="str">
        <f t="shared" si="15"/>
        <v/>
      </c>
      <c r="R102" s="237" t="str">
        <f t="shared" si="16"/>
        <v/>
      </c>
      <c r="S102" s="391" t="str">
        <f>IFERROR(INDEX('G-1 All Habitats'!$B$3:$B$129,MATCH(R102,'G-1 All Habitats'!$A$3:$A$129,0)),"")</f>
        <v/>
      </c>
      <c r="T102" s="497" t="str">
        <f t="shared" si="17"/>
        <v/>
      </c>
      <c r="U102" s="498" t="str">
        <f t="shared" si="18"/>
        <v/>
      </c>
      <c r="V102" s="536" t="str">
        <f t="shared" si="12"/>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3"/>
        <v/>
      </c>
      <c r="AE102" s="82"/>
      <c r="AF102" s="82"/>
      <c r="AG102" s="506" t="str">
        <f t="shared" si="19"/>
        <v/>
      </c>
      <c r="AH102" s="520" t="str">
        <f t="shared" si="20"/>
        <v/>
      </c>
      <c r="AI102" s="521" t="str">
        <f>IF(AH102="Check Data","Check Data",IFERROR(VLOOKUP(AH102,'G-4 Temporal multipliers'!$A$4:$C$36,3,FALSE),""))</f>
        <v/>
      </c>
      <c r="AJ102" s="497" t="str">
        <f>IF(S102="","",VLOOKUP(S102,'G-3 Multipliers'!$A$2:$E$129,4,FALSE))</f>
        <v/>
      </c>
      <c r="AK102" s="506" t="str">
        <f t="shared" si="21"/>
        <v/>
      </c>
      <c r="AL102" s="506" t="str">
        <f t="shared" si="22"/>
        <v/>
      </c>
      <c r="AM102" s="539" t="str">
        <f>IFERROR(IF(F102="","",IF(AH102="Check Data ⚠","Check Data ⚠",VLOOKUP(AL102, 'G-3 Multipliers'!$P$2:$Q$6,2,FALSE))),"")</f>
        <v/>
      </c>
      <c r="AN102" s="512" t="str">
        <f t="shared" si="14"/>
        <v/>
      </c>
      <c r="AO102" s="238"/>
      <c r="AP102" s="239"/>
    </row>
    <row r="103" spans="1:42" x14ac:dyDescent="0.3">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t="str">
        <f t="shared" si="15"/>
        <v/>
      </c>
      <c r="R103" s="237" t="str">
        <f t="shared" si="16"/>
        <v/>
      </c>
      <c r="S103" s="391" t="str">
        <f>IFERROR(INDEX('G-1 All Habitats'!$B$3:$B$129,MATCH(R103,'G-1 All Habitats'!$A$3:$A$129,0)),"")</f>
        <v/>
      </c>
      <c r="T103" s="497" t="str">
        <f t="shared" si="17"/>
        <v/>
      </c>
      <c r="U103" s="498" t="str">
        <f t="shared" si="18"/>
        <v/>
      </c>
      <c r="V103" s="536" t="str">
        <f t="shared" si="12"/>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3"/>
        <v/>
      </c>
      <c r="AE103" s="82"/>
      <c r="AF103" s="82"/>
      <c r="AG103" s="506" t="str">
        <f t="shared" si="19"/>
        <v/>
      </c>
      <c r="AH103" s="520" t="str">
        <f t="shared" si="20"/>
        <v/>
      </c>
      <c r="AI103" s="521" t="str">
        <f>IF(AH103="Check Data","Check Data",IFERROR(VLOOKUP(AH103,'G-4 Temporal multipliers'!$A$4:$C$36,3,FALSE),""))</f>
        <v/>
      </c>
      <c r="AJ103" s="497" t="str">
        <f>IF(S103="","",VLOOKUP(S103,'G-3 Multipliers'!$A$2:$E$129,4,FALSE))</f>
        <v/>
      </c>
      <c r="AK103" s="506" t="str">
        <f t="shared" si="21"/>
        <v/>
      </c>
      <c r="AL103" s="506" t="str">
        <f t="shared" si="22"/>
        <v/>
      </c>
      <c r="AM103" s="539" t="str">
        <f>IFERROR(IF(F103="","",IF(AH103="Check Data ⚠","Check Data ⚠",VLOOKUP(AL103, 'G-3 Multipliers'!$P$2:$Q$6,2,FALSE))),"")</f>
        <v/>
      </c>
      <c r="AN103" s="512" t="str">
        <f t="shared" si="14"/>
        <v/>
      </c>
      <c r="AO103" s="238"/>
      <c r="AP103" s="239"/>
    </row>
    <row r="104" spans="1:42" x14ac:dyDescent="0.3">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t="str">
        <f t="shared" si="15"/>
        <v/>
      </c>
      <c r="R104" s="237" t="str">
        <f t="shared" si="16"/>
        <v/>
      </c>
      <c r="S104" s="391" t="str">
        <f>IFERROR(INDEX('G-1 All Habitats'!$B$3:$B$129,MATCH(R104,'G-1 All Habitats'!$A$3:$A$129,0)),"")</f>
        <v/>
      </c>
      <c r="T104" s="497" t="str">
        <f t="shared" si="17"/>
        <v/>
      </c>
      <c r="U104" s="498" t="str">
        <f t="shared" si="18"/>
        <v/>
      </c>
      <c r="V104" s="536" t="str">
        <f t="shared" si="12"/>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3"/>
        <v/>
      </c>
      <c r="AE104" s="82"/>
      <c r="AF104" s="82"/>
      <c r="AG104" s="506" t="str">
        <f t="shared" si="19"/>
        <v/>
      </c>
      <c r="AH104" s="520" t="str">
        <f t="shared" si="20"/>
        <v/>
      </c>
      <c r="AI104" s="521" t="str">
        <f>IF(AH104="Check Data","Check Data",IFERROR(VLOOKUP(AH104,'G-4 Temporal multipliers'!$A$4:$C$36,3,FALSE),""))</f>
        <v/>
      </c>
      <c r="AJ104" s="497" t="str">
        <f>IF(S104="","",VLOOKUP(S104,'G-3 Multipliers'!$A$2:$E$129,4,FALSE))</f>
        <v/>
      </c>
      <c r="AK104" s="506" t="str">
        <f t="shared" si="21"/>
        <v/>
      </c>
      <c r="AL104" s="506" t="str">
        <f t="shared" si="22"/>
        <v/>
      </c>
      <c r="AM104" s="539" t="str">
        <f>IFERROR(IF(F104="","",IF(AH104="Check Data ⚠","Check Data ⚠",VLOOKUP(AL104, 'G-3 Multipliers'!$P$2:$Q$6,2,FALSE))),"")</f>
        <v/>
      </c>
      <c r="AN104" s="512" t="str">
        <f t="shared" si="14"/>
        <v/>
      </c>
      <c r="AO104" s="238"/>
      <c r="AP104" s="239"/>
    </row>
    <row r="105" spans="1:42" x14ac:dyDescent="0.3">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t="str">
        <f t="shared" si="15"/>
        <v/>
      </c>
      <c r="R105" s="237" t="str">
        <f t="shared" si="16"/>
        <v/>
      </c>
      <c r="S105" s="391" t="str">
        <f>IFERROR(INDEX('G-1 All Habitats'!$B$3:$B$129,MATCH(R105,'G-1 All Habitats'!$A$3:$A$129,0)),"")</f>
        <v/>
      </c>
      <c r="T105" s="497" t="str">
        <f t="shared" si="17"/>
        <v/>
      </c>
      <c r="U105" s="498" t="str">
        <f t="shared" si="18"/>
        <v/>
      </c>
      <c r="V105" s="536" t="str">
        <f t="shared" si="12"/>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3"/>
        <v/>
      </c>
      <c r="AE105" s="82"/>
      <c r="AF105" s="82"/>
      <c r="AG105" s="506" t="str">
        <f t="shared" si="19"/>
        <v/>
      </c>
      <c r="AH105" s="520" t="str">
        <f t="shared" si="20"/>
        <v/>
      </c>
      <c r="AI105" s="521" t="str">
        <f>IF(AH105="Check Data","Check Data",IFERROR(VLOOKUP(AH105,'G-4 Temporal multipliers'!$A$4:$C$36,3,FALSE),""))</f>
        <v/>
      </c>
      <c r="AJ105" s="497" t="str">
        <f>IF(S105="","",VLOOKUP(S105,'G-3 Multipliers'!$A$2:$E$129,4,FALSE))</f>
        <v/>
      </c>
      <c r="AK105" s="506" t="str">
        <f t="shared" si="21"/>
        <v/>
      </c>
      <c r="AL105" s="506" t="str">
        <f t="shared" si="22"/>
        <v/>
      </c>
      <c r="AM105" s="539" t="str">
        <f>IFERROR(IF(F105="","",IF(AH105="Check Data ⚠","Check Data ⚠",VLOOKUP(AL105, 'G-3 Multipliers'!$P$2:$Q$6,2,FALSE))),"")</f>
        <v/>
      </c>
      <c r="AN105" s="512" t="str">
        <f t="shared" si="14"/>
        <v/>
      </c>
      <c r="AO105" s="238"/>
      <c r="AP105" s="239"/>
    </row>
    <row r="106" spans="1:42" x14ac:dyDescent="0.3">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t="str">
        <f t="shared" si="15"/>
        <v/>
      </c>
      <c r="R106" s="237" t="str">
        <f t="shared" si="16"/>
        <v/>
      </c>
      <c r="S106" s="391" t="str">
        <f>IFERROR(INDEX('G-1 All Habitats'!$B$3:$B$129,MATCH(R106,'G-1 All Habitats'!$A$3:$A$129,0)),"")</f>
        <v/>
      </c>
      <c r="T106" s="497" t="str">
        <f t="shared" si="17"/>
        <v/>
      </c>
      <c r="U106" s="498" t="str">
        <f t="shared" si="18"/>
        <v/>
      </c>
      <c r="V106" s="536" t="str">
        <f t="shared" si="12"/>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3"/>
        <v/>
      </c>
      <c r="AE106" s="82"/>
      <c r="AF106" s="82"/>
      <c r="AG106" s="506" t="str">
        <f t="shared" si="19"/>
        <v/>
      </c>
      <c r="AH106" s="520" t="str">
        <f t="shared" si="20"/>
        <v/>
      </c>
      <c r="AI106" s="521" t="str">
        <f>IF(AH106="Check Data","Check Data",IFERROR(VLOOKUP(AH106,'G-4 Temporal multipliers'!$A$4:$C$36,3,FALSE),""))</f>
        <v/>
      </c>
      <c r="AJ106" s="497" t="str">
        <f>IF(S106="","",VLOOKUP(S106,'G-3 Multipliers'!$A$2:$E$129,4,FALSE))</f>
        <v/>
      </c>
      <c r="AK106" s="506" t="str">
        <f t="shared" si="21"/>
        <v/>
      </c>
      <c r="AL106" s="506" t="str">
        <f t="shared" si="22"/>
        <v/>
      </c>
      <c r="AM106" s="539" t="str">
        <f>IFERROR(IF(F106="","",IF(AH106="Check Data ⚠","Check Data ⚠",VLOOKUP(AL106, 'G-3 Multipliers'!$P$2:$Q$6,2,FALSE))),"")</f>
        <v/>
      </c>
      <c r="AN106" s="512" t="str">
        <f t="shared" si="14"/>
        <v/>
      </c>
      <c r="AO106" s="238"/>
      <c r="AP106" s="239"/>
    </row>
    <row r="107" spans="1:42" x14ac:dyDescent="0.3">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t="str">
        <f t="shared" si="15"/>
        <v/>
      </c>
      <c r="R107" s="237" t="str">
        <f t="shared" si="16"/>
        <v/>
      </c>
      <c r="S107" s="391" t="str">
        <f>IFERROR(INDEX('G-1 All Habitats'!$B$3:$B$129,MATCH(R107,'G-1 All Habitats'!$A$3:$A$129,0)),"")</f>
        <v/>
      </c>
      <c r="T107" s="497" t="str">
        <f t="shared" si="17"/>
        <v/>
      </c>
      <c r="U107" s="498" t="str">
        <f t="shared" si="18"/>
        <v/>
      </c>
      <c r="V107" s="536" t="str">
        <f t="shared" si="12"/>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3"/>
        <v/>
      </c>
      <c r="AE107" s="82"/>
      <c r="AF107" s="82"/>
      <c r="AG107" s="506" t="str">
        <f t="shared" si="19"/>
        <v/>
      </c>
      <c r="AH107" s="520" t="str">
        <f t="shared" si="20"/>
        <v/>
      </c>
      <c r="AI107" s="521" t="str">
        <f>IF(AH107="Check Data","Check Data",IFERROR(VLOOKUP(AH107,'G-4 Temporal multipliers'!$A$4:$C$36,3,FALSE),""))</f>
        <v/>
      </c>
      <c r="AJ107" s="497" t="str">
        <f>IF(S107="","",VLOOKUP(S107,'G-3 Multipliers'!$A$2:$E$129,4,FALSE))</f>
        <v/>
      </c>
      <c r="AK107" s="506" t="str">
        <f t="shared" si="21"/>
        <v/>
      </c>
      <c r="AL107" s="506" t="str">
        <f t="shared" si="22"/>
        <v/>
      </c>
      <c r="AM107" s="539" t="str">
        <f>IFERROR(IF(F107="","",IF(AH107="Check Data ⚠","Check Data ⚠",VLOOKUP(AL107, 'G-3 Multipliers'!$P$2:$Q$6,2,FALSE))),"")</f>
        <v/>
      </c>
      <c r="AN107" s="512" t="str">
        <f t="shared" si="14"/>
        <v/>
      </c>
      <c r="AO107" s="238"/>
      <c r="AP107" s="239"/>
    </row>
    <row r="108" spans="1:42" x14ac:dyDescent="0.3">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t="str">
        <f t="shared" si="15"/>
        <v/>
      </c>
      <c r="R108" s="237" t="str">
        <f t="shared" si="16"/>
        <v/>
      </c>
      <c r="S108" s="391" t="str">
        <f>IFERROR(INDEX('G-1 All Habitats'!$B$3:$B$129,MATCH(R108,'G-1 All Habitats'!$A$3:$A$129,0)),"")</f>
        <v/>
      </c>
      <c r="T108" s="497" t="str">
        <f t="shared" si="17"/>
        <v/>
      </c>
      <c r="U108" s="498" t="str">
        <f t="shared" si="18"/>
        <v/>
      </c>
      <c r="V108" s="536" t="str">
        <f t="shared" si="12"/>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3"/>
        <v/>
      </c>
      <c r="AE108" s="82"/>
      <c r="AF108" s="82"/>
      <c r="AG108" s="506" t="str">
        <f t="shared" si="19"/>
        <v/>
      </c>
      <c r="AH108" s="520" t="str">
        <f t="shared" si="20"/>
        <v/>
      </c>
      <c r="AI108" s="521" t="str">
        <f>IF(AH108="Check Data","Check Data",IFERROR(VLOOKUP(AH108,'G-4 Temporal multipliers'!$A$4:$C$36,3,FALSE),""))</f>
        <v/>
      </c>
      <c r="AJ108" s="497" t="str">
        <f>IF(S108="","",VLOOKUP(S108,'G-3 Multipliers'!$A$2:$E$129,4,FALSE))</f>
        <v/>
      </c>
      <c r="AK108" s="506" t="str">
        <f t="shared" si="21"/>
        <v/>
      </c>
      <c r="AL108" s="506" t="str">
        <f t="shared" si="22"/>
        <v/>
      </c>
      <c r="AM108" s="539" t="str">
        <f>IFERROR(IF(F108="","",IF(AH108="Check Data ⚠","Check Data ⚠",VLOOKUP(AL108, 'G-3 Multipliers'!$P$2:$Q$6,2,FALSE))),"")</f>
        <v/>
      </c>
      <c r="AN108" s="512" t="str">
        <f t="shared" si="14"/>
        <v/>
      </c>
      <c r="AO108" s="238"/>
      <c r="AP108" s="239"/>
    </row>
    <row r="109" spans="1:42" x14ac:dyDescent="0.3">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t="str">
        <f t="shared" si="15"/>
        <v/>
      </c>
      <c r="R109" s="237" t="str">
        <f t="shared" si="16"/>
        <v/>
      </c>
      <c r="S109" s="391" t="str">
        <f>IFERROR(INDEX('G-1 All Habitats'!$B$3:$B$129,MATCH(R109,'G-1 All Habitats'!$A$3:$A$129,0)),"")</f>
        <v/>
      </c>
      <c r="T109" s="497" t="str">
        <f t="shared" si="17"/>
        <v/>
      </c>
      <c r="U109" s="498" t="str">
        <f t="shared" si="18"/>
        <v/>
      </c>
      <c r="V109" s="536" t="str">
        <f t="shared" si="12"/>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3"/>
        <v/>
      </c>
      <c r="AE109" s="82"/>
      <c r="AF109" s="82"/>
      <c r="AG109" s="506" t="str">
        <f t="shared" si="19"/>
        <v/>
      </c>
      <c r="AH109" s="520" t="str">
        <f t="shared" si="20"/>
        <v/>
      </c>
      <c r="AI109" s="521" t="str">
        <f>IF(AH109="Check Data","Check Data",IFERROR(VLOOKUP(AH109,'G-4 Temporal multipliers'!$A$4:$C$36,3,FALSE),""))</f>
        <v/>
      </c>
      <c r="AJ109" s="497" t="str">
        <f>IF(S109="","",VLOOKUP(S109,'G-3 Multipliers'!$A$2:$E$129,4,FALSE))</f>
        <v/>
      </c>
      <c r="AK109" s="506" t="str">
        <f t="shared" si="21"/>
        <v/>
      </c>
      <c r="AL109" s="506" t="str">
        <f t="shared" si="22"/>
        <v/>
      </c>
      <c r="AM109" s="539" t="str">
        <f>IFERROR(IF(F109="","",IF(AH109="Check Data ⚠","Check Data ⚠",VLOOKUP(AL109, 'G-3 Multipliers'!$P$2:$Q$6,2,FALSE))),"")</f>
        <v/>
      </c>
      <c r="AN109" s="512" t="str">
        <f t="shared" si="14"/>
        <v/>
      </c>
      <c r="AO109" s="238"/>
      <c r="AP109" s="239"/>
    </row>
    <row r="110" spans="1:42" x14ac:dyDescent="0.3">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t="str">
        <f t="shared" si="15"/>
        <v/>
      </c>
      <c r="R110" s="237" t="str">
        <f t="shared" si="16"/>
        <v/>
      </c>
      <c r="S110" s="391" t="str">
        <f>IFERROR(INDEX('G-1 All Habitats'!$B$3:$B$129,MATCH(R110,'G-1 All Habitats'!$A$3:$A$129,0)),"")</f>
        <v/>
      </c>
      <c r="T110" s="497" t="str">
        <f t="shared" si="17"/>
        <v/>
      </c>
      <c r="U110" s="498" t="str">
        <f t="shared" si="18"/>
        <v/>
      </c>
      <c r="V110" s="536" t="str">
        <f t="shared" si="12"/>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3"/>
        <v/>
      </c>
      <c r="AE110" s="82"/>
      <c r="AF110" s="82"/>
      <c r="AG110" s="506" t="str">
        <f t="shared" si="19"/>
        <v/>
      </c>
      <c r="AH110" s="520" t="str">
        <f t="shared" si="20"/>
        <v/>
      </c>
      <c r="AI110" s="521" t="str">
        <f>IF(AH110="Check Data","Check Data",IFERROR(VLOOKUP(AH110,'G-4 Temporal multipliers'!$A$4:$C$36,3,FALSE),""))</f>
        <v/>
      </c>
      <c r="AJ110" s="497" t="str">
        <f>IF(S110="","",VLOOKUP(S110,'G-3 Multipliers'!$A$2:$E$129,4,FALSE))</f>
        <v/>
      </c>
      <c r="AK110" s="506" t="str">
        <f t="shared" si="21"/>
        <v/>
      </c>
      <c r="AL110" s="506" t="str">
        <f t="shared" si="22"/>
        <v/>
      </c>
      <c r="AM110" s="539" t="str">
        <f>IFERROR(IF(F110="","",IF(AH110="Check Data ⚠","Check Data ⚠",VLOOKUP(AL110, 'G-3 Multipliers'!$P$2:$Q$6,2,FALSE))),"")</f>
        <v/>
      </c>
      <c r="AN110" s="512" t="str">
        <f t="shared" si="14"/>
        <v/>
      </c>
      <c r="AO110" s="238"/>
      <c r="AP110" s="239"/>
    </row>
    <row r="111" spans="1:42" x14ac:dyDescent="0.3">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t="str">
        <f t="shared" si="15"/>
        <v/>
      </c>
      <c r="R111" s="237" t="str">
        <f t="shared" si="16"/>
        <v/>
      </c>
      <c r="S111" s="391" t="str">
        <f>IFERROR(INDEX('G-1 All Habitats'!$B$3:$B$129,MATCH(R111,'G-1 All Habitats'!$A$3:$A$129,0)),"")</f>
        <v/>
      </c>
      <c r="T111" s="497" t="str">
        <f t="shared" si="17"/>
        <v/>
      </c>
      <c r="U111" s="498" t="str">
        <f t="shared" si="18"/>
        <v/>
      </c>
      <c r="V111" s="536" t="str">
        <f t="shared" si="12"/>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3"/>
        <v/>
      </c>
      <c r="AE111" s="82"/>
      <c r="AF111" s="82"/>
      <c r="AG111" s="506" t="str">
        <f t="shared" si="19"/>
        <v/>
      </c>
      <c r="AH111" s="520" t="str">
        <f t="shared" si="20"/>
        <v/>
      </c>
      <c r="AI111" s="521" t="str">
        <f>IF(AH111="Check Data","Check Data",IFERROR(VLOOKUP(AH111,'G-4 Temporal multipliers'!$A$4:$C$36,3,FALSE),""))</f>
        <v/>
      </c>
      <c r="AJ111" s="497" t="str">
        <f>IF(S111="","",VLOOKUP(S111,'G-3 Multipliers'!$A$2:$E$129,4,FALSE))</f>
        <v/>
      </c>
      <c r="AK111" s="506" t="str">
        <f t="shared" si="21"/>
        <v/>
      </c>
      <c r="AL111" s="506" t="str">
        <f t="shared" si="22"/>
        <v/>
      </c>
      <c r="AM111" s="539" t="str">
        <f>IFERROR(IF(F111="","",IF(AH111="Check Data ⚠","Check Data ⚠",VLOOKUP(AL111, 'G-3 Multipliers'!$P$2:$Q$6,2,FALSE))),"")</f>
        <v/>
      </c>
      <c r="AN111" s="512" t="str">
        <f t="shared" si="14"/>
        <v/>
      </c>
      <c r="AO111" s="238"/>
      <c r="AP111" s="239"/>
    </row>
    <row r="112" spans="1:42" x14ac:dyDescent="0.3">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t="str">
        <f t="shared" si="15"/>
        <v/>
      </c>
      <c r="R112" s="237" t="str">
        <f t="shared" si="16"/>
        <v/>
      </c>
      <c r="S112" s="391" t="str">
        <f>IFERROR(INDEX('G-1 All Habitats'!$B$3:$B$129,MATCH(R112,'G-1 All Habitats'!$A$3:$A$129,0)),"")</f>
        <v/>
      </c>
      <c r="T112" s="497" t="str">
        <f t="shared" si="17"/>
        <v/>
      </c>
      <c r="U112" s="498" t="str">
        <f t="shared" si="18"/>
        <v/>
      </c>
      <c r="V112" s="536" t="str">
        <f t="shared" si="12"/>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3"/>
        <v/>
      </c>
      <c r="AE112" s="82"/>
      <c r="AF112" s="82"/>
      <c r="AG112" s="506" t="str">
        <f t="shared" si="19"/>
        <v/>
      </c>
      <c r="AH112" s="520" t="str">
        <f t="shared" si="20"/>
        <v/>
      </c>
      <c r="AI112" s="521" t="str">
        <f>IF(AH112="Check Data","Check Data",IFERROR(VLOOKUP(AH112,'G-4 Temporal multipliers'!$A$4:$C$36,3,FALSE),""))</f>
        <v/>
      </c>
      <c r="AJ112" s="497" t="str">
        <f>IF(S112="","",VLOOKUP(S112,'G-3 Multipliers'!$A$2:$E$129,4,FALSE))</f>
        <v/>
      </c>
      <c r="AK112" s="506" t="str">
        <f t="shared" si="21"/>
        <v/>
      </c>
      <c r="AL112" s="506" t="str">
        <f t="shared" si="22"/>
        <v/>
      </c>
      <c r="AM112" s="539" t="str">
        <f>IFERROR(IF(F112="","",IF(AH112="Check Data ⚠","Check Data ⚠",VLOOKUP(AL112, 'G-3 Multipliers'!$P$2:$Q$6,2,FALSE))),"")</f>
        <v/>
      </c>
      <c r="AN112" s="512" t="str">
        <f t="shared" si="14"/>
        <v/>
      </c>
      <c r="AO112" s="238"/>
      <c r="AP112" s="239"/>
    </row>
    <row r="113" spans="1:42" x14ac:dyDescent="0.3">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t="str">
        <f t="shared" si="15"/>
        <v/>
      </c>
      <c r="R113" s="237" t="str">
        <f t="shared" si="16"/>
        <v/>
      </c>
      <c r="S113" s="391" t="str">
        <f>IFERROR(INDEX('G-1 All Habitats'!$B$3:$B$129,MATCH(R113,'G-1 All Habitats'!$A$3:$A$129,0)),"")</f>
        <v/>
      </c>
      <c r="T113" s="497" t="str">
        <f t="shared" si="17"/>
        <v/>
      </c>
      <c r="U113" s="498" t="str">
        <f t="shared" si="18"/>
        <v/>
      </c>
      <c r="V113" s="536" t="str">
        <f t="shared" si="12"/>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3"/>
        <v/>
      </c>
      <c r="AE113" s="82"/>
      <c r="AF113" s="82"/>
      <c r="AG113" s="506" t="str">
        <f t="shared" si="19"/>
        <v/>
      </c>
      <c r="AH113" s="520" t="str">
        <f t="shared" si="20"/>
        <v/>
      </c>
      <c r="AI113" s="521" t="str">
        <f>IF(AH113="Check Data","Check Data",IFERROR(VLOOKUP(AH113,'G-4 Temporal multipliers'!$A$4:$C$36,3,FALSE),""))</f>
        <v/>
      </c>
      <c r="AJ113" s="497" t="str">
        <f>IF(S113="","",VLOOKUP(S113,'G-3 Multipliers'!$A$2:$E$129,4,FALSE))</f>
        <v/>
      </c>
      <c r="AK113" s="506" t="str">
        <f t="shared" si="21"/>
        <v/>
      </c>
      <c r="AL113" s="506" t="str">
        <f t="shared" si="22"/>
        <v/>
      </c>
      <c r="AM113" s="539" t="str">
        <f>IFERROR(IF(F113="","",IF(AH113="Check Data ⚠","Check Data ⚠",VLOOKUP(AL113, 'G-3 Multipliers'!$P$2:$Q$6,2,FALSE))),"")</f>
        <v/>
      </c>
      <c r="AN113" s="512" t="str">
        <f t="shared" si="14"/>
        <v/>
      </c>
      <c r="AO113" s="238"/>
      <c r="AP113" s="239"/>
    </row>
    <row r="114" spans="1:42" x14ac:dyDescent="0.3">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t="str">
        <f t="shared" si="15"/>
        <v/>
      </c>
      <c r="R114" s="237" t="str">
        <f t="shared" si="16"/>
        <v/>
      </c>
      <c r="S114" s="391" t="str">
        <f>IFERROR(INDEX('G-1 All Habitats'!$B$3:$B$129,MATCH(R114,'G-1 All Habitats'!$A$3:$A$129,0)),"")</f>
        <v/>
      </c>
      <c r="T114" s="497" t="str">
        <f t="shared" si="17"/>
        <v/>
      </c>
      <c r="U114" s="498" t="str">
        <f t="shared" si="18"/>
        <v/>
      </c>
      <c r="V114" s="536" t="str">
        <f t="shared" si="12"/>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3"/>
        <v/>
      </c>
      <c r="AE114" s="82"/>
      <c r="AF114" s="82"/>
      <c r="AG114" s="506" t="str">
        <f t="shared" si="19"/>
        <v/>
      </c>
      <c r="AH114" s="520" t="str">
        <f t="shared" si="20"/>
        <v/>
      </c>
      <c r="AI114" s="521" t="str">
        <f>IF(AH114="Check Data","Check Data",IFERROR(VLOOKUP(AH114,'G-4 Temporal multipliers'!$A$4:$C$36,3,FALSE),""))</f>
        <v/>
      </c>
      <c r="AJ114" s="497" t="str">
        <f>IF(S114="","",VLOOKUP(S114,'G-3 Multipliers'!$A$2:$E$129,4,FALSE))</f>
        <v/>
      </c>
      <c r="AK114" s="506" t="str">
        <f t="shared" si="21"/>
        <v/>
      </c>
      <c r="AL114" s="506" t="str">
        <f t="shared" si="22"/>
        <v/>
      </c>
      <c r="AM114" s="539" t="str">
        <f>IFERROR(IF(F114="","",IF(AH114="Check Data ⚠","Check Data ⚠",VLOOKUP(AL114, 'G-3 Multipliers'!$P$2:$Q$6,2,FALSE))),"")</f>
        <v/>
      </c>
      <c r="AN114" s="512" t="str">
        <f t="shared" si="14"/>
        <v/>
      </c>
      <c r="AO114" s="238"/>
      <c r="AP114" s="239"/>
    </row>
    <row r="115" spans="1:42" x14ac:dyDescent="0.3">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t="str">
        <f t="shared" si="15"/>
        <v/>
      </c>
      <c r="R115" s="237" t="str">
        <f t="shared" si="16"/>
        <v/>
      </c>
      <c r="S115" s="391" t="str">
        <f>IFERROR(INDEX('G-1 All Habitats'!$B$3:$B$129,MATCH(R115,'G-1 All Habitats'!$A$3:$A$129,0)),"")</f>
        <v/>
      </c>
      <c r="T115" s="497" t="str">
        <f t="shared" si="17"/>
        <v/>
      </c>
      <c r="U115" s="498" t="str">
        <f t="shared" si="18"/>
        <v/>
      </c>
      <c r="V115" s="536" t="str">
        <f t="shared" si="12"/>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3"/>
        <v/>
      </c>
      <c r="AE115" s="82"/>
      <c r="AF115" s="82"/>
      <c r="AG115" s="506" t="str">
        <f t="shared" si="19"/>
        <v/>
      </c>
      <c r="AH115" s="520" t="str">
        <f t="shared" si="20"/>
        <v/>
      </c>
      <c r="AI115" s="521" t="str">
        <f>IF(AH115="Check Data","Check Data",IFERROR(VLOOKUP(AH115,'G-4 Temporal multipliers'!$A$4:$C$36,3,FALSE),""))</f>
        <v/>
      </c>
      <c r="AJ115" s="497" t="str">
        <f>IF(S115="","",VLOOKUP(S115,'G-3 Multipliers'!$A$2:$E$129,4,FALSE))</f>
        <v/>
      </c>
      <c r="AK115" s="506" t="str">
        <f t="shared" si="21"/>
        <v/>
      </c>
      <c r="AL115" s="506" t="str">
        <f t="shared" si="22"/>
        <v/>
      </c>
      <c r="AM115" s="539" t="str">
        <f>IFERROR(IF(F115="","",IF(AH115="Check Data ⚠","Check Data ⚠",VLOOKUP(AL115, 'G-3 Multipliers'!$P$2:$Q$6,2,FALSE))),"")</f>
        <v/>
      </c>
      <c r="AN115" s="512" t="str">
        <f t="shared" si="14"/>
        <v/>
      </c>
      <c r="AO115" s="238"/>
      <c r="AP115" s="239"/>
    </row>
    <row r="116" spans="1:42" x14ac:dyDescent="0.3">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t="str">
        <f t="shared" si="15"/>
        <v/>
      </c>
      <c r="R116" s="237" t="str">
        <f t="shared" si="16"/>
        <v/>
      </c>
      <c r="S116" s="391" t="str">
        <f>IFERROR(INDEX('G-1 All Habitats'!$B$3:$B$129,MATCH(R116,'G-1 All Habitats'!$A$3:$A$129,0)),"")</f>
        <v/>
      </c>
      <c r="T116" s="497" t="str">
        <f t="shared" si="17"/>
        <v/>
      </c>
      <c r="U116" s="498" t="str">
        <f t="shared" si="18"/>
        <v/>
      </c>
      <c r="V116" s="536" t="str">
        <f t="shared" si="12"/>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3"/>
        <v/>
      </c>
      <c r="AE116" s="82"/>
      <c r="AF116" s="82"/>
      <c r="AG116" s="506" t="str">
        <f t="shared" si="19"/>
        <v/>
      </c>
      <c r="AH116" s="520" t="str">
        <f t="shared" si="20"/>
        <v/>
      </c>
      <c r="AI116" s="521" t="str">
        <f>IF(AH116="Check Data","Check Data",IFERROR(VLOOKUP(AH116,'G-4 Temporal multipliers'!$A$4:$C$36,3,FALSE),""))</f>
        <v/>
      </c>
      <c r="AJ116" s="497" t="str">
        <f>IF(S116="","",VLOOKUP(S116,'G-3 Multipliers'!$A$2:$E$129,4,FALSE))</f>
        <v/>
      </c>
      <c r="AK116" s="506" t="str">
        <f t="shared" si="21"/>
        <v/>
      </c>
      <c r="AL116" s="506" t="str">
        <f t="shared" si="22"/>
        <v/>
      </c>
      <c r="AM116" s="539" t="str">
        <f>IFERROR(IF(F116="","",IF(AH116="Check Data ⚠","Check Data ⚠",VLOOKUP(AL116, 'G-3 Multipliers'!$P$2:$Q$6,2,FALSE))),"")</f>
        <v/>
      </c>
      <c r="AN116" s="512" t="str">
        <f t="shared" si="14"/>
        <v/>
      </c>
      <c r="AO116" s="238"/>
      <c r="AP116" s="239"/>
    </row>
    <row r="117" spans="1:42" x14ac:dyDescent="0.3">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t="str">
        <f t="shared" si="15"/>
        <v/>
      </c>
      <c r="R117" s="237" t="str">
        <f t="shared" si="16"/>
        <v/>
      </c>
      <c r="S117" s="391" t="str">
        <f>IFERROR(INDEX('G-1 All Habitats'!$B$3:$B$129,MATCH(R117,'G-1 All Habitats'!$A$3:$A$129,0)),"")</f>
        <v/>
      </c>
      <c r="T117" s="497" t="str">
        <f t="shared" si="17"/>
        <v/>
      </c>
      <c r="U117" s="498" t="str">
        <f t="shared" si="18"/>
        <v/>
      </c>
      <c r="V117" s="536" t="str">
        <f t="shared" si="12"/>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3"/>
        <v/>
      </c>
      <c r="AE117" s="82"/>
      <c r="AF117" s="82"/>
      <c r="AG117" s="506" t="str">
        <f t="shared" si="19"/>
        <v/>
      </c>
      <c r="AH117" s="520" t="str">
        <f t="shared" si="20"/>
        <v/>
      </c>
      <c r="AI117" s="521" t="str">
        <f>IF(AH117="Check Data","Check Data",IFERROR(VLOOKUP(AH117,'G-4 Temporal multipliers'!$A$4:$C$36,3,FALSE),""))</f>
        <v/>
      </c>
      <c r="AJ117" s="497" t="str">
        <f>IF(S117="","",VLOOKUP(S117,'G-3 Multipliers'!$A$2:$E$129,4,FALSE))</f>
        <v/>
      </c>
      <c r="AK117" s="506" t="str">
        <f t="shared" si="21"/>
        <v/>
      </c>
      <c r="AL117" s="506" t="str">
        <f t="shared" si="22"/>
        <v/>
      </c>
      <c r="AM117" s="539" t="str">
        <f>IFERROR(IF(F117="","",IF(AH117="Check Data ⚠","Check Data ⚠",VLOOKUP(AL117, 'G-3 Multipliers'!$P$2:$Q$6,2,FALSE))),"")</f>
        <v/>
      </c>
      <c r="AN117" s="512" t="str">
        <f t="shared" si="14"/>
        <v/>
      </c>
      <c r="AO117" s="238"/>
      <c r="AP117" s="239"/>
    </row>
    <row r="118" spans="1:42" x14ac:dyDescent="0.3">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t="str">
        <f t="shared" si="15"/>
        <v/>
      </c>
      <c r="R118" s="237" t="str">
        <f t="shared" si="16"/>
        <v/>
      </c>
      <c r="S118" s="391" t="str">
        <f>IFERROR(INDEX('G-1 All Habitats'!$B$3:$B$129,MATCH(R118,'G-1 All Habitats'!$A$3:$A$129,0)),"")</f>
        <v/>
      </c>
      <c r="T118" s="497" t="str">
        <f t="shared" si="17"/>
        <v/>
      </c>
      <c r="U118" s="498" t="str">
        <f t="shared" si="18"/>
        <v/>
      </c>
      <c r="V118" s="536" t="str">
        <f t="shared" si="12"/>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3"/>
        <v/>
      </c>
      <c r="AE118" s="82"/>
      <c r="AF118" s="82"/>
      <c r="AG118" s="506" t="str">
        <f t="shared" si="19"/>
        <v/>
      </c>
      <c r="AH118" s="520" t="str">
        <f t="shared" si="20"/>
        <v/>
      </c>
      <c r="AI118" s="521" t="str">
        <f>IF(AH118="Check Data","Check Data",IFERROR(VLOOKUP(AH118,'G-4 Temporal multipliers'!$A$4:$C$36,3,FALSE),""))</f>
        <v/>
      </c>
      <c r="AJ118" s="497" t="str">
        <f>IF(S118="","",VLOOKUP(S118,'G-3 Multipliers'!$A$2:$E$129,4,FALSE))</f>
        <v/>
      </c>
      <c r="AK118" s="506" t="str">
        <f t="shared" si="21"/>
        <v/>
      </c>
      <c r="AL118" s="506" t="str">
        <f t="shared" si="22"/>
        <v/>
      </c>
      <c r="AM118" s="539" t="str">
        <f>IFERROR(IF(F118="","",IF(AH118="Check Data ⚠","Check Data ⚠",VLOOKUP(AL118, 'G-3 Multipliers'!$P$2:$Q$6,2,FALSE))),"")</f>
        <v/>
      </c>
      <c r="AN118" s="512" t="str">
        <f t="shared" si="14"/>
        <v/>
      </c>
      <c r="AO118" s="238"/>
      <c r="AP118" s="239"/>
    </row>
    <row r="119" spans="1:42" x14ac:dyDescent="0.3">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t="str">
        <f t="shared" si="15"/>
        <v/>
      </c>
      <c r="R119" s="237" t="str">
        <f t="shared" si="16"/>
        <v/>
      </c>
      <c r="S119" s="391" t="str">
        <f>IFERROR(INDEX('G-1 All Habitats'!$B$3:$B$129,MATCH(R119,'G-1 All Habitats'!$A$3:$A$129,0)),"")</f>
        <v/>
      </c>
      <c r="T119" s="497" t="str">
        <f t="shared" si="17"/>
        <v/>
      </c>
      <c r="U119" s="498" t="str">
        <f t="shared" si="18"/>
        <v/>
      </c>
      <c r="V119" s="536" t="str">
        <f t="shared" si="12"/>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3"/>
        <v/>
      </c>
      <c r="AE119" s="82"/>
      <c r="AF119" s="82"/>
      <c r="AG119" s="506" t="str">
        <f t="shared" si="19"/>
        <v/>
      </c>
      <c r="AH119" s="520" t="str">
        <f t="shared" si="20"/>
        <v/>
      </c>
      <c r="AI119" s="521" t="str">
        <f>IF(AH119="Check Data","Check Data",IFERROR(VLOOKUP(AH119,'G-4 Temporal multipliers'!$A$4:$C$36,3,FALSE),""))</f>
        <v/>
      </c>
      <c r="AJ119" s="497" t="str">
        <f>IF(S119="","",VLOOKUP(S119,'G-3 Multipliers'!$A$2:$E$129,4,FALSE))</f>
        <v/>
      </c>
      <c r="AK119" s="506" t="str">
        <f t="shared" si="21"/>
        <v/>
      </c>
      <c r="AL119" s="506" t="str">
        <f t="shared" si="22"/>
        <v/>
      </c>
      <c r="AM119" s="539" t="str">
        <f>IFERROR(IF(F119="","",IF(AH119="Check Data ⚠","Check Data ⚠",VLOOKUP(AL119, 'G-3 Multipliers'!$P$2:$Q$6,2,FALSE))),"")</f>
        <v/>
      </c>
      <c r="AN119" s="512" t="str">
        <f t="shared" si="14"/>
        <v/>
      </c>
      <c r="AO119" s="238"/>
      <c r="AP119" s="239"/>
    </row>
    <row r="120" spans="1:42" x14ac:dyDescent="0.3">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t="str">
        <f t="shared" si="15"/>
        <v/>
      </c>
      <c r="R120" s="237" t="str">
        <f t="shared" si="16"/>
        <v/>
      </c>
      <c r="S120" s="391" t="str">
        <f>IFERROR(INDEX('G-1 All Habitats'!$B$3:$B$129,MATCH(R120,'G-1 All Habitats'!$A$3:$A$129,0)),"")</f>
        <v/>
      </c>
      <c r="T120" s="497" t="str">
        <f t="shared" si="17"/>
        <v/>
      </c>
      <c r="U120" s="498" t="str">
        <f t="shared" si="18"/>
        <v/>
      </c>
      <c r="V120" s="536" t="str">
        <f t="shared" si="12"/>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3"/>
        <v/>
      </c>
      <c r="AE120" s="82"/>
      <c r="AF120" s="82"/>
      <c r="AG120" s="506" t="str">
        <f t="shared" si="19"/>
        <v/>
      </c>
      <c r="AH120" s="520" t="str">
        <f t="shared" si="20"/>
        <v/>
      </c>
      <c r="AI120" s="521" t="str">
        <f>IF(AH120="Check Data","Check Data",IFERROR(VLOOKUP(AH120,'G-4 Temporal multipliers'!$A$4:$C$36,3,FALSE),""))</f>
        <v/>
      </c>
      <c r="AJ120" s="497" t="str">
        <f>IF(S120="","",VLOOKUP(S120,'G-3 Multipliers'!$A$2:$E$129,4,FALSE))</f>
        <v/>
      </c>
      <c r="AK120" s="506" t="str">
        <f t="shared" si="21"/>
        <v/>
      </c>
      <c r="AL120" s="506" t="str">
        <f t="shared" si="22"/>
        <v/>
      </c>
      <c r="AM120" s="539" t="str">
        <f>IFERROR(IF(F120="","",IF(AH120="Check Data ⚠","Check Data ⚠",VLOOKUP(AL120, 'G-3 Multipliers'!$P$2:$Q$6,2,FALSE))),"")</f>
        <v/>
      </c>
      <c r="AN120" s="512" t="str">
        <f t="shared" si="14"/>
        <v/>
      </c>
      <c r="AO120" s="238"/>
      <c r="AP120" s="239"/>
    </row>
    <row r="121" spans="1:42" x14ac:dyDescent="0.3">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t="str">
        <f t="shared" si="15"/>
        <v/>
      </c>
      <c r="R121" s="237" t="str">
        <f t="shared" si="16"/>
        <v/>
      </c>
      <c r="S121" s="391" t="str">
        <f>IFERROR(INDEX('G-1 All Habitats'!$B$3:$B$129,MATCH(R121,'G-1 All Habitats'!$A$3:$A$129,0)),"")</f>
        <v/>
      </c>
      <c r="T121" s="497" t="str">
        <f t="shared" si="17"/>
        <v/>
      </c>
      <c r="U121" s="498" t="str">
        <f t="shared" si="18"/>
        <v/>
      </c>
      <c r="V121" s="536" t="str">
        <f t="shared" si="12"/>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3"/>
        <v/>
      </c>
      <c r="AE121" s="82"/>
      <c r="AF121" s="82"/>
      <c r="AG121" s="506" t="str">
        <f t="shared" si="19"/>
        <v/>
      </c>
      <c r="AH121" s="520" t="str">
        <f t="shared" si="20"/>
        <v/>
      </c>
      <c r="AI121" s="521" t="str">
        <f>IF(AH121="Check Data","Check Data",IFERROR(VLOOKUP(AH121,'G-4 Temporal multipliers'!$A$4:$C$36,3,FALSE),""))</f>
        <v/>
      </c>
      <c r="AJ121" s="497" t="str">
        <f>IF(S121="","",VLOOKUP(S121,'G-3 Multipliers'!$A$2:$E$129,4,FALSE))</f>
        <v/>
      </c>
      <c r="AK121" s="506" t="str">
        <f t="shared" si="21"/>
        <v/>
      </c>
      <c r="AL121" s="506" t="str">
        <f t="shared" si="22"/>
        <v/>
      </c>
      <c r="AM121" s="539" t="str">
        <f>IFERROR(IF(F121="","",IF(AH121="Check Data ⚠","Check Data ⚠",VLOOKUP(AL121, 'G-3 Multipliers'!$P$2:$Q$6,2,FALSE))),"")</f>
        <v/>
      </c>
      <c r="AN121" s="512" t="str">
        <f t="shared" si="14"/>
        <v/>
      </c>
      <c r="AO121" s="238"/>
      <c r="AP121" s="239"/>
    </row>
    <row r="122" spans="1:42" x14ac:dyDescent="0.3">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t="str">
        <f t="shared" si="15"/>
        <v/>
      </c>
      <c r="R122" s="237" t="str">
        <f t="shared" si="16"/>
        <v/>
      </c>
      <c r="S122" s="391" t="str">
        <f>IFERROR(INDEX('G-1 All Habitats'!$B$3:$B$129,MATCH(R122,'G-1 All Habitats'!$A$3:$A$129,0)),"")</f>
        <v/>
      </c>
      <c r="T122" s="497" t="str">
        <f t="shared" si="17"/>
        <v/>
      </c>
      <c r="U122" s="498" t="str">
        <f t="shared" si="18"/>
        <v/>
      </c>
      <c r="V122" s="536" t="str">
        <f t="shared" si="12"/>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3"/>
        <v/>
      </c>
      <c r="AE122" s="82"/>
      <c r="AF122" s="82"/>
      <c r="AG122" s="506" t="str">
        <f t="shared" si="19"/>
        <v/>
      </c>
      <c r="AH122" s="520" t="str">
        <f t="shared" si="20"/>
        <v/>
      </c>
      <c r="AI122" s="521" t="str">
        <f>IF(AH122="Check Data","Check Data",IFERROR(VLOOKUP(AH122,'G-4 Temporal multipliers'!$A$4:$C$36,3,FALSE),""))</f>
        <v/>
      </c>
      <c r="AJ122" s="497" t="str">
        <f>IF(S122="","",VLOOKUP(S122,'G-3 Multipliers'!$A$2:$E$129,4,FALSE))</f>
        <v/>
      </c>
      <c r="AK122" s="506" t="str">
        <f t="shared" si="21"/>
        <v/>
      </c>
      <c r="AL122" s="506" t="str">
        <f t="shared" si="22"/>
        <v/>
      </c>
      <c r="AM122" s="539" t="str">
        <f>IFERROR(IF(F122="","",IF(AH122="Check Data ⚠","Check Data ⚠",VLOOKUP(AL122, 'G-3 Multipliers'!$P$2:$Q$6,2,FALSE))),"")</f>
        <v/>
      </c>
      <c r="AN122" s="512" t="str">
        <f t="shared" si="14"/>
        <v/>
      </c>
      <c r="AO122" s="238"/>
      <c r="AP122" s="239"/>
    </row>
    <row r="123" spans="1:42" x14ac:dyDescent="0.3">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t="str">
        <f t="shared" si="15"/>
        <v/>
      </c>
      <c r="R123" s="237" t="str">
        <f t="shared" si="16"/>
        <v/>
      </c>
      <c r="S123" s="391" t="str">
        <f>IFERROR(INDEX('G-1 All Habitats'!$B$3:$B$129,MATCH(R123,'G-1 All Habitats'!$A$3:$A$129,0)),"")</f>
        <v/>
      </c>
      <c r="T123" s="497" t="str">
        <f t="shared" si="17"/>
        <v/>
      </c>
      <c r="U123" s="498" t="str">
        <f t="shared" si="18"/>
        <v/>
      </c>
      <c r="V123" s="536" t="str">
        <f t="shared" si="12"/>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3"/>
        <v/>
      </c>
      <c r="AE123" s="82"/>
      <c r="AF123" s="82"/>
      <c r="AG123" s="506" t="str">
        <f t="shared" si="19"/>
        <v/>
      </c>
      <c r="AH123" s="520" t="str">
        <f t="shared" si="20"/>
        <v/>
      </c>
      <c r="AI123" s="521" t="str">
        <f>IF(AH123="Check Data","Check Data",IFERROR(VLOOKUP(AH123,'G-4 Temporal multipliers'!$A$4:$C$36,3,FALSE),""))</f>
        <v/>
      </c>
      <c r="AJ123" s="497" t="str">
        <f>IF(S123="","",VLOOKUP(S123,'G-3 Multipliers'!$A$2:$E$129,4,FALSE))</f>
        <v/>
      </c>
      <c r="AK123" s="506" t="str">
        <f t="shared" si="21"/>
        <v/>
      </c>
      <c r="AL123" s="506" t="str">
        <f t="shared" si="22"/>
        <v/>
      </c>
      <c r="AM123" s="539" t="str">
        <f>IFERROR(IF(F123="","",IF(AH123="Check Data ⚠","Check Data ⚠",VLOOKUP(AL123, 'G-3 Multipliers'!$P$2:$Q$6,2,FALSE))),"")</f>
        <v/>
      </c>
      <c r="AN123" s="512" t="str">
        <f t="shared" si="14"/>
        <v/>
      </c>
      <c r="AO123" s="238"/>
      <c r="AP123" s="239"/>
    </row>
    <row r="124" spans="1:42" x14ac:dyDescent="0.3">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t="str">
        <f t="shared" si="15"/>
        <v/>
      </c>
      <c r="R124" s="237" t="str">
        <f t="shared" si="16"/>
        <v/>
      </c>
      <c r="S124" s="391" t="str">
        <f>IFERROR(INDEX('G-1 All Habitats'!$B$3:$B$129,MATCH(R124,'G-1 All Habitats'!$A$3:$A$129,0)),"")</f>
        <v/>
      </c>
      <c r="T124" s="497" t="str">
        <f t="shared" si="17"/>
        <v/>
      </c>
      <c r="U124" s="498" t="str">
        <f t="shared" si="18"/>
        <v/>
      </c>
      <c r="V124" s="536" t="str">
        <f t="shared" si="12"/>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3"/>
        <v/>
      </c>
      <c r="AE124" s="82"/>
      <c r="AF124" s="82"/>
      <c r="AG124" s="506" t="str">
        <f t="shared" si="19"/>
        <v/>
      </c>
      <c r="AH124" s="520" t="str">
        <f t="shared" si="20"/>
        <v/>
      </c>
      <c r="AI124" s="521" t="str">
        <f>IF(AH124="Check Data","Check Data",IFERROR(VLOOKUP(AH124,'G-4 Temporal multipliers'!$A$4:$C$36,3,FALSE),""))</f>
        <v/>
      </c>
      <c r="AJ124" s="497" t="str">
        <f>IF(S124="","",VLOOKUP(S124,'G-3 Multipliers'!$A$2:$E$129,4,FALSE))</f>
        <v/>
      </c>
      <c r="AK124" s="506" t="str">
        <f t="shared" si="21"/>
        <v/>
      </c>
      <c r="AL124" s="506" t="str">
        <f t="shared" si="22"/>
        <v/>
      </c>
      <c r="AM124" s="539" t="str">
        <f>IFERROR(IF(F124="","",IF(AH124="Check Data ⚠","Check Data ⚠",VLOOKUP(AL124, 'G-3 Multipliers'!$P$2:$Q$6,2,FALSE))),"")</f>
        <v/>
      </c>
      <c r="AN124" s="512" t="str">
        <f t="shared" si="14"/>
        <v/>
      </c>
      <c r="AO124" s="238"/>
      <c r="AP124" s="239"/>
    </row>
    <row r="125" spans="1:42" x14ac:dyDescent="0.3">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t="str">
        <f t="shared" si="15"/>
        <v/>
      </c>
      <c r="R125" s="237" t="str">
        <f t="shared" si="16"/>
        <v/>
      </c>
      <c r="S125" s="391" t="str">
        <f>IFERROR(INDEX('G-1 All Habitats'!$B$3:$B$129,MATCH(R125,'G-1 All Habitats'!$A$3:$A$129,0)),"")</f>
        <v/>
      </c>
      <c r="T125" s="497" t="str">
        <f t="shared" si="17"/>
        <v/>
      </c>
      <c r="U125" s="498" t="str">
        <f t="shared" si="18"/>
        <v/>
      </c>
      <c r="V125" s="536" t="str">
        <f t="shared" si="12"/>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3"/>
        <v/>
      </c>
      <c r="AE125" s="82"/>
      <c r="AF125" s="82"/>
      <c r="AG125" s="506" t="str">
        <f t="shared" si="19"/>
        <v/>
      </c>
      <c r="AH125" s="520" t="str">
        <f t="shared" si="20"/>
        <v/>
      </c>
      <c r="AI125" s="521" t="str">
        <f>IF(AH125="Check Data","Check Data",IFERROR(VLOOKUP(AH125,'G-4 Temporal multipliers'!$A$4:$C$36,3,FALSE),""))</f>
        <v/>
      </c>
      <c r="AJ125" s="497" t="str">
        <f>IF(S125="","",VLOOKUP(S125,'G-3 Multipliers'!$A$2:$E$129,4,FALSE))</f>
        <v/>
      </c>
      <c r="AK125" s="506" t="str">
        <f t="shared" si="21"/>
        <v/>
      </c>
      <c r="AL125" s="506" t="str">
        <f t="shared" si="22"/>
        <v/>
      </c>
      <c r="AM125" s="539" t="str">
        <f>IFERROR(IF(F125="","",IF(AH125="Check Data ⚠","Check Data ⚠",VLOOKUP(AL125, 'G-3 Multipliers'!$P$2:$Q$6,2,FALSE))),"")</f>
        <v/>
      </c>
      <c r="AN125" s="512" t="str">
        <f t="shared" si="14"/>
        <v/>
      </c>
      <c r="AO125" s="238"/>
      <c r="AP125" s="239"/>
    </row>
    <row r="126" spans="1:42" x14ac:dyDescent="0.3">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t="str">
        <f t="shared" si="15"/>
        <v/>
      </c>
      <c r="R126" s="237" t="str">
        <f t="shared" si="16"/>
        <v/>
      </c>
      <c r="S126" s="391" t="str">
        <f>IFERROR(INDEX('G-1 All Habitats'!$B$3:$B$129,MATCH(R126,'G-1 All Habitats'!$A$3:$A$129,0)),"")</f>
        <v/>
      </c>
      <c r="T126" s="497" t="str">
        <f t="shared" si="17"/>
        <v/>
      </c>
      <c r="U126" s="498" t="str">
        <f t="shared" si="18"/>
        <v/>
      </c>
      <c r="V126" s="536" t="str">
        <f t="shared" si="12"/>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3"/>
        <v/>
      </c>
      <c r="AE126" s="82"/>
      <c r="AF126" s="82"/>
      <c r="AG126" s="506" t="str">
        <f t="shared" si="19"/>
        <v/>
      </c>
      <c r="AH126" s="520" t="str">
        <f t="shared" si="20"/>
        <v/>
      </c>
      <c r="AI126" s="521" t="str">
        <f>IF(AH126="Check Data","Check Data",IFERROR(VLOOKUP(AH126,'G-4 Temporal multipliers'!$A$4:$C$36,3,FALSE),""))</f>
        <v/>
      </c>
      <c r="AJ126" s="497" t="str">
        <f>IF(S126="","",VLOOKUP(S126,'G-3 Multipliers'!$A$2:$E$129,4,FALSE))</f>
        <v/>
      </c>
      <c r="AK126" s="506" t="str">
        <f t="shared" si="21"/>
        <v/>
      </c>
      <c r="AL126" s="506" t="str">
        <f t="shared" si="22"/>
        <v/>
      </c>
      <c r="AM126" s="539" t="str">
        <f>IFERROR(IF(F126="","",IF(AH126="Check Data ⚠","Check Data ⚠",VLOOKUP(AL126, 'G-3 Multipliers'!$P$2:$Q$6,2,FALSE))),"")</f>
        <v/>
      </c>
      <c r="AN126" s="512" t="str">
        <f t="shared" si="14"/>
        <v/>
      </c>
      <c r="AO126" s="238"/>
      <c r="AP126" s="239"/>
    </row>
    <row r="127" spans="1:42" x14ac:dyDescent="0.3">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t="str">
        <f t="shared" si="15"/>
        <v/>
      </c>
      <c r="R127" s="237" t="str">
        <f t="shared" si="16"/>
        <v/>
      </c>
      <c r="S127" s="391" t="str">
        <f>IFERROR(INDEX('G-1 All Habitats'!$B$3:$B$129,MATCH(R127,'G-1 All Habitats'!$A$3:$A$129,0)),"")</f>
        <v/>
      </c>
      <c r="T127" s="497" t="str">
        <f t="shared" si="17"/>
        <v/>
      </c>
      <c r="U127" s="498" t="str">
        <f t="shared" si="18"/>
        <v/>
      </c>
      <c r="V127" s="536" t="str">
        <f t="shared" si="12"/>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3"/>
        <v/>
      </c>
      <c r="AE127" s="82"/>
      <c r="AF127" s="82"/>
      <c r="AG127" s="506" t="str">
        <f t="shared" si="19"/>
        <v/>
      </c>
      <c r="AH127" s="520" t="str">
        <f t="shared" si="20"/>
        <v/>
      </c>
      <c r="AI127" s="521" t="str">
        <f>IF(AH127="Check Data","Check Data",IFERROR(VLOOKUP(AH127,'G-4 Temporal multipliers'!$A$4:$C$36,3,FALSE),""))</f>
        <v/>
      </c>
      <c r="AJ127" s="497" t="str">
        <f>IF(S127="","",VLOOKUP(S127,'G-3 Multipliers'!$A$2:$E$129,4,FALSE))</f>
        <v/>
      </c>
      <c r="AK127" s="506" t="str">
        <f t="shared" si="21"/>
        <v/>
      </c>
      <c r="AL127" s="506" t="str">
        <f t="shared" si="22"/>
        <v/>
      </c>
      <c r="AM127" s="539" t="str">
        <f>IFERROR(IF(F127="","",IF(AH127="Check Data ⚠","Check Data ⚠",VLOOKUP(AL127, 'G-3 Multipliers'!$P$2:$Q$6,2,FALSE))),"")</f>
        <v/>
      </c>
      <c r="AN127" s="512" t="str">
        <f t="shared" si="14"/>
        <v/>
      </c>
      <c r="AO127" s="238"/>
      <c r="AP127" s="239"/>
    </row>
    <row r="128" spans="1:42" x14ac:dyDescent="0.3">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t="str">
        <f t="shared" si="15"/>
        <v/>
      </c>
      <c r="R128" s="237" t="str">
        <f t="shared" si="16"/>
        <v/>
      </c>
      <c r="S128" s="391" t="str">
        <f>IFERROR(INDEX('G-1 All Habitats'!$B$3:$B$129,MATCH(R128,'G-1 All Habitats'!$A$3:$A$129,0)),"")</f>
        <v/>
      </c>
      <c r="T128" s="497" t="str">
        <f t="shared" si="17"/>
        <v/>
      </c>
      <c r="U128" s="498" t="str">
        <f t="shared" si="18"/>
        <v/>
      </c>
      <c r="V128" s="536" t="str">
        <f t="shared" si="12"/>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3"/>
        <v/>
      </c>
      <c r="AE128" s="82"/>
      <c r="AF128" s="82"/>
      <c r="AG128" s="506" t="str">
        <f t="shared" si="19"/>
        <v/>
      </c>
      <c r="AH128" s="520" t="str">
        <f t="shared" si="20"/>
        <v/>
      </c>
      <c r="AI128" s="521" t="str">
        <f>IF(AH128="Check Data","Check Data",IFERROR(VLOOKUP(AH128,'G-4 Temporal multipliers'!$A$4:$C$36,3,FALSE),""))</f>
        <v/>
      </c>
      <c r="AJ128" s="497" t="str">
        <f>IF(S128="","",VLOOKUP(S128,'G-3 Multipliers'!$A$2:$E$129,4,FALSE))</f>
        <v/>
      </c>
      <c r="AK128" s="506" t="str">
        <f t="shared" si="21"/>
        <v/>
      </c>
      <c r="AL128" s="506" t="str">
        <f t="shared" si="22"/>
        <v/>
      </c>
      <c r="AM128" s="539" t="str">
        <f>IFERROR(IF(F128="","",IF(AH128="Check Data ⚠","Check Data ⚠",VLOOKUP(AL128, 'G-3 Multipliers'!$P$2:$Q$6,2,FALSE))),"")</f>
        <v/>
      </c>
      <c r="AN128" s="512" t="str">
        <f t="shared" si="14"/>
        <v/>
      </c>
      <c r="AO128" s="238"/>
      <c r="AP128" s="239"/>
    </row>
    <row r="129" spans="1:42" x14ac:dyDescent="0.3">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t="str">
        <f t="shared" si="15"/>
        <v/>
      </c>
      <c r="R129" s="237" t="str">
        <f t="shared" si="16"/>
        <v/>
      </c>
      <c r="S129" s="391" t="str">
        <f>IFERROR(INDEX('G-1 All Habitats'!$B$3:$B$129,MATCH(R129,'G-1 All Habitats'!$A$3:$A$129,0)),"")</f>
        <v/>
      </c>
      <c r="T129" s="497" t="str">
        <f t="shared" si="17"/>
        <v/>
      </c>
      <c r="U129" s="498" t="str">
        <f t="shared" si="18"/>
        <v/>
      </c>
      <c r="V129" s="536" t="str">
        <f t="shared" si="12"/>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3"/>
        <v/>
      </c>
      <c r="AE129" s="82"/>
      <c r="AF129" s="82"/>
      <c r="AG129" s="506" t="str">
        <f t="shared" si="19"/>
        <v/>
      </c>
      <c r="AH129" s="520" t="str">
        <f t="shared" si="20"/>
        <v/>
      </c>
      <c r="AI129" s="521" t="str">
        <f>IF(AH129="Check Data","Check Data",IFERROR(VLOOKUP(AH129,'G-4 Temporal multipliers'!$A$4:$C$36,3,FALSE),""))</f>
        <v/>
      </c>
      <c r="AJ129" s="497" t="str">
        <f>IF(S129="","",VLOOKUP(S129,'G-3 Multipliers'!$A$2:$E$129,4,FALSE))</f>
        <v/>
      </c>
      <c r="AK129" s="506" t="str">
        <f t="shared" si="21"/>
        <v/>
      </c>
      <c r="AL129" s="506" t="str">
        <f t="shared" si="22"/>
        <v/>
      </c>
      <c r="AM129" s="539" t="str">
        <f>IFERROR(IF(F129="","",IF(AH129="Check Data ⚠","Check Data ⚠",VLOOKUP(AL129, 'G-3 Multipliers'!$P$2:$Q$6,2,FALSE))),"")</f>
        <v/>
      </c>
      <c r="AN129" s="512" t="str">
        <f t="shared" si="14"/>
        <v/>
      </c>
      <c r="AO129" s="238"/>
      <c r="AP129" s="239"/>
    </row>
    <row r="130" spans="1:42" x14ac:dyDescent="0.3">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t="str">
        <f t="shared" si="15"/>
        <v/>
      </c>
      <c r="R130" s="237" t="str">
        <f t="shared" si="16"/>
        <v/>
      </c>
      <c r="S130" s="391" t="str">
        <f>IFERROR(INDEX('G-1 All Habitats'!$B$3:$B$129,MATCH(R130,'G-1 All Habitats'!$A$3:$A$129,0)),"")</f>
        <v/>
      </c>
      <c r="T130" s="497" t="str">
        <f t="shared" si="17"/>
        <v/>
      </c>
      <c r="U130" s="498" t="str">
        <f t="shared" si="18"/>
        <v/>
      </c>
      <c r="V130" s="536" t="str">
        <f t="shared" si="12"/>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3"/>
        <v/>
      </c>
      <c r="AE130" s="82"/>
      <c r="AF130" s="82"/>
      <c r="AG130" s="506" t="str">
        <f t="shared" si="19"/>
        <v/>
      </c>
      <c r="AH130" s="520" t="str">
        <f t="shared" si="20"/>
        <v/>
      </c>
      <c r="AI130" s="521" t="str">
        <f>IF(AH130="Check Data","Check Data",IFERROR(VLOOKUP(AH130,'G-4 Temporal multipliers'!$A$4:$C$36,3,FALSE),""))</f>
        <v/>
      </c>
      <c r="AJ130" s="497" t="str">
        <f>IF(S130="","",VLOOKUP(S130,'G-3 Multipliers'!$A$2:$E$129,4,FALSE))</f>
        <v/>
      </c>
      <c r="AK130" s="506" t="str">
        <f t="shared" si="21"/>
        <v/>
      </c>
      <c r="AL130" s="506" t="str">
        <f t="shared" si="22"/>
        <v/>
      </c>
      <c r="AM130" s="539" t="str">
        <f>IFERROR(IF(F130="","",IF(AH130="Check Data ⚠","Check Data ⚠",VLOOKUP(AL130, 'G-3 Multipliers'!$P$2:$Q$6,2,FALSE))),"")</f>
        <v/>
      </c>
      <c r="AN130" s="512" t="str">
        <f t="shared" si="14"/>
        <v/>
      </c>
      <c r="AO130" s="238"/>
      <c r="AP130" s="239"/>
    </row>
    <row r="131" spans="1:42" x14ac:dyDescent="0.3">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t="str">
        <f t="shared" si="15"/>
        <v/>
      </c>
      <c r="R131" s="237" t="str">
        <f t="shared" si="16"/>
        <v/>
      </c>
      <c r="S131" s="391" t="str">
        <f>IFERROR(INDEX('G-1 All Habitats'!$B$3:$B$129,MATCH(R131,'G-1 All Habitats'!$A$3:$A$129,0)),"")</f>
        <v/>
      </c>
      <c r="T131" s="497" t="str">
        <f t="shared" si="17"/>
        <v/>
      </c>
      <c r="U131" s="498" t="str">
        <f t="shared" si="18"/>
        <v/>
      </c>
      <c r="V131" s="536" t="str">
        <f t="shared" si="12"/>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3"/>
        <v/>
      </c>
      <c r="AE131" s="82"/>
      <c r="AF131" s="82"/>
      <c r="AG131" s="506" t="str">
        <f t="shared" si="19"/>
        <v/>
      </c>
      <c r="AH131" s="520" t="str">
        <f t="shared" si="20"/>
        <v/>
      </c>
      <c r="AI131" s="521" t="str">
        <f>IF(AH131="Check Data","Check Data",IFERROR(VLOOKUP(AH131,'G-4 Temporal multipliers'!$A$4:$C$36,3,FALSE),""))</f>
        <v/>
      </c>
      <c r="AJ131" s="497" t="str">
        <f>IF(S131="","",VLOOKUP(S131,'G-3 Multipliers'!$A$2:$E$129,4,FALSE))</f>
        <v/>
      </c>
      <c r="AK131" s="506" t="str">
        <f t="shared" si="21"/>
        <v/>
      </c>
      <c r="AL131" s="506" t="str">
        <f t="shared" si="22"/>
        <v/>
      </c>
      <c r="AM131" s="539" t="str">
        <f>IFERROR(IF(F131="","",IF(AH131="Check Data ⚠","Check Data ⚠",VLOOKUP(AL131, 'G-3 Multipliers'!$P$2:$Q$6,2,FALSE))),"")</f>
        <v/>
      </c>
      <c r="AN131" s="512" t="str">
        <f t="shared" si="14"/>
        <v/>
      </c>
      <c r="AO131" s="238"/>
      <c r="AP131" s="239"/>
    </row>
    <row r="132" spans="1:42" x14ac:dyDescent="0.3">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t="str">
        <f t="shared" si="15"/>
        <v/>
      </c>
      <c r="R132" s="237" t="str">
        <f t="shared" si="16"/>
        <v/>
      </c>
      <c r="S132" s="391" t="str">
        <f>IFERROR(INDEX('G-1 All Habitats'!$B$3:$B$129,MATCH(R132,'G-1 All Habitats'!$A$3:$A$129,0)),"")</f>
        <v/>
      </c>
      <c r="T132" s="497" t="str">
        <f t="shared" si="17"/>
        <v/>
      </c>
      <c r="U132" s="498" t="str">
        <f t="shared" si="18"/>
        <v/>
      </c>
      <c r="V132" s="536" t="str">
        <f t="shared" si="12"/>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3"/>
        <v/>
      </c>
      <c r="AE132" s="82"/>
      <c r="AF132" s="82"/>
      <c r="AG132" s="506" t="str">
        <f t="shared" si="19"/>
        <v/>
      </c>
      <c r="AH132" s="520" t="str">
        <f t="shared" si="20"/>
        <v/>
      </c>
      <c r="AI132" s="521" t="str">
        <f>IF(AH132="Check Data","Check Data",IFERROR(VLOOKUP(AH132,'G-4 Temporal multipliers'!$A$4:$C$36,3,FALSE),""))</f>
        <v/>
      </c>
      <c r="AJ132" s="497" t="str">
        <f>IF(S132="","",VLOOKUP(S132,'G-3 Multipliers'!$A$2:$E$129,4,FALSE))</f>
        <v/>
      </c>
      <c r="AK132" s="506" t="str">
        <f t="shared" si="21"/>
        <v/>
      </c>
      <c r="AL132" s="506" t="str">
        <f t="shared" si="22"/>
        <v/>
      </c>
      <c r="AM132" s="539" t="str">
        <f>IFERROR(IF(F132="","",IF(AH132="Check Data ⚠","Check Data ⚠",VLOOKUP(AL132, 'G-3 Multipliers'!$P$2:$Q$6,2,FALSE))),"")</f>
        <v/>
      </c>
      <c r="AN132" s="512" t="str">
        <f t="shared" si="14"/>
        <v/>
      </c>
      <c r="AO132" s="238"/>
      <c r="AP132" s="239"/>
    </row>
    <row r="133" spans="1:42" x14ac:dyDescent="0.3">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t="str">
        <f t="shared" si="15"/>
        <v/>
      </c>
      <c r="R133" s="237" t="str">
        <f t="shared" si="16"/>
        <v/>
      </c>
      <c r="S133" s="391" t="str">
        <f>IFERROR(INDEX('G-1 All Habitats'!$B$3:$B$129,MATCH(R133,'G-1 All Habitats'!$A$3:$A$129,0)),"")</f>
        <v/>
      </c>
      <c r="T133" s="497" t="str">
        <f t="shared" si="17"/>
        <v/>
      </c>
      <c r="U133" s="498" t="str">
        <f t="shared" si="18"/>
        <v/>
      </c>
      <c r="V133" s="536" t="str">
        <f t="shared" si="12"/>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3"/>
        <v/>
      </c>
      <c r="AE133" s="82"/>
      <c r="AF133" s="82"/>
      <c r="AG133" s="506" t="str">
        <f t="shared" si="19"/>
        <v/>
      </c>
      <c r="AH133" s="520" t="str">
        <f t="shared" si="20"/>
        <v/>
      </c>
      <c r="AI133" s="521" t="str">
        <f>IF(AH133="Check Data","Check Data",IFERROR(VLOOKUP(AH133,'G-4 Temporal multipliers'!$A$4:$C$36,3,FALSE),""))</f>
        <v/>
      </c>
      <c r="AJ133" s="497" t="str">
        <f>IF(S133="","",VLOOKUP(S133,'G-3 Multipliers'!$A$2:$E$129,4,FALSE))</f>
        <v/>
      </c>
      <c r="AK133" s="506" t="str">
        <f t="shared" si="21"/>
        <v/>
      </c>
      <c r="AL133" s="506" t="str">
        <f t="shared" si="22"/>
        <v/>
      </c>
      <c r="AM133" s="539" t="str">
        <f>IFERROR(IF(F133="","",IF(AH133="Check Data ⚠","Check Data ⚠",VLOOKUP(AL133, 'G-3 Multipliers'!$P$2:$Q$6,2,FALSE))),"")</f>
        <v/>
      </c>
      <c r="AN133" s="512" t="str">
        <f t="shared" si="14"/>
        <v/>
      </c>
      <c r="AO133" s="238"/>
      <c r="AP133" s="239"/>
    </row>
    <row r="134" spans="1:42" x14ac:dyDescent="0.3">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t="str">
        <f t="shared" si="15"/>
        <v/>
      </c>
      <c r="R134" s="237" t="str">
        <f t="shared" si="16"/>
        <v/>
      </c>
      <c r="S134" s="391" t="str">
        <f>IFERROR(INDEX('G-1 All Habitats'!$B$3:$B$129,MATCH(R134,'G-1 All Habitats'!$A$3:$A$129,0)),"")</f>
        <v/>
      </c>
      <c r="T134" s="497" t="str">
        <f t="shared" si="17"/>
        <v/>
      </c>
      <c r="U134" s="498" t="str">
        <f t="shared" si="18"/>
        <v/>
      </c>
      <c r="V134" s="536" t="str">
        <f t="shared" si="12"/>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3"/>
        <v/>
      </c>
      <c r="AE134" s="82"/>
      <c r="AF134" s="82"/>
      <c r="AG134" s="506" t="str">
        <f t="shared" si="19"/>
        <v/>
      </c>
      <c r="AH134" s="520" t="str">
        <f t="shared" si="20"/>
        <v/>
      </c>
      <c r="AI134" s="521" t="str">
        <f>IF(AH134="Check Data","Check Data",IFERROR(VLOOKUP(AH134,'G-4 Temporal multipliers'!$A$4:$C$36,3,FALSE),""))</f>
        <v/>
      </c>
      <c r="AJ134" s="497" t="str">
        <f>IF(S134="","",VLOOKUP(S134,'G-3 Multipliers'!$A$2:$E$129,4,FALSE))</f>
        <v/>
      </c>
      <c r="AK134" s="506" t="str">
        <f t="shared" si="21"/>
        <v/>
      </c>
      <c r="AL134" s="506" t="str">
        <f t="shared" si="22"/>
        <v/>
      </c>
      <c r="AM134" s="539" t="str">
        <f>IFERROR(IF(F134="","",IF(AH134="Check Data ⚠","Check Data ⚠",VLOOKUP(AL134, 'G-3 Multipliers'!$P$2:$Q$6,2,FALSE))),"")</f>
        <v/>
      </c>
      <c r="AN134" s="512" t="str">
        <f t="shared" si="14"/>
        <v/>
      </c>
      <c r="AO134" s="238"/>
      <c r="AP134" s="239"/>
    </row>
    <row r="135" spans="1:42" x14ac:dyDescent="0.3">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t="str">
        <f t="shared" si="15"/>
        <v/>
      </c>
      <c r="R135" s="237" t="str">
        <f t="shared" si="16"/>
        <v/>
      </c>
      <c r="S135" s="391" t="str">
        <f>IFERROR(INDEX('G-1 All Habitats'!$B$3:$B$129,MATCH(R135,'G-1 All Habitats'!$A$3:$A$129,0)),"")</f>
        <v/>
      </c>
      <c r="T135" s="497" t="str">
        <f t="shared" si="17"/>
        <v/>
      </c>
      <c r="U135" s="498" t="str">
        <f t="shared" si="18"/>
        <v/>
      </c>
      <c r="V135" s="536" t="str">
        <f t="shared" si="12"/>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3"/>
        <v/>
      </c>
      <c r="AE135" s="82"/>
      <c r="AF135" s="82"/>
      <c r="AG135" s="506" t="str">
        <f t="shared" si="19"/>
        <v/>
      </c>
      <c r="AH135" s="520" t="str">
        <f t="shared" si="20"/>
        <v/>
      </c>
      <c r="AI135" s="521" t="str">
        <f>IF(AH135="Check Data","Check Data",IFERROR(VLOOKUP(AH135,'G-4 Temporal multipliers'!$A$4:$C$36,3,FALSE),""))</f>
        <v/>
      </c>
      <c r="AJ135" s="497" t="str">
        <f>IF(S135="","",VLOOKUP(S135,'G-3 Multipliers'!$A$2:$E$129,4,FALSE))</f>
        <v/>
      </c>
      <c r="AK135" s="506" t="str">
        <f t="shared" si="21"/>
        <v/>
      </c>
      <c r="AL135" s="506" t="str">
        <f t="shared" si="22"/>
        <v/>
      </c>
      <c r="AM135" s="539" t="str">
        <f>IFERROR(IF(F135="","",IF(AH135="Check Data ⚠","Check Data ⚠",VLOOKUP(AL135, 'G-3 Multipliers'!$P$2:$Q$6,2,FALSE))),"")</f>
        <v/>
      </c>
      <c r="AN135" s="512" t="str">
        <f t="shared" si="14"/>
        <v/>
      </c>
      <c r="AO135" s="238"/>
      <c r="AP135" s="239"/>
    </row>
    <row r="136" spans="1:42" x14ac:dyDescent="0.3">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t="str">
        <f t="shared" si="15"/>
        <v/>
      </c>
      <c r="R136" s="237" t="str">
        <f t="shared" si="16"/>
        <v/>
      </c>
      <c r="S136" s="391" t="str">
        <f>IFERROR(INDEX('G-1 All Habitats'!$B$3:$B$129,MATCH(R136,'G-1 All Habitats'!$A$3:$A$129,0)),"")</f>
        <v/>
      </c>
      <c r="T136" s="497" t="str">
        <f t="shared" si="17"/>
        <v/>
      </c>
      <c r="U136" s="498" t="str">
        <f t="shared" si="18"/>
        <v/>
      </c>
      <c r="V136" s="536" t="str">
        <f t="shared" si="12"/>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3"/>
        <v/>
      </c>
      <c r="AE136" s="82"/>
      <c r="AF136" s="82"/>
      <c r="AG136" s="506" t="str">
        <f t="shared" si="19"/>
        <v/>
      </c>
      <c r="AH136" s="520" t="str">
        <f t="shared" si="20"/>
        <v/>
      </c>
      <c r="AI136" s="521" t="str">
        <f>IF(AH136="Check Data","Check Data",IFERROR(VLOOKUP(AH136,'G-4 Temporal multipliers'!$A$4:$C$36,3,FALSE),""))</f>
        <v/>
      </c>
      <c r="AJ136" s="497" t="str">
        <f>IF(S136="","",VLOOKUP(S136,'G-3 Multipliers'!$A$2:$E$129,4,FALSE))</f>
        <v/>
      </c>
      <c r="AK136" s="506" t="str">
        <f t="shared" si="21"/>
        <v/>
      </c>
      <c r="AL136" s="506" t="str">
        <f t="shared" si="22"/>
        <v/>
      </c>
      <c r="AM136" s="539" t="str">
        <f>IFERROR(IF(F136="","",IF(AH136="Check Data ⚠","Check Data ⚠",VLOOKUP(AL136, 'G-3 Multipliers'!$P$2:$Q$6,2,FALSE))),"")</f>
        <v/>
      </c>
      <c r="AN136" s="512" t="str">
        <f t="shared" si="14"/>
        <v/>
      </c>
      <c r="AO136" s="238"/>
      <c r="AP136" s="239"/>
    </row>
    <row r="137" spans="1:42" x14ac:dyDescent="0.3">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t="str">
        <f t="shared" si="15"/>
        <v/>
      </c>
      <c r="R137" s="237" t="str">
        <f t="shared" si="16"/>
        <v/>
      </c>
      <c r="S137" s="391" t="str">
        <f>IFERROR(INDEX('G-1 All Habitats'!$B$3:$B$129,MATCH(R137,'G-1 All Habitats'!$A$3:$A$129,0)),"")</f>
        <v/>
      </c>
      <c r="T137" s="497" t="str">
        <f t="shared" si="17"/>
        <v/>
      </c>
      <c r="U137" s="498" t="str">
        <f t="shared" si="18"/>
        <v/>
      </c>
      <c r="V137" s="536" t="str">
        <f t="shared" si="12"/>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3"/>
        <v/>
      </c>
      <c r="AE137" s="82"/>
      <c r="AF137" s="82"/>
      <c r="AG137" s="506" t="str">
        <f t="shared" si="19"/>
        <v/>
      </c>
      <c r="AH137" s="520" t="str">
        <f t="shared" si="20"/>
        <v/>
      </c>
      <c r="AI137" s="521" t="str">
        <f>IF(AH137="Check Data","Check Data",IFERROR(VLOOKUP(AH137,'G-4 Temporal multipliers'!$A$4:$C$36,3,FALSE),""))</f>
        <v/>
      </c>
      <c r="AJ137" s="497" t="str">
        <f>IF(S137="","",VLOOKUP(S137,'G-3 Multipliers'!$A$2:$E$129,4,FALSE))</f>
        <v/>
      </c>
      <c r="AK137" s="506" t="str">
        <f t="shared" si="21"/>
        <v/>
      </c>
      <c r="AL137" s="506" t="str">
        <f t="shared" si="22"/>
        <v/>
      </c>
      <c r="AM137" s="539" t="str">
        <f>IFERROR(IF(F137="","",IF(AH137="Check Data ⚠","Check Data ⚠",VLOOKUP(AL137, 'G-3 Multipliers'!$P$2:$Q$6,2,FALSE))),"")</f>
        <v/>
      </c>
      <c r="AN137" s="512" t="str">
        <f t="shared" si="14"/>
        <v/>
      </c>
      <c r="AO137" s="238"/>
      <c r="AP137" s="239"/>
    </row>
    <row r="138" spans="1:42" x14ac:dyDescent="0.3">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t="str">
        <f t="shared" si="15"/>
        <v/>
      </c>
      <c r="R138" s="237" t="str">
        <f t="shared" si="16"/>
        <v/>
      </c>
      <c r="S138" s="391" t="str">
        <f>IFERROR(INDEX('G-1 All Habitats'!$B$3:$B$129,MATCH(R138,'G-1 All Habitats'!$A$3:$A$129,0)),"")</f>
        <v/>
      </c>
      <c r="T138" s="497" t="str">
        <f t="shared" si="17"/>
        <v/>
      </c>
      <c r="U138" s="498" t="str">
        <f t="shared" si="18"/>
        <v/>
      </c>
      <c r="V138" s="536" t="str">
        <f t="shared" si="12"/>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3"/>
        <v/>
      </c>
      <c r="AE138" s="82"/>
      <c r="AF138" s="82"/>
      <c r="AG138" s="506" t="str">
        <f t="shared" si="19"/>
        <v/>
      </c>
      <c r="AH138" s="520" t="str">
        <f t="shared" si="20"/>
        <v/>
      </c>
      <c r="AI138" s="521" t="str">
        <f>IF(AH138="Check Data","Check Data",IFERROR(VLOOKUP(AH138,'G-4 Temporal multipliers'!$A$4:$C$36,3,FALSE),""))</f>
        <v/>
      </c>
      <c r="AJ138" s="497" t="str">
        <f>IF(S138="","",VLOOKUP(S138,'G-3 Multipliers'!$A$2:$E$129,4,FALSE))</f>
        <v/>
      </c>
      <c r="AK138" s="506" t="str">
        <f t="shared" si="21"/>
        <v/>
      </c>
      <c r="AL138" s="506" t="str">
        <f t="shared" si="22"/>
        <v/>
      </c>
      <c r="AM138" s="539" t="str">
        <f>IFERROR(IF(F138="","",IF(AH138="Check Data ⚠","Check Data ⚠",VLOOKUP(AL138, 'G-3 Multipliers'!$P$2:$Q$6,2,FALSE))),"")</f>
        <v/>
      </c>
      <c r="AN138" s="512" t="str">
        <f t="shared" si="14"/>
        <v/>
      </c>
      <c r="AO138" s="238"/>
      <c r="AP138" s="239"/>
    </row>
    <row r="139" spans="1:42" x14ac:dyDescent="0.3">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t="str">
        <f t="shared" si="15"/>
        <v/>
      </c>
      <c r="R139" s="237" t="str">
        <f t="shared" si="16"/>
        <v/>
      </c>
      <c r="S139" s="391" t="str">
        <f>IFERROR(INDEX('G-1 All Habitats'!$B$3:$B$129,MATCH(R139,'G-1 All Habitats'!$A$3:$A$129,0)),"")</f>
        <v/>
      </c>
      <c r="T139" s="497" t="str">
        <f t="shared" si="17"/>
        <v/>
      </c>
      <c r="U139" s="498" t="str">
        <f t="shared" si="18"/>
        <v/>
      </c>
      <c r="V139" s="536" t="str">
        <f t="shared" si="12"/>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3"/>
        <v/>
      </c>
      <c r="AE139" s="82"/>
      <c r="AF139" s="82"/>
      <c r="AG139" s="506" t="str">
        <f t="shared" si="19"/>
        <v/>
      </c>
      <c r="AH139" s="520" t="str">
        <f t="shared" si="20"/>
        <v/>
      </c>
      <c r="AI139" s="521" t="str">
        <f>IF(AH139="Check Data","Check Data",IFERROR(VLOOKUP(AH139,'G-4 Temporal multipliers'!$A$4:$C$36,3,FALSE),""))</f>
        <v/>
      </c>
      <c r="AJ139" s="497" t="str">
        <f>IF(S139="","",VLOOKUP(S139,'G-3 Multipliers'!$A$2:$E$129,4,FALSE))</f>
        <v/>
      </c>
      <c r="AK139" s="506" t="str">
        <f t="shared" si="21"/>
        <v/>
      </c>
      <c r="AL139" s="506" t="str">
        <f t="shared" si="22"/>
        <v/>
      </c>
      <c r="AM139" s="539" t="str">
        <f>IFERROR(IF(F139="","",IF(AH139="Check Data ⚠","Check Data ⚠",VLOOKUP(AL139, 'G-3 Multipliers'!$P$2:$Q$6,2,FALSE))),"")</f>
        <v/>
      </c>
      <c r="AN139" s="512" t="str">
        <f t="shared" si="14"/>
        <v/>
      </c>
      <c r="AO139" s="238"/>
      <c r="AP139" s="239"/>
    </row>
    <row r="140" spans="1:42" x14ac:dyDescent="0.3">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t="str">
        <f t="shared" si="15"/>
        <v/>
      </c>
      <c r="R140" s="237" t="str">
        <f t="shared" si="16"/>
        <v/>
      </c>
      <c r="S140" s="391" t="str">
        <f>IFERROR(INDEX('G-1 All Habitats'!$B$3:$B$129,MATCH(R140,'G-1 All Habitats'!$A$3:$A$129,0)),"")</f>
        <v/>
      </c>
      <c r="T140" s="497" t="str">
        <f t="shared" si="17"/>
        <v/>
      </c>
      <c r="U140" s="498" t="str">
        <f t="shared" si="18"/>
        <v/>
      </c>
      <c r="V140" s="536" t="str">
        <f t="shared" ref="V140:V203" si="23">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24">IFERROR(IF(OR(LEFT(U140,5)="Error ▲",LEFT(T140,5)="Error ▲"),"Check Data ⚠",INDEX(EnhanceTemporal,MATCH(S140,EnhanceHabitat,0),MATCH(U140,EnhanceCondition,0))),"")</f>
        <v/>
      </c>
      <c r="AE140" s="82"/>
      <c r="AF140" s="82"/>
      <c r="AG140" s="506" t="str">
        <f t="shared" si="19"/>
        <v/>
      </c>
      <c r="AH140" s="520" t="str">
        <f t="shared" si="20"/>
        <v/>
      </c>
      <c r="AI140" s="521" t="str">
        <f>IF(AH140="Check Data","Check Data",IFERROR(VLOOKUP(AH140,'G-4 Temporal multipliers'!$A$4:$C$36,3,FALSE),""))</f>
        <v/>
      </c>
      <c r="AJ140" s="497" t="str">
        <f>IF(S140="","",VLOOKUP(S140,'G-3 Multipliers'!$A$2:$E$129,4,FALSE))</f>
        <v/>
      </c>
      <c r="AK140" s="506" t="str">
        <f t="shared" si="21"/>
        <v/>
      </c>
      <c r="AL140" s="506" t="str">
        <f t="shared" si="22"/>
        <v/>
      </c>
      <c r="AM140" s="539" t="str">
        <f>IFERROR(IF(F140="","",IF(AH140="Check Data ⚠","Check Data ⚠",VLOOKUP(AL140, 'G-3 Multipliers'!$P$2:$Q$6,2,FALSE))),"")</f>
        <v/>
      </c>
      <c r="AN140" s="512" t="str">
        <f t="shared" ref="AN140:AN203" si="25">IFERROR(((((V140*X140*Z140)-(V140*I140*K140))*(AM140*AI140))+(V140*I140*K140))*(AC140),"")</f>
        <v/>
      </c>
      <c r="AO140" s="238"/>
      <c r="AP140" s="239"/>
    </row>
    <row r="141" spans="1:42" x14ac:dyDescent="0.3">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t="str">
        <f t="shared" ref="Q141:Q204" si="26">A141</f>
        <v/>
      </c>
      <c r="R141" s="237" t="str">
        <f t="shared" ref="R141:R204" si="27">IF(B141="","",B141)</f>
        <v/>
      </c>
      <c r="S141" s="391" t="str">
        <f>IFERROR(INDEX('G-1 All Habitats'!$B$3:$B$129,MATCH(R141,'G-1 All Habitats'!$A$3:$A$129,0)),"")</f>
        <v/>
      </c>
      <c r="T141" s="497"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23"/>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24"/>
        <v/>
      </c>
      <c r="AE141" s="82"/>
      <c r="AF141" s="82"/>
      <c r="AG141" s="506"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32">IF(E141="","",IF(AG141="Check details - Is there evidence that habitat has reached target condition? ⚠","Low Difficulty - only applicable if all habitat created before losses ⚠","Standard difficulty applied"))</f>
        <v/>
      </c>
      <c r="AL141" s="506" t="str">
        <f t="shared" ref="AL141:AL204" si="33">(IF(AND(AK141="Standard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5"/>
        <v/>
      </c>
      <c r="AO141" s="238"/>
      <c r="AP141" s="239"/>
    </row>
    <row r="142" spans="1:42" x14ac:dyDescent="0.3">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t="str">
        <f t="shared" si="26"/>
        <v/>
      </c>
      <c r="R142" s="237" t="str">
        <f t="shared" si="27"/>
        <v/>
      </c>
      <c r="S142" s="391" t="str">
        <f>IFERROR(INDEX('G-1 All Habitats'!$B$3:$B$129,MATCH(R142,'G-1 All Habitats'!$A$3:$A$129,0)),"")</f>
        <v/>
      </c>
      <c r="T142" s="497" t="str">
        <f t="shared" si="28"/>
        <v/>
      </c>
      <c r="U142" s="498" t="str">
        <f t="shared" si="29"/>
        <v/>
      </c>
      <c r="V142" s="536" t="str">
        <f t="shared" si="23"/>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24"/>
        <v/>
      </c>
      <c r="AE142" s="82"/>
      <c r="AF142" s="82"/>
      <c r="AG142" s="506" t="str">
        <f t="shared" si="30"/>
        <v/>
      </c>
      <c r="AH142" s="520" t="str">
        <f t="shared" si="31"/>
        <v/>
      </c>
      <c r="AI142" s="521" t="str">
        <f>IF(AH142="Check Data","Check Data",IFERROR(VLOOKUP(AH142,'G-4 Temporal multipliers'!$A$4:$C$36,3,FALSE),""))</f>
        <v/>
      </c>
      <c r="AJ142" s="497" t="str">
        <f>IF(S142="","",VLOOKUP(S142,'G-3 Multipliers'!$A$2:$E$129,4,FALSE))</f>
        <v/>
      </c>
      <c r="AK142" s="506" t="str">
        <f t="shared" si="32"/>
        <v/>
      </c>
      <c r="AL142" s="506" t="str">
        <f t="shared" si="33"/>
        <v/>
      </c>
      <c r="AM142" s="539" t="str">
        <f>IFERROR(IF(F142="","",IF(AH142="Check Data ⚠","Check Data ⚠",VLOOKUP(AL142, 'G-3 Multipliers'!$P$2:$Q$6,2,FALSE))),"")</f>
        <v/>
      </c>
      <c r="AN142" s="512" t="str">
        <f t="shared" si="25"/>
        <v/>
      </c>
      <c r="AO142" s="238"/>
      <c r="AP142" s="239"/>
    </row>
    <row r="143" spans="1:42" x14ac:dyDescent="0.3">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t="str">
        <f t="shared" si="26"/>
        <v/>
      </c>
      <c r="R143" s="237" t="str">
        <f t="shared" si="27"/>
        <v/>
      </c>
      <c r="S143" s="391" t="str">
        <f>IFERROR(INDEX('G-1 All Habitats'!$B$3:$B$129,MATCH(R143,'G-1 All Habitats'!$A$3:$A$129,0)),"")</f>
        <v/>
      </c>
      <c r="T143" s="497" t="str">
        <f t="shared" si="28"/>
        <v/>
      </c>
      <c r="U143" s="498" t="str">
        <f t="shared" si="29"/>
        <v/>
      </c>
      <c r="V143" s="536" t="str">
        <f t="shared" si="23"/>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24"/>
        <v/>
      </c>
      <c r="AE143" s="82"/>
      <c r="AF143" s="82"/>
      <c r="AG143" s="506" t="str">
        <f t="shared" si="30"/>
        <v/>
      </c>
      <c r="AH143" s="520" t="str">
        <f t="shared" si="31"/>
        <v/>
      </c>
      <c r="AI143" s="521" t="str">
        <f>IF(AH143="Check Data","Check Data",IFERROR(VLOOKUP(AH143,'G-4 Temporal multipliers'!$A$4:$C$36,3,FALSE),""))</f>
        <v/>
      </c>
      <c r="AJ143" s="497" t="str">
        <f>IF(S143="","",VLOOKUP(S143,'G-3 Multipliers'!$A$2:$E$129,4,FALSE))</f>
        <v/>
      </c>
      <c r="AK143" s="506" t="str">
        <f t="shared" si="32"/>
        <v/>
      </c>
      <c r="AL143" s="506" t="str">
        <f t="shared" si="33"/>
        <v/>
      </c>
      <c r="AM143" s="539" t="str">
        <f>IFERROR(IF(F143="","",IF(AH143="Check Data ⚠","Check Data ⚠",VLOOKUP(AL143, 'G-3 Multipliers'!$P$2:$Q$6,2,FALSE))),"")</f>
        <v/>
      </c>
      <c r="AN143" s="512" t="str">
        <f t="shared" si="25"/>
        <v/>
      </c>
      <c r="AO143" s="238"/>
      <c r="AP143" s="239"/>
    </row>
    <row r="144" spans="1:42" x14ac:dyDescent="0.3">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t="str">
        <f t="shared" si="26"/>
        <v/>
      </c>
      <c r="R144" s="237" t="str">
        <f t="shared" si="27"/>
        <v/>
      </c>
      <c r="S144" s="391" t="str">
        <f>IFERROR(INDEX('G-1 All Habitats'!$B$3:$B$129,MATCH(R144,'G-1 All Habitats'!$A$3:$A$129,0)),"")</f>
        <v/>
      </c>
      <c r="T144" s="497" t="str">
        <f t="shared" si="28"/>
        <v/>
      </c>
      <c r="U144" s="498" t="str">
        <f t="shared" si="29"/>
        <v/>
      </c>
      <c r="V144" s="536" t="str">
        <f t="shared" si="23"/>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24"/>
        <v/>
      </c>
      <c r="AE144" s="82"/>
      <c r="AF144" s="82"/>
      <c r="AG144" s="506" t="str">
        <f t="shared" si="30"/>
        <v/>
      </c>
      <c r="AH144" s="520" t="str">
        <f t="shared" si="31"/>
        <v/>
      </c>
      <c r="AI144" s="521" t="str">
        <f>IF(AH144="Check Data","Check Data",IFERROR(VLOOKUP(AH144,'G-4 Temporal multipliers'!$A$4:$C$36,3,FALSE),""))</f>
        <v/>
      </c>
      <c r="AJ144" s="497" t="str">
        <f>IF(S144="","",VLOOKUP(S144,'G-3 Multipliers'!$A$2:$E$129,4,FALSE))</f>
        <v/>
      </c>
      <c r="AK144" s="506" t="str">
        <f t="shared" si="32"/>
        <v/>
      </c>
      <c r="AL144" s="506" t="str">
        <f t="shared" si="33"/>
        <v/>
      </c>
      <c r="AM144" s="539" t="str">
        <f>IFERROR(IF(F144="","",IF(AH144="Check Data ⚠","Check Data ⚠",VLOOKUP(AL144, 'G-3 Multipliers'!$P$2:$Q$6,2,FALSE))),"")</f>
        <v/>
      </c>
      <c r="AN144" s="512" t="str">
        <f t="shared" si="25"/>
        <v/>
      </c>
      <c r="AO144" s="238"/>
      <c r="AP144" s="239"/>
    </row>
    <row r="145" spans="1:42" x14ac:dyDescent="0.3">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t="str">
        <f t="shared" si="26"/>
        <v/>
      </c>
      <c r="R145" s="237" t="str">
        <f t="shared" si="27"/>
        <v/>
      </c>
      <c r="S145" s="391" t="str">
        <f>IFERROR(INDEX('G-1 All Habitats'!$B$3:$B$129,MATCH(R145,'G-1 All Habitats'!$A$3:$A$129,0)),"")</f>
        <v/>
      </c>
      <c r="T145" s="497" t="str">
        <f t="shared" si="28"/>
        <v/>
      </c>
      <c r="U145" s="498" t="str">
        <f t="shared" si="29"/>
        <v/>
      </c>
      <c r="V145" s="536" t="str">
        <f t="shared" si="23"/>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24"/>
        <v/>
      </c>
      <c r="AE145" s="82"/>
      <c r="AF145" s="82"/>
      <c r="AG145" s="506" t="str">
        <f t="shared" si="30"/>
        <v/>
      </c>
      <c r="AH145" s="520" t="str">
        <f t="shared" si="31"/>
        <v/>
      </c>
      <c r="AI145" s="521" t="str">
        <f>IF(AH145="Check Data","Check Data",IFERROR(VLOOKUP(AH145,'G-4 Temporal multipliers'!$A$4:$C$36,3,FALSE),""))</f>
        <v/>
      </c>
      <c r="AJ145" s="497" t="str">
        <f>IF(S145="","",VLOOKUP(S145,'G-3 Multipliers'!$A$2:$E$129,4,FALSE))</f>
        <v/>
      </c>
      <c r="AK145" s="506" t="str">
        <f t="shared" si="32"/>
        <v/>
      </c>
      <c r="AL145" s="506" t="str">
        <f t="shared" si="33"/>
        <v/>
      </c>
      <c r="AM145" s="539" t="str">
        <f>IFERROR(IF(F145="","",IF(AH145="Check Data ⚠","Check Data ⚠",VLOOKUP(AL145, 'G-3 Multipliers'!$P$2:$Q$6,2,FALSE))),"")</f>
        <v/>
      </c>
      <c r="AN145" s="512" t="str">
        <f t="shared" si="25"/>
        <v/>
      </c>
      <c r="AO145" s="238"/>
      <c r="AP145" s="239"/>
    </row>
    <row r="146" spans="1:42" x14ac:dyDescent="0.3">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t="str">
        <f t="shared" si="26"/>
        <v/>
      </c>
      <c r="R146" s="237" t="str">
        <f t="shared" si="27"/>
        <v/>
      </c>
      <c r="S146" s="391" t="str">
        <f>IFERROR(INDEX('G-1 All Habitats'!$B$3:$B$129,MATCH(R146,'G-1 All Habitats'!$A$3:$A$129,0)),"")</f>
        <v/>
      </c>
      <c r="T146" s="497" t="str">
        <f t="shared" si="28"/>
        <v/>
      </c>
      <c r="U146" s="498" t="str">
        <f t="shared" si="29"/>
        <v/>
      </c>
      <c r="V146" s="536" t="str">
        <f t="shared" si="23"/>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24"/>
        <v/>
      </c>
      <c r="AE146" s="82"/>
      <c r="AF146" s="82"/>
      <c r="AG146" s="506" t="str">
        <f t="shared" si="30"/>
        <v/>
      </c>
      <c r="AH146" s="520" t="str">
        <f t="shared" si="31"/>
        <v/>
      </c>
      <c r="AI146" s="521" t="str">
        <f>IF(AH146="Check Data","Check Data",IFERROR(VLOOKUP(AH146,'G-4 Temporal multipliers'!$A$4:$C$36,3,FALSE),""))</f>
        <v/>
      </c>
      <c r="AJ146" s="497" t="str">
        <f>IF(S146="","",VLOOKUP(S146,'G-3 Multipliers'!$A$2:$E$129,4,FALSE))</f>
        <v/>
      </c>
      <c r="AK146" s="506" t="str">
        <f t="shared" si="32"/>
        <v/>
      </c>
      <c r="AL146" s="506" t="str">
        <f t="shared" si="33"/>
        <v/>
      </c>
      <c r="AM146" s="539" t="str">
        <f>IFERROR(IF(F146="","",IF(AH146="Check Data ⚠","Check Data ⚠",VLOOKUP(AL146, 'G-3 Multipliers'!$P$2:$Q$6,2,FALSE))),"")</f>
        <v/>
      </c>
      <c r="AN146" s="512" t="str">
        <f t="shared" si="25"/>
        <v/>
      </c>
      <c r="AO146" s="238"/>
      <c r="AP146" s="239"/>
    </row>
    <row r="147" spans="1:42" x14ac:dyDescent="0.3">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t="str">
        <f t="shared" si="26"/>
        <v/>
      </c>
      <c r="R147" s="237" t="str">
        <f t="shared" si="27"/>
        <v/>
      </c>
      <c r="S147" s="391" t="str">
        <f>IFERROR(INDEX('G-1 All Habitats'!$B$3:$B$129,MATCH(R147,'G-1 All Habitats'!$A$3:$A$129,0)),"")</f>
        <v/>
      </c>
      <c r="T147" s="497" t="str">
        <f t="shared" si="28"/>
        <v/>
      </c>
      <c r="U147" s="498" t="str">
        <f t="shared" si="29"/>
        <v/>
      </c>
      <c r="V147" s="536" t="str">
        <f t="shared" si="23"/>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24"/>
        <v/>
      </c>
      <c r="AE147" s="82"/>
      <c r="AF147" s="82"/>
      <c r="AG147" s="506" t="str">
        <f t="shared" si="30"/>
        <v/>
      </c>
      <c r="AH147" s="520" t="str">
        <f t="shared" si="31"/>
        <v/>
      </c>
      <c r="AI147" s="521" t="str">
        <f>IF(AH147="Check Data","Check Data",IFERROR(VLOOKUP(AH147,'G-4 Temporal multipliers'!$A$4:$C$36,3,FALSE),""))</f>
        <v/>
      </c>
      <c r="AJ147" s="497" t="str">
        <f>IF(S147="","",VLOOKUP(S147,'G-3 Multipliers'!$A$2:$E$129,4,FALSE))</f>
        <v/>
      </c>
      <c r="AK147" s="506" t="str">
        <f t="shared" si="32"/>
        <v/>
      </c>
      <c r="AL147" s="506" t="str">
        <f t="shared" si="33"/>
        <v/>
      </c>
      <c r="AM147" s="539" t="str">
        <f>IFERROR(IF(F147="","",IF(AH147="Check Data ⚠","Check Data ⚠",VLOOKUP(AL147, 'G-3 Multipliers'!$P$2:$Q$6,2,FALSE))),"")</f>
        <v/>
      </c>
      <c r="AN147" s="512" t="str">
        <f t="shared" si="25"/>
        <v/>
      </c>
      <c r="AO147" s="238"/>
      <c r="AP147" s="239"/>
    </row>
    <row r="148" spans="1:42" x14ac:dyDescent="0.3">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t="str">
        <f t="shared" si="26"/>
        <v/>
      </c>
      <c r="R148" s="237" t="str">
        <f t="shared" si="27"/>
        <v/>
      </c>
      <c r="S148" s="391" t="str">
        <f>IFERROR(INDEX('G-1 All Habitats'!$B$3:$B$129,MATCH(R148,'G-1 All Habitats'!$A$3:$A$129,0)),"")</f>
        <v/>
      </c>
      <c r="T148" s="497" t="str">
        <f t="shared" si="28"/>
        <v/>
      </c>
      <c r="U148" s="498" t="str">
        <f t="shared" si="29"/>
        <v/>
      </c>
      <c r="V148" s="536" t="str">
        <f t="shared" si="23"/>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24"/>
        <v/>
      </c>
      <c r="AE148" s="82"/>
      <c r="AF148" s="82"/>
      <c r="AG148" s="506" t="str">
        <f t="shared" si="30"/>
        <v/>
      </c>
      <c r="AH148" s="520" t="str">
        <f t="shared" si="31"/>
        <v/>
      </c>
      <c r="AI148" s="521" t="str">
        <f>IF(AH148="Check Data","Check Data",IFERROR(VLOOKUP(AH148,'G-4 Temporal multipliers'!$A$4:$C$36,3,FALSE),""))</f>
        <v/>
      </c>
      <c r="AJ148" s="497" t="str">
        <f>IF(S148="","",VLOOKUP(S148,'G-3 Multipliers'!$A$2:$E$129,4,FALSE))</f>
        <v/>
      </c>
      <c r="AK148" s="506" t="str">
        <f t="shared" si="32"/>
        <v/>
      </c>
      <c r="AL148" s="506" t="str">
        <f t="shared" si="33"/>
        <v/>
      </c>
      <c r="AM148" s="539" t="str">
        <f>IFERROR(IF(F148="","",IF(AH148="Check Data ⚠","Check Data ⚠",VLOOKUP(AL148, 'G-3 Multipliers'!$P$2:$Q$6,2,FALSE))),"")</f>
        <v/>
      </c>
      <c r="AN148" s="512" t="str">
        <f t="shared" si="25"/>
        <v/>
      </c>
      <c r="AO148" s="238"/>
      <c r="AP148" s="239"/>
    </row>
    <row r="149" spans="1:42" x14ac:dyDescent="0.3">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t="str">
        <f t="shared" si="26"/>
        <v/>
      </c>
      <c r="R149" s="237" t="str">
        <f t="shared" si="27"/>
        <v/>
      </c>
      <c r="S149" s="391" t="str">
        <f>IFERROR(INDEX('G-1 All Habitats'!$B$3:$B$129,MATCH(R149,'G-1 All Habitats'!$A$3:$A$129,0)),"")</f>
        <v/>
      </c>
      <c r="T149" s="497" t="str">
        <f t="shared" si="28"/>
        <v/>
      </c>
      <c r="U149" s="498" t="str">
        <f t="shared" si="29"/>
        <v/>
      </c>
      <c r="V149" s="536" t="str">
        <f t="shared" si="23"/>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24"/>
        <v/>
      </c>
      <c r="AE149" s="82"/>
      <c r="AF149" s="82"/>
      <c r="AG149" s="506" t="str">
        <f t="shared" si="30"/>
        <v/>
      </c>
      <c r="AH149" s="520" t="str">
        <f t="shared" si="31"/>
        <v/>
      </c>
      <c r="AI149" s="521" t="str">
        <f>IF(AH149="Check Data","Check Data",IFERROR(VLOOKUP(AH149,'G-4 Temporal multipliers'!$A$4:$C$36,3,FALSE),""))</f>
        <v/>
      </c>
      <c r="AJ149" s="497" t="str">
        <f>IF(S149="","",VLOOKUP(S149,'G-3 Multipliers'!$A$2:$E$129,4,FALSE))</f>
        <v/>
      </c>
      <c r="AK149" s="506" t="str">
        <f t="shared" si="32"/>
        <v/>
      </c>
      <c r="AL149" s="506" t="str">
        <f t="shared" si="33"/>
        <v/>
      </c>
      <c r="AM149" s="539" t="str">
        <f>IFERROR(IF(F149="","",IF(AH149="Check Data ⚠","Check Data ⚠",VLOOKUP(AL149, 'G-3 Multipliers'!$P$2:$Q$6,2,FALSE))),"")</f>
        <v/>
      </c>
      <c r="AN149" s="512" t="str">
        <f t="shared" si="25"/>
        <v/>
      </c>
      <c r="AO149" s="238"/>
      <c r="AP149" s="239"/>
    </row>
    <row r="150" spans="1:42" x14ac:dyDescent="0.3">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t="str">
        <f t="shared" si="26"/>
        <v/>
      </c>
      <c r="R150" s="237" t="str">
        <f t="shared" si="27"/>
        <v/>
      </c>
      <c r="S150" s="391" t="str">
        <f>IFERROR(INDEX('G-1 All Habitats'!$B$3:$B$129,MATCH(R150,'G-1 All Habitats'!$A$3:$A$129,0)),"")</f>
        <v/>
      </c>
      <c r="T150" s="497" t="str">
        <f t="shared" si="28"/>
        <v/>
      </c>
      <c r="U150" s="498" t="str">
        <f t="shared" si="29"/>
        <v/>
      </c>
      <c r="V150" s="536" t="str">
        <f t="shared" si="23"/>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24"/>
        <v/>
      </c>
      <c r="AE150" s="82"/>
      <c r="AF150" s="82"/>
      <c r="AG150" s="506" t="str">
        <f t="shared" si="30"/>
        <v/>
      </c>
      <c r="AH150" s="520" t="str">
        <f t="shared" si="31"/>
        <v/>
      </c>
      <c r="AI150" s="521" t="str">
        <f>IF(AH150="Check Data","Check Data",IFERROR(VLOOKUP(AH150,'G-4 Temporal multipliers'!$A$4:$C$36,3,FALSE),""))</f>
        <v/>
      </c>
      <c r="AJ150" s="497" t="str">
        <f>IF(S150="","",VLOOKUP(S150,'G-3 Multipliers'!$A$2:$E$129,4,FALSE))</f>
        <v/>
      </c>
      <c r="AK150" s="506" t="str">
        <f t="shared" si="32"/>
        <v/>
      </c>
      <c r="AL150" s="506" t="str">
        <f t="shared" si="33"/>
        <v/>
      </c>
      <c r="AM150" s="539" t="str">
        <f>IFERROR(IF(F150="","",IF(AH150="Check Data ⚠","Check Data ⚠",VLOOKUP(AL150, 'G-3 Multipliers'!$P$2:$Q$6,2,FALSE))),"")</f>
        <v/>
      </c>
      <c r="AN150" s="512" t="str">
        <f t="shared" si="25"/>
        <v/>
      </c>
      <c r="AO150" s="238"/>
      <c r="AP150" s="239"/>
    </row>
    <row r="151" spans="1:42" x14ac:dyDescent="0.3">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t="str">
        <f t="shared" si="26"/>
        <v/>
      </c>
      <c r="R151" s="237" t="str">
        <f t="shared" si="27"/>
        <v/>
      </c>
      <c r="S151" s="391" t="str">
        <f>IFERROR(INDEX('G-1 All Habitats'!$B$3:$B$129,MATCH(R151,'G-1 All Habitats'!$A$3:$A$129,0)),"")</f>
        <v/>
      </c>
      <c r="T151" s="497" t="str">
        <f t="shared" si="28"/>
        <v/>
      </c>
      <c r="U151" s="498" t="str">
        <f t="shared" si="29"/>
        <v/>
      </c>
      <c r="V151" s="536" t="str">
        <f t="shared" si="23"/>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24"/>
        <v/>
      </c>
      <c r="AE151" s="82"/>
      <c r="AF151" s="82"/>
      <c r="AG151" s="506" t="str">
        <f t="shared" si="30"/>
        <v/>
      </c>
      <c r="AH151" s="520" t="str">
        <f t="shared" si="31"/>
        <v/>
      </c>
      <c r="AI151" s="521" t="str">
        <f>IF(AH151="Check Data","Check Data",IFERROR(VLOOKUP(AH151,'G-4 Temporal multipliers'!$A$4:$C$36,3,FALSE),""))</f>
        <v/>
      </c>
      <c r="AJ151" s="497" t="str">
        <f>IF(S151="","",VLOOKUP(S151,'G-3 Multipliers'!$A$2:$E$129,4,FALSE))</f>
        <v/>
      </c>
      <c r="AK151" s="506" t="str">
        <f t="shared" si="32"/>
        <v/>
      </c>
      <c r="AL151" s="506" t="str">
        <f t="shared" si="33"/>
        <v/>
      </c>
      <c r="AM151" s="539" t="str">
        <f>IFERROR(IF(F151="","",IF(AH151="Check Data ⚠","Check Data ⚠",VLOOKUP(AL151, 'G-3 Multipliers'!$P$2:$Q$6,2,FALSE))),"")</f>
        <v/>
      </c>
      <c r="AN151" s="512" t="str">
        <f t="shared" si="25"/>
        <v/>
      </c>
      <c r="AO151" s="238"/>
      <c r="AP151" s="239"/>
    </row>
    <row r="152" spans="1:42" x14ac:dyDescent="0.3">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t="str">
        <f t="shared" si="26"/>
        <v/>
      </c>
      <c r="R152" s="237" t="str">
        <f t="shared" si="27"/>
        <v/>
      </c>
      <c r="S152" s="391" t="str">
        <f>IFERROR(INDEX('G-1 All Habitats'!$B$3:$B$129,MATCH(R152,'G-1 All Habitats'!$A$3:$A$129,0)),"")</f>
        <v/>
      </c>
      <c r="T152" s="497" t="str">
        <f t="shared" si="28"/>
        <v/>
      </c>
      <c r="U152" s="498" t="str">
        <f t="shared" si="29"/>
        <v/>
      </c>
      <c r="V152" s="536" t="str">
        <f t="shared" si="23"/>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24"/>
        <v/>
      </c>
      <c r="AE152" s="82"/>
      <c r="AF152" s="82"/>
      <c r="AG152" s="506" t="str">
        <f t="shared" si="30"/>
        <v/>
      </c>
      <c r="AH152" s="520" t="str">
        <f t="shared" si="31"/>
        <v/>
      </c>
      <c r="AI152" s="521" t="str">
        <f>IF(AH152="Check Data","Check Data",IFERROR(VLOOKUP(AH152,'G-4 Temporal multipliers'!$A$4:$C$36,3,FALSE),""))</f>
        <v/>
      </c>
      <c r="AJ152" s="497" t="str">
        <f>IF(S152="","",VLOOKUP(S152,'G-3 Multipliers'!$A$2:$E$129,4,FALSE))</f>
        <v/>
      </c>
      <c r="AK152" s="506" t="str">
        <f t="shared" si="32"/>
        <v/>
      </c>
      <c r="AL152" s="506" t="str">
        <f t="shared" si="33"/>
        <v/>
      </c>
      <c r="AM152" s="539" t="str">
        <f>IFERROR(IF(F152="","",IF(AH152="Check Data ⚠","Check Data ⚠",VLOOKUP(AL152, 'G-3 Multipliers'!$P$2:$Q$6,2,FALSE))),"")</f>
        <v/>
      </c>
      <c r="AN152" s="512" t="str">
        <f t="shared" si="25"/>
        <v/>
      </c>
      <c r="AO152" s="238"/>
      <c r="AP152" s="239"/>
    </row>
    <row r="153" spans="1:42" x14ac:dyDescent="0.3">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t="str">
        <f t="shared" si="26"/>
        <v/>
      </c>
      <c r="R153" s="237" t="str">
        <f t="shared" si="27"/>
        <v/>
      </c>
      <c r="S153" s="391" t="str">
        <f>IFERROR(INDEX('G-1 All Habitats'!$B$3:$B$129,MATCH(R153,'G-1 All Habitats'!$A$3:$A$129,0)),"")</f>
        <v/>
      </c>
      <c r="T153" s="497" t="str">
        <f t="shared" si="28"/>
        <v/>
      </c>
      <c r="U153" s="498" t="str">
        <f t="shared" si="29"/>
        <v/>
      </c>
      <c r="V153" s="536" t="str">
        <f t="shared" si="23"/>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24"/>
        <v/>
      </c>
      <c r="AE153" s="82"/>
      <c r="AF153" s="82"/>
      <c r="AG153" s="506" t="str">
        <f t="shared" si="30"/>
        <v/>
      </c>
      <c r="AH153" s="520" t="str">
        <f t="shared" si="31"/>
        <v/>
      </c>
      <c r="AI153" s="521" t="str">
        <f>IF(AH153="Check Data","Check Data",IFERROR(VLOOKUP(AH153,'G-4 Temporal multipliers'!$A$4:$C$36,3,FALSE),""))</f>
        <v/>
      </c>
      <c r="AJ153" s="497" t="str">
        <f>IF(S153="","",VLOOKUP(S153,'G-3 Multipliers'!$A$2:$E$129,4,FALSE))</f>
        <v/>
      </c>
      <c r="AK153" s="506" t="str">
        <f t="shared" si="32"/>
        <v/>
      </c>
      <c r="AL153" s="506" t="str">
        <f t="shared" si="33"/>
        <v/>
      </c>
      <c r="AM153" s="539" t="str">
        <f>IFERROR(IF(F153="","",IF(AH153="Check Data ⚠","Check Data ⚠",VLOOKUP(AL153, 'G-3 Multipliers'!$P$2:$Q$6,2,FALSE))),"")</f>
        <v/>
      </c>
      <c r="AN153" s="512" t="str">
        <f t="shared" si="25"/>
        <v/>
      </c>
      <c r="AO153" s="238"/>
      <c r="AP153" s="239"/>
    </row>
    <row r="154" spans="1:42" x14ac:dyDescent="0.3">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t="str">
        <f t="shared" si="26"/>
        <v/>
      </c>
      <c r="R154" s="237" t="str">
        <f t="shared" si="27"/>
        <v/>
      </c>
      <c r="S154" s="391" t="str">
        <f>IFERROR(INDEX('G-1 All Habitats'!$B$3:$B$129,MATCH(R154,'G-1 All Habitats'!$A$3:$A$129,0)),"")</f>
        <v/>
      </c>
      <c r="T154" s="497" t="str">
        <f t="shared" si="28"/>
        <v/>
      </c>
      <c r="U154" s="498" t="str">
        <f t="shared" si="29"/>
        <v/>
      </c>
      <c r="V154" s="536" t="str">
        <f t="shared" si="23"/>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24"/>
        <v/>
      </c>
      <c r="AE154" s="82"/>
      <c r="AF154" s="82"/>
      <c r="AG154" s="506" t="str">
        <f t="shared" si="30"/>
        <v/>
      </c>
      <c r="AH154" s="520" t="str">
        <f t="shared" si="31"/>
        <v/>
      </c>
      <c r="AI154" s="521" t="str">
        <f>IF(AH154="Check Data","Check Data",IFERROR(VLOOKUP(AH154,'G-4 Temporal multipliers'!$A$4:$C$36,3,FALSE),""))</f>
        <v/>
      </c>
      <c r="AJ154" s="497" t="str">
        <f>IF(S154="","",VLOOKUP(S154,'G-3 Multipliers'!$A$2:$E$129,4,FALSE))</f>
        <v/>
      </c>
      <c r="AK154" s="506" t="str">
        <f t="shared" si="32"/>
        <v/>
      </c>
      <c r="AL154" s="506" t="str">
        <f t="shared" si="33"/>
        <v/>
      </c>
      <c r="AM154" s="539" t="str">
        <f>IFERROR(IF(F154="","",IF(AH154="Check Data ⚠","Check Data ⚠",VLOOKUP(AL154, 'G-3 Multipliers'!$P$2:$Q$6,2,FALSE))),"")</f>
        <v/>
      </c>
      <c r="AN154" s="512" t="str">
        <f t="shared" si="25"/>
        <v/>
      </c>
      <c r="AO154" s="238"/>
      <c r="AP154" s="239"/>
    </row>
    <row r="155" spans="1:42" x14ac:dyDescent="0.3">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t="str">
        <f t="shared" si="26"/>
        <v/>
      </c>
      <c r="R155" s="237" t="str">
        <f t="shared" si="27"/>
        <v/>
      </c>
      <c r="S155" s="391" t="str">
        <f>IFERROR(INDEX('G-1 All Habitats'!$B$3:$B$129,MATCH(R155,'G-1 All Habitats'!$A$3:$A$129,0)),"")</f>
        <v/>
      </c>
      <c r="T155" s="497" t="str">
        <f t="shared" si="28"/>
        <v/>
      </c>
      <c r="U155" s="498" t="str">
        <f t="shared" si="29"/>
        <v/>
      </c>
      <c r="V155" s="536" t="str">
        <f t="shared" si="23"/>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24"/>
        <v/>
      </c>
      <c r="AE155" s="82"/>
      <c r="AF155" s="82"/>
      <c r="AG155" s="506" t="str">
        <f t="shared" si="30"/>
        <v/>
      </c>
      <c r="AH155" s="520" t="str">
        <f t="shared" si="31"/>
        <v/>
      </c>
      <c r="AI155" s="521" t="str">
        <f>IF(AH155="Check Data","Check Data",IFERROR(VLOOKUP(AH155,'G-4 Temporal multipliers'!$A$4:$C$36,3,FALSE),""))</f>
        <v/>
      </c>
      <c r="AJ155" s="497" t="str">
        <f>IF(S155="","",VLOOKUP(S155,'G-3 Multipliers'!$A$2:$E$129,4,FALSE))</f>
        <v/>
      </c>
      <c r="AK155" s="506" t="str">
        <f t="shared" si="32"/>
        <v/>
      </c>
      <c r="AL155" s="506" t="str">
        <f t="shared" si="33"/>
        <v/>
      </c>
      <c r="AM155" s="539" t="str">
        <f>IFERROR(IF(F155="","",IF(AH155="Check Data ⚠","Check Data ⚠",VLOOKUP(AL155, 'G-3 Multipliers'!$P$2:$Q$6,2,FALSE))),"")</f>
        <v/>
      </c>
      <c r="AN155" s="512" t="str">
        <f t="shared" si="25"/>
        <v/>
      </c>
      <c r="AO155" s="238"/>
      <c r="AP155" s="239"/>
    </row>
    <row r="156" spans="1:42" x14ac:dyDescent="0.3">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t="str">
        <f t="shared" si="26"/>
        <v/>
      </c>
      <c r="R156" s="237" t="str">
        <f t="shared" si="27"/>
        <v/>
      </c>
      <c r="S156" s="391" t="str">
        <f>IFERROR(INDEX('G-1 All Habitats'!$B$3:$B$129,MATCH(R156,'G-1 All Habitats'!$A$3:$A$129,0)),"")</f>
        <v/>
      </c>
      <c r="T156" s="497" t="str">
        <f t="shared" si="28"/>
        <v/>
      </c>
      <c r="U156" s="498" t="str">
        <f t="shared" si="29"/>
        <v/>
      </c>
      <c r="V156" s="536" t="str">
        <f t="shared" si="23"/>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24"/>
        <v/>
      </c>
      <c r="AE156" s="82"/>
      <c r="AF156" s="82"/>
      <c r="AG156" s="506" t="str">
        <f t="shared" si="30"/>
        <v/>
      </c>
      <c r="AH156" s="520" t="str">
        <f t="shared" si="31"/>
        <v/>
      </c>
      <c r="AI156" s="521" t="str">
        <f>IF(AH156="Check Data","Check Data",IFERROR(VLOOKUP(AH156,'G-4 Temporal multipliers'!$A$4:$C$36,3,FALSE),""))</f>
        <v/>
      </c>
      <c r="AJ156" s="497" t="str">
        <f>IF(S156="","",VLOOKUP(S156,'G-3 Multipliers'!$A$2:$E$129,4,FALSE))</f>
        <v/>
      </c>
      <c r="AK156" s="506" t="str">
        <f t="shared" si="32"/>
        <v/>
      </c>
      <c r="AL156" s="506" t="str">
        <f t="shared" si="33"/>
        <v/>
      </c>
      <c r="AM156" s="539" t="str">
        <f>IFERROR(IF(F156="","",IF(AH156="Check Data ⚠","Check Data ⚠",VLOOKUP(AL156, 'G-3 Multipliers'!$P$2:$Q$6,2,FALSE))),"")</f>
        <v/>
      </c>
      <c r="AN156" s="512" t="str">
        <f t="shared" si="25"/>
        <v/>
      </c>
      <c r="AO156" s="238"/>
      <c r="AP156" s="239"/>
    </row>
    <row r="157" spans="1:42" x14ac:dyDescent="0.3">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t="str">
        <f t="shared" si="26"/>
        <v/>
      </c>
      <c r="R157" s="237" t="str">
        <f t="shared" si="27"/>
        <v/>
      </c>
      <c r="S157" s="391" t="str">
        <f>IFERROR(INDEX('G-1 All Habitats'!$B$3:$B$129,MATCH(R157,'G-1 All Habitats'!$A$3:$A$129,0)),"")</f>
        <v/>
      </c>
      <c r="T157" s="497" t="str">
        <f t="shared" si="28"/>
        <v/>
      </c>
      <c r="U157" s="498" t="str">
        <f t="shared" si="29"/>
        <v/>
      </c>
      <c r="V157" s="536" t="str">
        <f t="shared" si="23"/>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24"/>
        <v/>
      </c>
      <c r="AE157" s="82"/>
      <c r="AF157" s="82"/>
      <c r="AG157" s="506" t="str">
        <f t="shared" si="30"/>
        <v/>
      </c>
      <c r="AH157" s="520" t="str">
        <f t="shared" si="31"/>
        <v/>
      </c>
      <c r="AI157" s="521" t="str">
        <f>IF(AH157="Check Data","Check Data",IFERROR(VLOOKUP(AH157,'G-4 Temporal multipliers'!$A$4:$C$36,3,FALSE),""))</f>
        <v/>
      </c>
      <c r="AJ157" s="497" t="str">
        <f>IF(S157="","",VLOOKUP(S157,'G-3 Multipliers'!$A$2:$E$129,4,FALSE))</f>
        <v/>
      </c>
      <c r="AK157" s="506" t="str">
        <f t="shared" si="32"/>
        <v/>
      </c>
      <c r="AL157" s="506" t="str">
        <f t="shared" si="33"/>
        <v/>
      </c>
      <c r="AM157" s="539" t="str">
        <f>IFERROR(IF(F157="","",IF(AH157="Check Data ⚠","Check Data ⚠",VLOOKUP(AL157, 'G-3 Multipliers'!$P$2:$Q$6,2,FALSE))),"")</f>
        <v/>
      </c>
      <c r="AN157" s="512" t="str">
        <f t="shared" si="25"/>
        <v/>
      </c>
      <c r="AO157" s="238"/>
      <c r="AP157" s="239"/>
    </row>
    <row r="158" spans="1:42" x14ac:dyDescent="0.3">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t="str">
        <f t="shared" si="26"/>
        <v/>
      </c>
      <c r="R158" s="237" t="str">
        <f t="shared" si="27"/>
        <v/>
      </c>
      <c r="S158" s="391" t="str">
        <f>IFERROR(INDEX('G-1 All Habitats'!$B$3:$B$129,MATCH(R158,'G-1 All Habitats'!$A$3:$A$129,0)),"")</f>
        <v/>
      </c>
      <c r="T158" s="497" t="str">
        <f t="shared" si="28"/>
        <v/>
      </c>
      <c r="U158" s="498" t="str">
        <f t="shared" si="29"/>
        <v/>
      </c>
      <c r="V158" s="536" t="str">
        <f t="shared" si="23"/>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24"/>
        <v/>
      </c>
      <c r="AE158" s="82"/>
      <c r="AF158" s="82"/>
      <c r="AG158" s="506" t="str">
        <f t="shared" si="30"/>
        <v/>
      </c>
      <c r="AH158" s="520" t="str">
        <f t="shared" si="31"/>
        <v/>
      </c>
      <c r="AI158" s="521" t="str">
        <f>IF(AH158="Check Data","Check Data",IFERROR(VLOOKUP(AH158,'G-4 Temporal multipliers'!$A$4:$C$36,3,FALSE),""))</f>
        <v/>
      </c>
      <c r="AJ158" s="497" t="str">
        <f>IF(S158="","",VLOOKUP(S158,'G-3 Multipliers'!$A$2:$E$129,4,FALSE))</f>
        <v/>
      </c>
      <c r="AK158" s="506" t="str">
        <f t="shared" si="32"/>
        <v/>
      </c>
      <c r="AL158" s="506" t="str">
        <f t="shared" si="33"/>
        <v/>
      </c>
      <c r="AM158" s="539" t="str">
        <f>IFERROR(IF(F158="","",IF(AH158="Check Data ⚠","Check Data ⚠",VLOOKUP(AL158, 'G-3 Multipliers'!$P$2:$Q$6,2,FALSE))),"")</f>
        <v/>
      </c>
      <c r="AN158" s="512" t="str">
        <f t="shared" si="25"/>
        <v/>
      </c>
      <c r="AO158" s="238"/>
      <c r="AP158" s="239"/>
    </row>
    <row r="159" spans="1:42" x14ac:dyDescent="0.3">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t="str">
        <f t="shared" si="26"/>
        <v/>
      </c>
      <c r="R159" s="237" t="str">
        <f t="shared" si="27"/>
        <v/>
      </c>
      <c r="S159" s="391" t="str">
        <f>IFERROR(INDEX('G-1 All Habitats'!$B$3:$B$129,MATCH(R159,'G-1 All Habitats'!$A$3:$A$129,0)),"")</f>
        <v/>
      </c>
      <c r="T159" s="497" t="str">
        <f t="shared" si="28"/>
        <v/>
      </c>
      <c r="U159" s="498" t="str">
        <f t="shared" si="29"/>
        <v/>
      </c>
      <c r="V159" s="536" t="str">
        <f t="shared" si="23"/>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24"/>
        <v/>
      </c>
      <c r="AE159" s="82"/>
      <c r="AF159" s="82"/>
      <c r="AG159" s="506" t="str">
        <f t="shared" si="30"/>
        <v/>
      </c>
      <c r="AH159" s="520" t="str">
        <f t="shared" si="31"/>
        <v/>
      </c>
      <c r="AI159" s="521" t="str">
        <f>IF(AH159="Check Data","Check Data",IFERROR(VLOOKUP(AH159,'G-4 Temporal multipliers'!$A$4:$C$36,3,FALSE),""))</f>
        <v/>
      </c>
      <c r="AJ159" s="497" t="str">
        <f>IF(S159="","",VLOOKUP(S159,'G-3 Multipliers'!$A$2:$E$129,4,FALSE))</f>
        <v/>
      </c>
      <c r="AK159" s="506" t="str">
        <f t="shared" si="32"/>
        <v/>
      </c>
      <c r="AL159" s="506" t="str">
        <f t="shared" si="33"/>
        <v/>
      </c>
      <c r="AM159" s="539" t="str">
        <f>IFERROR(IF(F159="","",IF(AH159="Check Data ⚠","Check Data ⚠",VLOOKUP(AL159, 'G-3 Multipliers'!$P$2:$Q$6,2,FALSE))),"")</f>
        <v/>
      </c>
      <c r="AN159" s="512" t="str">
        <f t="shared" si="25"/>
        <v/>
      </c>
      <c r="AO159" s="238"/>
      <c r="AP159" s="239"/>
    </row>
    <row r="160" spans="1:42" x14ac:dyDescent="0.3">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t="str">
        <f t="shared" si="26"/>
        <v/>
      </c>
      <c r="R160" s="237" t="str">
        <f t="shared" si="27"/>
        <v/>
      </c>
      <c r="S160" s="391" t="str">
        <f>IFERROR(INDEX('G-1 All Habitats'!$B$3:$B$129,MATCH(R160,'G-1 All Habitats'!$A$3:$A$129,0)),"")</f>
        <v/>
      </c>
      <c r="T160" s="497" t="str">
        <f t="shared" si="28"/>
        <v/>
      </c>
      <c r="U160" s="498" t="str">
        <f t="shared" si="29"/>
        <v/>
      </c>
      <c r="V160" s="536" t="str">
        <f t="shared" si="23"/>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24"/>
        <v/>
      </c>
      <c r="AE160" s="82"/>
      <c r="AF160" s="82"/>
      <c r="AG160" s="506" t="str">
        <f t="shared" si="30"/>
        <v/>
      </c>
      <c r="AH160" s="520" t="str">
        <f t="shared" si="31"/>
        <v/>
      </c>
      <c r="AI160" s="521" t="str">
        <f>IF(AH160="Check Data","Check Data",IFERROR(VLOOKUP(AH160,'G-4 Temporal multipliers'!$A$4:$C$36,3,FALSE),""))</f>
        <v/>
      </c>
      <c r="AJ160" s="497" t="str">
        <f>IF(S160="","",VLOOKUP(S160,'G-3 Multipliers'!$A$2:$E$129,4,FALSE))</f>
        <v/>
      </c>
      <c r="AK160" s="506" t="str">
        <f t="shared" si="32"/>
        <v/>
      </c>
      <c r="AL160" s="506" t="str">
        <f t="shared" si="33"/>
        <v/>
      </c>
      <c r="AM160" s="539" t="str">
        <f>IFERROR(IF(F160="","",IF(AH160="Check Data ⚠","Check Data ⚠",VLOOKUP(AL160, 'G-3 Multipliers'!$P$2:$Q$6,2,FALSE))),"")</f>
        <v/>
      </c>
      <c r="AN160" s="512" t="str">
        <f t="shared" si="25"/>
        <v/>
      </c>
      <c r="AO160" s="238"/>
      <c r="AP160" s="239"/>
    </row>
    <row r="161" spans="1:42" x14ac:dyDescent="0.3">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t="str">
        <f t="shared" si="26"/>
        <v/>
      </c>
      <c r="R161" s="237" t="str">
        <f t="shared" si="27"/>
        <v/>
      </c>
      <c r="S161" s="391" t="str">
        <f>IFERROR(INDEX('G-1 All Habitats'!$B$3:$B$129,MATCH(R161,'G-1 All Habitats'!$A$3:$A$129,0)),"")</f>
        <v/>
      </c>
      <c r="T161" s="497" t="str">
        <f t="shared" si="28"/>
        <v/>
      </c>
      <c r="U161" s="498" t="str">
        <f t="shared" si="29"/>
        <v/>
      </c>
      <c r="V161" s="536" t="str">
        <f t="shared" si="23"/>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24"/>
        <v/>
      </c>
      <c r="AE161" s="82"/>
      <c r="AF161" s="82"/>
      <c r="AG161" s="506" t="str">
        <f t="shared" si="30"/>
        <v/>
      </c>
      <c r="AH161" s="520" t="str">
        <f t="shared" si="31"/>
        <v/>
      </c>
      <c r="AI161" s="521" t="str">
        <f>IF(AH161="Check Data","Check Data",IFERROR(VLOOKUP(AH161,'G-4 Temporal multipliers'!$A$4:$C$36,3,FALSE),""))</f>
        <v/>
      </c>
      <c r="AJ161" s="497" t="str">
        <f>IF(S161="","",VLOOKUP(S161,'G-3 Multipliers'!$A$2:$E$129,4,FALSE))</f>
        <v/>
      </c>
      <c r="AK161" s="506" t="str">
        <f t="shared" si="32"/>
        <v/>
      </c>
      <c r="AL161" s="506" t="str">
        <f t="shared" si="33"/>
        <v/>
      </c>
      <c r="AM161" s="539" t="str">
        <f>IFERROR(IF(F161="","",IF(AH161="Check Data ⚠","Check Data ⚠",VLOOKUP(AL161, 'G-3 Multipliers'!$P$2:$Q$6,2,FALSE))),"")</f>
        <v/>
      </c>
      <c r="AN161" s="512" t="str">
        <f t="shared" si="25"/>
        <v/>
      </c>
      <c r="AO161" s="238"/>
      <c r="AP161" s="239"/>
    </row>
    <row r="162" spans="1:42" x14ac:dyDescent="0.3">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t="str">
        <f t="shared" si="26"/>
        <v/>
      </c>
      <c r="R162" s="237" t="str">
        <f t="shared" si="27"/>
        <v/>
      </c>
      <c r="S162" s="391" t="str">
        <f>IFERROR(INDEX('G-1 All Habitats'!$B$3:$B$129,MATCH(R162,'G-1 All Habitats'!$A$3:$A$129,0)),"")</f>
        <v/>
      </c>
      <c r="T162" s="497" t="str">
        <f t="shared" si="28"/>
        <v/>
      </c>
      <c r="U162" s="498" t="str">
        <f t="shared" si="29"/>
        <v/>
      </c>
      <c r="V162" s="536" t="str">
        <f t="shared" si="23"/>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24"/>
        <v/>
      </c>
      <c r="AE162" s="82"/>
      <c r="AF162" s="82"/>
      <c r="AG162" s="506" t="str">
        <f t="shared" si="30"/>
        <v/>
      </c>
      <c r="AH162" s="520" t="str">
        <f t="shared" si="31"/>
        <v/>
      </c>
      <c r="AI162" s="521" t="str">
        <f>IF(AH162="Check Data","Check Data",IFERROR(VLOOKUP(AH162,'G-4 Temporal multipliers'!$A$4:$C$36,3,FALSE),""))</f>
        <v/>
      </c>
      <c r="AJ162" s="497" t="str">
        <f>IF(S162="","",VLOOKUP(S162,'G-3 Multipliers'!$A$2:$E$129,4,FALSE))</f>
        <v/>
      </c>
      <c r="AK162" s="506" t="str">
        <f t="shared" si="32"/>
        <v/>
      </c>
      <c r="AL162" s="506" t="str">
        <f t="shared" si="33"/>
        <v/>
      </c>
      <c r="AM162" s="539" t="str">
        <f>IFERROR(IF(F162="","",IF(AH162="Check Data ⚠","Check Data ⚠",VLOOKUP(AL162, 'G-3 Multipliers'!$P$2:$Q$6,2,FALSE))),"")</f>
        <v/>
      </c>
      <c r="AN162" s="512" t="str">
        <f t="shared" si="25"/>
        <v/>
      </c>
      <c r="AO162" s="238"/>
      <c r="AP162" s="239"/>
    </row>
    <row r="163" spans="1:42" x14ac:dyDescent="0.3">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t="str">
        <f t="shared" si="26"/>
        <v/>
      </c>
      <c r="R163" s="237" t="str">
        <f t="shared" si="27"/>
        <v/>
      </c>
      <c r="S163" s="391" t="str">
        <f>IFERROR(INDEX('G-1 All Habitats'!$B$3:$B$129,MATCH(R163,'G-1 All Habitats'!$A$3:$A$129,0)),"")</f>
        <v/>
      </c>
      <c r="T163" s="497" t="str">
        <f t="shared" si="28"/>
        <v/>
      </c>
      <c r="U163" s="498" t="str">
        <f t="shared" si="29"/>
        <v/>
      </c>
      <c r="V163" s="536" t="str">
        <f t="shared" si="23"/>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24"/>
        <v/>
      </c>
      <c r="AE163" s="82"/>
      <c r="AF163" s="82"/>
      <c r="AG163" s="506" t="str">
        <f t="shared" si="30"/>
        <v/>
      </c>
      <c r="AH163" s="520" t="str">
        <f t="shared" si="31"/>
        <v/>
      </c>
      <c r="AI163" s="521" t="str">
        <f>IF(AH163="Check Data","Check Data",IFERROR(VLOOKUP(AH163,'G-4 Temporal multipliers'!$A$4:$C$36,3,FALSE),""))</f>
        <v/>
      </c>
      <c r="AJ163" s="497" t="str">
        <f>IF(S163="","",VLOOKUP(S163,'G-3 Multipliers'!$A$2:$E$129,4,FALSE))</f>
        <v/>
      </c>
      <c r="AK163" s="506" t="str">
        <f t="shared" si="32"/>
        <v/>
      </c>
      <c r="AL163" s="506" t="str">
        <f t="shared" si="33"/>
        <v/>
      </c>
      <c r="AM163" s="539" t="str">
        <f>IFERROR(IF(F163="","",IF(AH163="Check Data ⚠","Check Data ⚠",VLOOKUP(AL163, 'G-3 Multipliers'!$P$2:$Q$6,2,FALSE))),"")</f>
        <v/>
      </c>
      <c r="AN163" s="512" t="str">
        <f t="shared" si="25"/>
        <v/>
      </c>
      <c r="AO163" s="238"/>
      <c r="AP163" s="239"/>
    </row>
    <row r="164" spans="1:42" x14ac:dyDescent="0.3">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t="str">
        <f t="shared" si="26"/>
        <v/>
      </c>
      <c r="R164" s="237" t="str">
        <f t="shared" si="27"/>
        <v/>
      </c>
      <c r="S164" s="391" t="str">
        <f>IFERROR(INDEX('G-1 All Habitats'!$B$3:$B$129,MATCH(R164,'G-1 All Habitats'!$A$3:$A$129,0)),"")</f>
        <v/>
      </c>
      <c r="T164" s="497" t="str">
        <f t="shared" si="28"/>
        <v/>
      </c>
      <c r="U164" s="498" t="str">
        <f t="shared" si="29"/>
        <v/>
      </c>
      <c r="V164" s="536" t="str">
        <f t="shared" si="23"/>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24"/>
        <v/>
      </c>
      <c r="AE164" s="82"/>
      <c r="AF164" s="82"/>
      <c r="AG164" s="506" t="str">
        <f t="shared" si="30"/>
        <v/>
      </c>
      <c r="AH164" s="520" t="str">
        <f t="shared" si="31"/>
        <v/>
      </c>
      <c r="AI164" s="521" t="str">
        <f>IF(AH164="Check Data","Check Data",IFERROR(VLOOKUP(AH164,'G-4 Temporal multipliers'!$A$4:$C$36,3,FALSE),""))</f>
        <v/>
      </c>
      <c r="AJ164" s="497" t="str">
        <f>IF(S164="","",VLOOKUP(S164,'G-3 Multipliers'!$A$2:$E$129,4,FALSE))</f>
        <v/>
      </c>
      <c r="AK164" s="506" t="str">
        <f t="shared" si="32"/>
        <v/>
      </c>
      <c r="AL164" s="506" t="str">
        <f t="shared" si="33"/>
        <v/>
      </c>
      <c r="AM164" s="539" t="str">
        <f>IFERROR(IF(F164="","",IF(AH164="Check Data ⚠","Check Data ⚠",VLOOKUP(AL164, 'G-3 Multipliers'!$P$2:$Q$6,2,FALSE))),"")</f>
        <v/>
      </c>
      <c r="AN164" s="512" t="str">
        <f t="shared" si="25"/>
        <v/>
      </c>
      <c r="AO164" s="238"/>
      <c r="AP164" s="239"/>
    </row>
    <row r="165" spans="1:42" x14ac:dyDescent="0.3">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t="str">
        <f t="shared" si="26"/>
        <v/>
      </c>
      <c r="R165" s="237" t="str">
        <f t="shared" si="27"/>
        <v/>
      </c>
      <c r="S165" s="391" t="str">
        <f>IFERROR(INDEX('G-1 All Habitats'!$B$3:$B$129,MATCH(R165,'G-1 All Habitats'!$A$3:$A$129,0)),"")</f>
        <v/>
      </c>
      <c r="T165" s="497" t="str">
        <f t="shared" si="28"/>
        <v/>
      </c>
      <c r="U165" s="498" t="str">
        <f t="shared" si="29"/>
        <v/>
      </c>
      <c r="V165" s="536" t="str">
        <f t="shared" si="23"/>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24"/>
        <v/>
      </c>
      <c r="AE165" s="82"/>
      <c r="AF165" s="82"/>
      <c r="AG165" s="506" t="str">
        <f t="shared" si="30"/>
        <v/>
      </c>
      <c r="AH165" s="520" t="str">
        <f t="shared" si="31"/>
        <v/>
      </c>
      <c r="AI165" s="521" t="str">
        <f>IF(AH165="Check Data","Check Data",IFERROR(VLOOKUP(AH165,'G-4 Temporal multipliers'!$A$4:$C$36,3,FALSE),""))</f>
        <v/>
      </c>
      <c r="AJ165" s="497" t="str">
        <f>IF(S165="","",VLOOKUP(S165,'G-3 Multipliers'!$A$2:$E$129,4,FALSE))</f>
        <v/>
      </c>
      <c r="AK165" s="506" t="str">
        <f t="shared" si="32"/>
        <v/>
      </c>
      <c r="AL165" s="506" t="str">
        <f t="shared" si="33"/>
        <v/>
      </c>
      <c r="AM165" s="539" t="str">
        <f>IFERROR(IF(F165="","",IF(AH165="Check Data ⚠","Check Data ⚠",VLOOKUP(AL165, 'G-3 Multipliers'!$P$2:$Q$6,2,FALSE))),"")</f>
        <v/>
      </c>
      <c r="AN165" s="512" t="str">
        <f t="shared" si="25"/>
        <v/>
      </c>
      <c r="AO165" s="238"/>
      <c r="AP165" s="239"/>
    </row>
    <row r="166" spans="1:42" x14ac:dyDescent="0.3">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t="str">
        <f t="shared" si="26"/>
        <v/>
      </c>
      <c r="R166" s="237" t="str">
        <f t="shared" si="27"/>
        <v/>
      </c>
      <c r="S166" s="391" t="str">
        <f>IFERROR(INDEX('G-1 All Habitats'!$B$3:$B$129,MATCH(R166,'G-1 All Habitats'!$A$3:$A$129,0)),"")</f>
        <v/>
      </c>
      <c r="T166" s="497" t="str">
        <f t="shared" si="28"/>
        <v/>
      </c>
      <c r="U166" s="498" t="str">
        <f t="shared" si="29"/>
        <v/>
      </c>
      <c r="V166" s="536" t="str">
        <f t="shared" si="23"/>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24"/>
        <v/>
      </c>
      <c r="AE166" s="82"/>
      <c r="AF166" s="82"/>
      <c r="AG166" s="506" t="str">
        <f t="shared" si="30"/>
        <v/>
      </c>
      <c r="AH166" s="520" t="str">
        <f t="shared" si="31"/>
        <v/>
      </c>
      <c r="AI166" s="521" t="str">
        <f>IF(AH166="Check Data","Check Data",IFERROR(VLOOKUP(AH166,'G-4 Temporal multipliers'!$A$4:$C$36,3,FALSE),""))</f>
        <v/>
      </c>
      <c r="AJ166" s="497" t="str">
        <f>IF(S166="","",VLOOKUP(S166,'G-3 Multipliers'!$A$2:$E$129,4,FALSE))</f>
        <v/>
      </c>
      <c r="AK166" s="506" t="str">
        <f t="shared" si="32"/>
        <v/>
      </c>
      <c r="AL166" s="506" t="str">
        <f t="shared" si="33"/>
        <v/>
      </c>
      <c r="AM166" s="539" t="str">
        <f>IFERROR(IF(F166="","",IF(AH166="Check Data ⚠","Check Data ⚠",VLOOKUP(AL166, 'G-3 Multipliers'!$P$2:$Q$6,2,FALSE))),"")</f>
        <v/>
      </c>
      <c r="AN166" s="512" t="str">
        <f t="shared" si="25"/>
        <v/>
      </c>
      <c r="AO166" s="238"/>
      <c r="AP166" s="239"/>
    </row>
    <row r="167" spans="1:42" x14ac:dyDescent="0.3">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t="str">
        <f t="shared" si="26"/>
        <v/>
      </c>
      <c r="R167" s="237" t="str">
        <f t="shared" si="27"/>
        <v/>
      </c>
      <c r="S167" s="391" t="str">
        <f>IFERROR(INDEX('G-1 All Habitats'!$B$3:$B$129,MATCH(R167,'G-1 All Habitats'!$A$3:$A$129,0)),"")</f>
        <v/>
      </c>
      <c r="T167" s="497" t="str">
        <f t="shared" si="28"/>
        <v/>
      </c>
      <c r="U167" s="498" t="str">
        <f t="shared" si="29"/>
        <v/>
      </c>
      <c r="V167" s="536" t="str">
        <f t="shared" si="23"/>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24"/>
        <v/>
      </c>
      <c r="AE167" s="82"/>
      <c r="AF167" s="82"/>
      <c r="AG167" s="506" t="str">
        <f t="shared" si="30"/>
        <v/>
      </c>
      <c r="AH167" s="520" t="str">
        <f t="shared" si="31"/>
        <v/>
      </c>
      <c r="AI167" s="521" t="str">
        <f>IF(AH167="Check Data","Check Data",IFERROR(VLOOKUP(AH167,'G-4 Temporal multipliers'!$A$4:$C$36,3,FALSE),""))</f>
        <v/>
      </c>
      <c r="AJ167" s="497" t="str">
        <f>IF(S167="","",VLOOKUP(S167,'G-3 Multipliers'!$A$2:$E$129,4,FALSE))</f>
        <v/>
      </c>
      <c r="AK167" s="506" t="str">
        <f t="shared" si="32"/>
        <v/>
      </c>
      <c r="AL167" s="506" t="str">
        <f t="shared" si="33"/>
        <v/>
      </c>
      <c r="AM167" s="539" t="str">
        <f>IFERROR(IF(F167="","",IF(AH167="Check Data ⚠","Check Data ⚠",VLOOKUP(AL167, 'G-3 Multipliers'!$P$2:$Q$6,2,FALSE))),"")</f>
        <v/>
      </c>
      <c r="AN167" s="512" t="str">
        <f t="shared" si="25"/>
        <v/>
      </c>
      <c r="AO167" s="238"/>
      <c r="AP167" s="239"/>
    </row>
    <row r="168" spans="1:42" x14ac:dyDescent="0.3">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t="str">
        <f t="shared" si="26"/>
        <v/>
      </c>
      <c r="R168" s="237" t="str">
        <f t="shared" si="27"/>
        <v/>
      </c>
      <c r="S168" s="391" t="str">
        <f>IFERROR(INDEX('G-1 All Habitats'!$B$3:$B$129,MATCH(R168,'G-1 All Habitats'!$A$3:$A$129,0)),"")</f>
        <v/>
      </c>
      <c r="T168" s="497" t="str">
        <f t="shared" si="28"/>
        <v/>
      </c>
      <c r="U168" s="498" t="str">
        <f t="shared" si="29"/>
        <v/>
      </c>
      <c r="V168" s="536" t="str">
        <f t="shared" si="23"/>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24"/>
        <v/>
      </c>
      <c r="AE168" s="82"/>
      <c r="AF168" s="82"/>
      <c r="AG168" s="506" t="str">
        <f t="shared" si="30"/>
        <v/>
      </c>
      <c r="AH168" s="520" t="str">
        <f t="shared" si="31"/>
        <v/>
      </c>
      <c r="AI168" s="521" t="str">
        <f>IF(AH168="Check Data","Check Data",IFERROR(VLOOKUP(AH168,'G-4 Temporal multipliers'!$A$4:$C$36,3,FALSE),""))</f>
        <v/>
      </c>
      <c r="AJ168" s="497" t="str">
        <f>IF(S168="","",VLOOKUP(S168,'G-3 Multipliers'!$A$2:$E$129,4,FALSE))</f>
        <v/>
      </c>
      <c r="AK168" s="506" t="str">
        <f t="shared" si="32"/>
        <v/>
      </c>
      <c r="AL168" s="506" t="str">
        <f t="shared" si="33"/>
        <v/>
      </c>
      <c r="AM168" s="539" t="str">
        <f>IFERROR(IF(F168="","",IF(AH168="Check Data ⚠","Check Data ⚠",VLOOKUP(AL168, 'G-3 Multipliers'!$P$2:$Q$6,2,FALSE))),"")</f>
        <v/>
      </c>
      <c r="AN168" s="512" t="str">
        <f t="shared" si="25"/>
        <v/>
      </c>
      <c r="AO168" s="238"/>
      <c r="AP168" s="239"/>
    </row>
    <row r="169" spans="1:42" x14ac:dyDescent="0.3">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t="str">
        <f t="shared" si="26"/>
        <v/>
      </c>
      <c r="R169" s="237" t="str">
        <f t="shared" si="27"/>
        <v/>
      </c>
      <c r="S169" s="391" t="str">
        <f>IFERROR(INDEX('G-1 All Habitats'!$B$3:$B$129,MATCH(R169,'G-1 All Habitats'!$A$3:$A$129,0)),"")</f>
        <v/>
      </c>
      <c r="T169" s="497" t="str">
        <f t="shared" si="28"/>
        <v/>
      </c>
      <c r="U169" s="498" t="str">
        <f t="shared" si="29"/>
        <v/>
      </c>
      <c r="V169" s="536" t="str">
        <f t="shared" si="23"/>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24"/>
        <v/>
      </c>
      <c r="AE169" s="82"/>
      <c r="AF169" s="82"/>
      <c r="AG169" s="506" t="str">
        <f t="shared" si="30"/>
        <v/>
      </c>
      <c r="AH169" s="520" t="str">
        <f t="shared" si="31"/>
        <v/>
      </c>
      <c r="AI169" s="521" t="str">
        <f>IF(AH169="Check Data","Check Data",IFERROR(VLOOKUP(AH169,'G-4 Temporal multipliers'!$A$4:$C$36,3,FALSE),""))</f>
        <v/>
      </c>
      <c r="AJ169" s="497" t="str">
        <f>IF(S169="","",VLOOKUP(S169,'G-3 Multipliers'!$A$2:$E$129,4,FALSE))</f>
        <v/>
      </c>
      <c r="AK169" s="506" t="str">
        <f t="shared" si="32"/>
        <v/>
      </c>
      <c r="AL169" s="506" t="str">
        <f t="shared" si="33"/>
        <v/>
      </c>
      <c r="AM169" s="539" t="str">
        <f>IFERROR(IF(F169="","",IF(AH169="Check Data ⚠","Check Data ⚠",VLOOKUP(AL169, 'G-3 Multipliers'!$P$2:$Q$6,2,FALSE))),"")</f>
        <v/>
      </c>
      <c r="AN169" s="512" t="str">
        <f t="shared" si="25"/>
        <v/>
      </c>
      <c r="AO169" s="238"/>
      <c r="AP169" s="239"/>
    </row>
    <row r="170" spans="1:42" x14ac:dyDescent="0.3">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t="str">
        <f t="shared" si="26"/>
        <v/>
      </c>
      <c r="R170" s="237" t="str">
        <f t="shared" si="27"/>
        <v/>
      </c>
      <c r="S170" s="391" t="str">
        <f>IFERROR(INDEX('G-1 All Habitats'!$B$3:$B$129,MATCH(R170,'G-1 All Habitats'!$A$3:$A$129,0)),"")</f>
        <v/>
      </c>
      <c r="T170" s="497" t="str">
        <f t="shared" si="28"/>
        <v/>
      </c>
      <c r="U170" s="498" t="str">
        <f t="shared" si="29"/>
        <v/>
      </c>
      <c r="V170" s="536" t="str">
        <f t="shared" si="23"/>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24"/>
        <v/>
      </c>
      <c r="AE170" s="82"/>
      <c r="AF170" s="82"/>
      <c r="AG170" s="506" t="str">
        <f t="shared" si="30"/>
        <v/>
      </c>
      <c r="AH170" s="520" t="str">
        <f t="shared" si="31"/>
        <v/>
      </c>
      <c r="AI170" s="521" t="str">
        <f>IF(AH170="Check Data","Check Data",IFERROR(VLOOKUP(AH170,'G-4 Temporal multipliers'!$A$4:$C$36,3,FALSE),""))</f>
        <v/>
      </c>
      <c r="AJ170" s="497" t="str">
        <f>IF(S170="","",VLOOKUP(S170,'G-3 Multipliers'!$A$2:$E$129,4,FALSE))</f>
        <v/>
      </c>
      <c r="AK170" s="506" t="str">
        <f t="shared" si="32"/>
        <v/>
      </c>
      <c r="AL170" s="506" t="str">
        <f t="shared" si="33"/>
        <v/>
      </c>
      <c r="AM170" s="539" t="str">
        <f>IFERROR(IF(F170="","",IF(AH170="Check Data ⚠","Check Data ⚠",VLOOKUP(AL170, 'G-3 Multipliers'!$P$2:$Q$6,2,FALSE))),"")</f>
        <v/>
      </c>
      <c r="AN170" s="512" t="str">
        <f t="shared" si="25"/>
        <v/>
      </c>
      <c r="AO170" s="238"/>
      <c r="AP170" s="239"/>
    </row>
    <row r="171" spans="1:42" x14ac:dyDescent="0.3">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t="str">
        <f t="shared" si="26"/>
        <v/>
      </c>
      <c r="R171" s="237" t="str">
        <f t="shared" si="27"/>
        <v/>
      </c>
      <c r="S171" s="391" t="str">
        <f>IFERROR(INDEX('G-1 All Habitats'!$B$3:$B$129,MATCH(R171,'G-1 All Habitats'!$A$3:$A$129,0)),"")</f>
        <v/>
      </c>
      <c r="T171" s="497" t="str">
        <f t="shared" si="28"/>
        <v/>
      </c>
      <c r="U171" s="498" t="str">
        <f t="shared" si="29"/>
        <v/>
      </c>
      <c r="V171" s="536" t="str">
        <f t="shared" si="23"/>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24"/>
        <v/>
      </c>
      <c r="AE171" s="82"/>
      <c r="AF171" s="82"/>
      <c r="AG171" s="506" t="str">
        <f t="shared" si="30"/>
        <v/>
      </c>
      <c r="AH171" s="520" t="str">
        <f t="shared" si="31"/>
        <v/>
      </c>
      <c r="AI171" s="521" t="str">
        <f>IF(AH171="Check Data","Check Data",IFERROR(VLOOKUP(AH171,'G-4 Temporal multipliers'!$A$4:$C$36,3,FALSE),""))</f>
        <v/>
      </c>
      <c r="AJ171" s="497" t="str">
        <f>IF(S171="","",VLOOKUP(S171,'G-3 Multipliers'!$A$2:$E$129,4,FALSE))</f>
        <v/>
      </c>
      <c r="AK171" s="506" t="str">
        <f t="shared" si="32"/>
        <v/>
      </c>
      <c r="AL171" s="506" t="str">
        <f t="shared" si="33"/>
        <v/>
      </c>
      <c r="AM171" s="539" t="str">
        <f>IFERROR(IF(F171="","",IF(AH171="Check Data ⚠","Check Data ⚠",VLOOKUP(AL171, 'G-3 Multipliers'!$P$2:$Q$6,2,FALSE))),"")</f>
        <v/>
      </c>
      <c r="AN171" s="512" t="str">
        <f t="shared" si="25"/>
        <v/>
      </c>
      <c r="AO171" s="238"/>
      <c r="AP171" s="239"/>
    </row>
    <row r="172" spans="1:42" x14ac:dyDescent="0.3">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t="str">
        <f t="shared" si="26"/>
        <v/>
      </c>
      <c r="R172" s="237" t="str">
        <f t="shared" si="27"/>
        <v/>
      </c>
      <c r="S172" s="391" t="str">
        <f>IFERROR(INDEX('G-1 All Habitats'!$B$3:$B$129,MATCH(R172,'G-1 All Habitats'!$A$3:$A$129,0)),"")</f>
        <v/>
      </c>
      <c r="T172" s="497" t="str">
        <f t="shared" si="28"/>
        <v/>
      </c>
      <c r="U172" s="498" t="str">
        <f t="shared" si="29"/>
        <v/>
      </c>
      <c r="V172" s="536" t="str">
        <f t="shared" si="23"/>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24"/>
        <v/>
      </c>
      <c r="AE172" s="82"/>
      <c r="AF172" s="82"/>
      <c r="AG172" s="506" t="str">
        <f t="shared" si="30"/>
        <v/>
      </c>
      <c r="AH172" s="520" t="str">
        <f t="shared" si="31"/>
        <v/>
      </c>
      <c r="AI172" s="521" t="str">
        <f>IF(AH172="Check Data","Check Data",IFERROR(VLOOKUP(AH172,'G-4 Temporal multipliers'!$A$4:$C$36,3,FALSE),""))</f>
        <v/>
      </c>
      <c r="AJ172" s="497" t="str">
        <f>IF(S172="","",VLOOKUP(S172,'G-3 Multipliers'!$A$2:$E$129,4,FALSE))</f>
        <v/>
      </c>
      <c r="AK172" s="506" t="str">
        <f t="shared" si="32"/>
        <v/>
      </c>
      <c r="AL172" s="506" t="str">
        <f t="shared" si="33"/>
        <v/>
      </c>
      <c r="AM172" s="539" t="str">
        <f>IFERROR(IF(F172="","",IF(AH172="Check Data ⚠","Check Data ⚠",VLOOKUP(AL172, 'G-3 Multipliers'!$P$2:$Q$6,2,FALSE))),"")</f>
        <v/>
      </c>
      <c r="AN172" s="512" t="str">
        <f t="shared" si="25"/>
        <v/>
      </c>
      <c r="AO172" s="238"/>
      <c r="AP172" s="239"/>
    </row>
    <row r="173" spans="1:42" x14ac:dyDescent="0.3">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t="str">
        <f t="shared" si="26"/>
        <v/>
      </c>
      <c r="R173" s="237" t="str">
        <f t="shared" si="27"/>
        <v/>
      </c>
      <c r="S173" s="391" t="str">
        <f>IFERROR(INDEX('G-1 All Habitats'!$B$3:$B$129,MATCH(R173,'G-1 All Habitats'!$A$3:$A$129,0)),"")</f>
        <v/>
      </c>
      <c r="T173" s="497" t="str">
        <f t="shared" si="28"/>
        <v/>
      </c>
      <c r="U173" s="498" t="str">
        <f t="shared" si="29"/>
        <v/>
      </c>
      <c r="V173" s="536" t="str">
        <f t="shared" si="23"/>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24"/>
        <v/>
      </c>
      <c r="AE173" s="82"/>
      <c r="AF173" s="82"/>
      <c r="AG173" s="506" t="str">
        <f t="shared" si="30"/>
        <v/>
      </c>
      <c r="AH173" s="520" t="str">
        <f t="shared" si="31"/>
        <v/>
      </c>
      <c r="AI173" s="521" t="str">
        <f>IF(AH173="Check Data","Check Data",IFERROR(VLOOKUP(AH173,'G-4 Temporal multipliers'!$A$4:$C$36,3,FALSE),""))</f>
        <v/>
      </c>
      <c r="AJ173" s="497" t="str">
        <f>IF(S173="","",VLOOKUP(S173,'G-3 Multipliers'!$A$2:$E$129,4,FALSE))</f>
        <v/>
      </c>
      <c r="AK173" s="506" t="str">
        <f t="shared" si="32"/>
        <v/>
      </c>
      <c r="AL173" s="506" t="str">
        <f t="shared" si="33"/>
        <v/>
      </c>
      <c r="AM173" s="539" t="str">
        <f>IFERROR(IF(F173="","",IF(AH173="Check Data ⚠","Check Data ⚠",VLOOKUP(AL173, 'G-3 Multipliers'!$P$2:$Q$6,2,FALSE))),"")</f>
        <v/>
      </c>
      <c r="AN173" s="512" t="str">
        <f t="shared" si="25"/>
        <v/>
      </c>
      <c r="AO173" s="238"/>
      <c r="AP173" s="239"/>
    </row>
    <row r="174" spans="1:42" x14ac:dyDescent="0.3">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t="str">
        <f t="shared" si="26"/>
        <v/>
      </c>
      <c r="R174" s="237" t="str">
        <f t="shared" si="27"/>
        <v/>
      </c>
      <c r="S174" s="391" t="str">
        <f>IFERROR(INDEX('G-1 All Habitats'!$B$3:$B$129,MATCH(R174,'G-1 All Habitats'!$A$3:$A$129,0)),"")</f>
        <v/>
      </c>
      <c r="T174" s="497" t="str">
        <f t="shared" si="28"/>
        <v/>
      </c>
      <c r="U174" s="498" t="str">
        <f t="shared" si="29"/>
        <v/>
      </c>
      <c r="V174" s="536" t="str">
        <f t="shared" si="23"/>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24"/>
        <v/>
      </c>
      <c r="AE174" s="82"/>
      <c r="AF174" s="82"/>
      <c r="AG174" s="506" t="str">
        <f t="shared" si="30"/>
        <v/>
      </c>
      <c r="AH174" s="520" t="str">
        <f t="shared" si="31"/>
        <v/>
      </c>
      <c r="AI174" s="521" t="str">
        <f>IF(AH174="Check Data","Check Data",IFERROR(VLOOKUP(AH174,'G-4 Temporal multipliers'!$A$4:$C$36,3,FALSE),""))</f>
        <v/>
      </c>
      <c r="AJ174" s="497" t="str">
        <f>IF(S174="","",VLOOKUP(S174,'G-3 Multipliers'!$A$2:$E$129,4,FALSE))</f>
        <v/>
      </c>
      <c r="AK174" s="506" t="str">
        <f t="shared" si="32"/>
        <v/>
      </c>
      <c r="AL174" s="506" t="str">
        <f t="shared" si="33"/>
        <v/>
      </c>
      <c r="AM174" s="539" t="str">
        <f>IFERROR(IF(F174="","",IF(AH174="Check Data ⚠","Check Data ⚠",VLOOKUP(AL174, 'G-3 Multipliers'!$P$2:$Q$6,2,FALSE))),"")</f>
        <v/>
      </c>
      <c r="AN174" s="512" t="str">
        <f t="shared" si="25"/>
        <v/>
      </c>
      <c r="AO174" s="238"/>
      <c r="AP174" s="239"/>
    </row>
    <row r="175" spans="1:42" x14ac:dyDescent="0.3">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t="str">
        <f t="shared" si="26"/>
        <v/>
      </c>
      <c r="R175" s="237" t="str">
        <f t="shared" si="27"/>
        <v/>
      </c>
      <c r="S175" s="391" t="str">
        <f>IFERROR(INDEX('G-1 All Habitats'!$B$3:$B$129,MATCH(R175,'G-1 All Habitats'!$A$3:$A$129,0)),"")</f>
        <v/>
      </c>
      <c r="T175" s="497" t="str">
        <f t="shared" si="28"/>
        <v/>
      </c>
      <c r="U175" s="498" t="str">
        <f t="shared" si="29"/>
        <v/>
      </c>
      <c r="V175" s="536" t="str">
        <f t="shared" si="23"/>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24"/>
        <v/>
      </c>
      <c r="AE175" s="82"/>
      <c r="AF175" s="82"/>
      <c r="AG175" s="506" t="str">
        <f t="shared" si="30"/>
        <v/>
      </c>
      <c r="AH175" s="520" t="str">
        <f t="shared" si="31"/>
        <v/>
      </c>
      <c r="AI175" s="521" t="str">
        <f>IF(AH175="Check Data","Check Data",IFERROR(VLOOKUP(AH175,'G-4 Temporal multipliers'!$A$4:$C$36,3,FALSE),""))</f>
        <v/>
      </c>
      <c r="AJ175" s="497" t="str">
        <f>IF(S175="","",VLOOKUP(S175,'G-3 Multipliers'!$A$2:$E$129,4,FALSE))</f>
        <v/>
      </c>
      <c r="AK175" s="506" t="str">
        <f t="shared" si="32"/>
        <v/>
      </c>
      <c r="AL175" s="506" t="str">
        <f t="shared" si="33"/>
        <v/>
      </c>
      <c r="AM175" s="539" t="str">
        <f>IFERROR(IF(F175="","",IF(AH175="Check Data ⚠","Check Data ⚠",VLOOKUP(AL175, 'G-3 Multipliers'!$P$2:$Q$6,2,FALSE))),"")</f>
        <v/>
      </c>
      <c r="AN175" s="512" t="str">
        <f t="shared" si="25"/>
        <v/>
      </c>
      <c r="AO175" s="238"/>
      <c r="AP175" s="239"/>
    </row>
    <row r="176" spans="1:42" x14ac:dyDescent="0.3">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t="str">
        <f t="shared" si="26"/>
        <v/>
      </c>
      <c r="R176" s="237" t="str">
        <f t="shared" si="27"/>
        <v/>
      </c>
      <c r="S176" s="391" t="str">
        <f>IFERROR(INDEX('G-1 All Habitats'!$B$3:$B$129,MATCH(R176,'G-1 All Habitats'!$A$3:$A$129,0)),"")</f>
        <v/>
      </c>
      <c r="T176" s="497" t="str">
        <f t="shared" si="28"/>
        <v/>
      </c>
      <c r="U176" s="498" t="str">
        <f t="shared" si="29"/>
        <v/>
      </c>
      <c r="V176" s="536" t="str">
        <f t="shared" si="23"/>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24"/>
        <v/>
      </c>
      <c r="AE176" s="82"/>
      <c r="AF176" s="82"/>
      <c r="AG176" s="506" t="str">
        <f t="shared" si="30"/>
        <v/>
      </c>
      <c r="AH176" s="520" t="str">
        <f t="shared" si="31"/>
        <v/>
      </c>
      <c r="AI176" s="521" t="str">
        <f>IF(AH176="Check Data","Check Data",IFERROR(VLOOKUP(AH176,'G-4 Temporal multipliers'!$A$4:$C$36,3,FALSE),""))</f>
        <v/>
      </c>
      <c r="AJ176" s="497" t="str">
        <f>IF(S176="","",VLOOKUP(S176,'G-3 Multipliers'!$A$2:$E$129,4,FALSE))</f>
        <v/>
      </c>
      <c r="AK176" s="506" t="str">
        <f t="shared" si="32"/>
        <v/>
      </c>
      <c r="AL176" s="506" t="str">
        <f t="shared" si="33"/>
        <v/>
      </c>
      <c r="AM176" s="539" t="str">
        <f>IFERROR(IF(F176="","",IF(AH176="Check Data ⚠","Check Data ⚠",VLOOKUP(AL176, 'G-3 Multipliers'!$P$2:$Q$6,2,FALSE))),"")</f>
        <v/>
      </c>
      <c r="AN176" s="512" t="str">
        <f t="shared" si="25"/>
        <v/>
      </c>
      <c r="AO176" s="238"/>
      <c r="AP176" s="239"/>
    </row>
    <row r="177" spans="1:42" x14ac:dyDescent="0.3">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t="str">
        <f t="shared" si="26"/>
        <v/>
      </c>
      <c r="R177" s="237" t="str">
        <f t="shared" si="27"/>
        <v/>
      </c>
      <c r="S177" s="391" t="str">
        <f>IFERROR(INDEX('G-1 All Habitats'!$B$3:$B$129,MATCH(R177,'G-1 All Habitats'!$A$3:$A$129,0)),"")</f>
        <v/>
      </c>
      <c r="T177" s="497" t="str">
        <f t="shared" si="28"/>
        <v/>
      </c>
      <c r="U177" s="498" t="str">
        <f t="shared" si="29"/>
        <v/>
      </c>
      <c r="V177" s="536" t="str">
        <f t="shared" si="23"/>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24"/>
        <v/>
      </c>
      <c r="AE177" s="82"/>
      <c r="AF177" s="82"/>
      <c r="AG177" s="506" t="str">
        <f t="shared" si="30"/>
        <v/>
      </c>
      <c r="AH177" s="520" t="str">
        <f t="shared" si="31"/>
        <v/>
      </c>
      <c r="AI177" s="521" t="str">
        <f>IF(AH177="Check Data","Check Data",IFERROR(VLOOKUP(AH177,'G-4 Temporal multipliers'!$A$4:$C$36,3,FALSE),""))</f>
        <v/>
      </c>
      <c r="AJ177" s="497" t="str">
        <f>IF(S177="","",VLOOKUP(S177,'G-3 Multipliers'!$A$2:$E$129,4,FALSE))</f>
        <v/>
      </c>
      <c r="AK177" s="506" t="str">
        <f t="shared" si="32"/>
        <v/>
      </c>
      <c r="AL177" s="506" t="str">
        <f t="shared" si="33"/>
        <v/>
      </c>
      <c r="AM177" s="539" t="str">
        <f>IFERROR(IF(F177="","",IF(AH177="Check Data ⚠","Check Data ⚠",VLOOKUP(AL177, 'G-3 Multipliers'!$P$2:$Q$6,2,FALSE))),"")</f>
        <v/>
      </c>
      <c r="AN177" s="512" t="str">
        <f t="shared" si="25"/>
        <v/>
      </c>
      <c r="AO177" s="238"/>
      <c r="AP177" s="239"/>
    </row>
    <row r="178" spans="1:42" x14ac:dyDescent="0.3">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t="str">
        <f t="shared" si="26"/>
        <v/>
      </c>
      <c r="R178" s="237" t="str">
        <f t="shared" si="27"/>
        <v/>
      </c>
      <c r="S178" s="391" t="str">
        <f>IFERROR(INDEX('G-1 All Habitats'!$B$3:$B$129,MATCH(R178,'G-1 All Habitats'!$A$3:$A$129,0)),"")</f>
        <v/>
      </c>
      <c r="T178" s="497" t="str">
        <f t="shared" si="28"/>
        <v/>
      </c>
      <c r="U178" s="498" t="str">
        <f t="shared" si="29"/>
        <v/>
      </c>
      <c r="V178" s="536" t="str">
        <f t="shared" si="23"/>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24"/>
        <v/>
      </c>
      <c r="AE178" s="82"/>
      <c r="AF178" s="82"/>
      <c r="AG178" s="506" t="str">
        <f t="shared" si="30"/>
        <v/>
      </c>
      <c r="AH178" s="520" t="str">
        <f t="shared" si="31"/>
        <v/>
      </c>
      <c r="AI178" s="521" t="str">
        <f>IF(AH178="Check Data","Check Data",IFERROR(VLOOKUP(AH178,'G-4 Temporal multipliers'!$A$4:$C$36,3,FALSE),""))</f>
        <v/>
      </c>
      <c r="AJ178" s="497" t="str">
        <f>IF(S178="","",VLOOKUP(S178,'G-3 Multipliers'!$A$2:$E$129,4,FALSE))</f>
        <v/>
      </c>
      <c r="AK178" s="506" t="str">
        <f t="shared" si="32"/>
        <v/>
      </c>
      <c r="AL178" s="506" t="str">
        <f t="shared" si="33"/>
        <v/>
      </c>
      <c r="AM178" s="539" t="str">
        <f>IFERROR(IF(F178="","",IF(AH178="Check Data ⚠","Check Data ⚠",VLOOKUP(AL178, 'G-3 Multipliers'!$P$2:$Q$6,2,FALSE))),"")</f>
        <v/>
      </c>
      <c r="AN178" s="512" t="str">
        <f t="shared" si="25"/>
        <v/>
      </c>
      <c r="AO178" s="238"/>
      <c r="AP178" s="239"/>
    </row>
    <row r="179" spans="1:42" x14ac:dyDescent="0.3">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t="str">
        <f t="shared" si="26"/>
        <v/>
      </c>
      <c r="R179" s="237" t="str">
        <f t="shared" si="27"/>
        <v/>
      </c>
      <c r="S179" s="391" t="str">
        <f>IFERROR(INDEX('G-1 All Habitats'!$B$3:$B$129,MATCH(R179,'G-1 All Habitats'!$A$3:$A$129,0)),"")</f>
        <v/>
      </c>
      <c r="T179" s="497" t="str">
        <f t="shared" si="28"/>
        <v/>
      </c>
      <c r="U179" s="498" t="str">
        <f t="shared" si="29"/>
        <v/>
      </c>
      <c r="V179" s="536" t="str">
        <f t="shared" si="23"/>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24"/>
        <v/>
      </c>
      <c r="AE179" s="82"/>
      <c r="AF179" s="82"/>
      <c r="AG179" s="506" t="str">
        <f t="shared" si="30"/>
        <v/>
      </c>
      <c r="AH179" s="520" t="str">
        <f t="shared" si="31"/>
        <v/>
      </c>
      <c r="AI179" s="521" t="str">
        <f>IF(AH179="Check Data","Check Data",IFERROR(VLOOKUP(AH179,'G-4 Temporal multipliers'!$A$4:$C$36,3,FALSE),""))</f>
        <v/>
      </c>
      <c r="AJ179" s="497" t="str">
        <f>IF(S179="","",VLOOKUP(S179,'G-3 Multipliers'!$A$2:$E$129,4,FALSE))</f>
        <v/>
      </c>
      <c r="AK179" s="506" t="str">
        <f t="shared" si="32"/>
        <v/>
      </c>
      <c r="AL179" s="506" t="str">
        <f t="shared" si="33"/>
        <v/>
      </c>
      <c r="AM179" s="539" t="str">
        <f>IFERROR(IF(F179="","",IF(AH179="Check Data ⚠","Check Data ⚠",VLOOKUP(AL179, 'G-3 Multipliers'!$P$2:$Q$6,2,FALSE))),"")</f>
        <v/>
      </c>
      <c r="AN179" s="512" t="str">
        <f t="shared" si="25"/>
        <v/>
      </c>
      <c r="AO179" s="238"/>
      <c r="AP179" s="239"/>
    </row>
    <row r="180" spans="1:42" x14ac:dyDescent="0.3">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t="str">
        <f t="shared" si="26"/>
        <v/>
      </c>
      <c r="R180" s="237" t="str">
        <f t="shared" si="27"/>
        <v/>
      </c>
      <c r="S180" s="391" t="str">
        <f>IFERROR(INDEX('G-1 All Habitats'!$B$3:$B$129,MATCH(R180,'G-1 All Habitats'!$A$3:$A$129,0)),"")</f>
        <v/>
      </c>
      <c r="T180" s="497" t="str">
        <f t="shared" si="28"/>
        <v/>
      </c>
      <c r="U180" s="498" t="str">
        <f t="shared" si="29"/>
        <v/>
      </c>
      <c r="V180" s="536" t="str">
        <f t="shared" si="23"/>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24"/>
        <v/>
      </c>
      <c r="AE180" s="82"/>
      <c r="AF180" s="82"/>
      <c r="AG180" s="506" t="str">
        <f t="shared" si="30"/>
        <v/>
      </c>
      <c r="AH180" s="520" t="str">
        <f t="shared" si="31"/>
        <v/>
      </c>
      <c r="AI180" s="521" t="str">
        <f>IF(AH180="Check Data","Check Data",IFERROR(VLOOKUP(AH180,'G-4 Temporal multipliers'!$A$4:$C$36,3,FALSE),""))</f>
        <v/>
      </c>
      <c r="AJ180" s="497" t="str">
        <f>IF(S180="","",VLOOKUP(S180,'G-3 Multipliers'!$A$2:$E$129,4,FALSE))</f>
        <v/>
      </c>
      <c r="AK180" s="506" t="str">
        <f t="shared" si="32"/>
        <v/>
      </c>
      <c r="AL180" s="506" t="str">
        <f t="shared" si="33"/>
        <v/>
      </c>
      <c r="AM180" s="539" t="str">
        <f>IFERROR(IF(F180="","",IF(AH180="Check Data ⚠","Check Data ⚠",VLOOKUP(AL180, 'G-3 Multipliers'!$P$2:$Q$6,2,FALSE))),"")</f>
        <v/>
      </c>
      <c r="AN180" s="512" t="str">
        <f t="shared" si="25"/>
        <v/>
      </c>
      <c r="AO180" s="238"/>
      <c r="AP180" s="239"/>
    </row>
    <row r="181" spans="1:42" x14ac:dyDescent="0.3">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t="str">
        <f t="shared" si="26"/>
        <v/>
      </c>
      <c r="R181" s="237" t="str">
        <f t="shared" si="27"/>
        <v/>
      </c>
      <c r="S181" s="391" t="str">
        <f>IFERROR(INDEX('G-1 All Habitats'!$B$3:$B$129,MATCH(R181,'G-1 All Habitats'!$A$3:$A$129,0)),"")</f>
        <v/>
      </c>
      <c r="T181" s="497" t="str">
        <f t="shared" si="28"/>
        <v/>
      </c>
      <c r="U181" s="498" t="str">
        <f t="shared" si="29"/>
        <v/>
      </c>
      <c r="V181" s="536" t="str">
        <f t="shared" si="23"/>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24"/>
        <v/>
      </c>
      <c r="AE181" s="82"/>
      <c r="AF181" s="82"/>
      <c r="AG181" s="506" t="str">
        <f t="shared" si="30"/>
        <v/>
      </c>
      <c r="AH181" s="520" t="str">
        <f t="shared" si="31"/>
        <v/>
      </c>
      <c r="AI181" s="521" t="str">
        <f>IF(AH181="Check Data","Check Data",IFERROR(VLOOKUP(AH181,'G-4 Temporal multipliers'!$A$4:$C$36,3,FALSE),""))</f>
        <v/>
      </c>
      <c r="AJ181" s="497" t="str">
        <f>IF(S181="","",VLOOKUP(S181,'G-3 Multipliers'!$A$2:$E$129,4,FALSE))</f>
        <v/>
      </c>
      <c r="AK181" s="506" t="str">
        <f t="shared" si="32"/>
        <v/>
      </c>
      <c r="AL181" s="506" t="str">
        <f t="shared" si="33"/>
        <v/>
      </c>
      <c r="AM181" s="539" t="str">
        <f>IFERROR(IF(F181="","",IF(AH181="Check Data ⚠","Check Data ⚠",VLOOKUP(AL181, 'G-3 Multipliers'!$P$2:$Q$6,2,FALSE))),"")</f>
        <v/>
      </c>
      <c r="AN181" s="512" t="str">
        <f t="shared" si="25"/>
        <v/>
      </c>
      <c r="AO181" s="238"/>
      <c r="AP181" s="239"/>
    </row>
    <row r="182" spans="1:42" x14ac:dyDescent="0.3">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t="str">
        <f t="shared" si="26"/>
        <v/>
      </c>
      <c r="R182" s="237" t="str">
        <f t="shared" si="27"/>
        <v/>
      </c>
      <c r="S182" s="391" t="str">
        <f>IFERROR(INDEX('G-1 All Habitats'!$B$3:$B$129,MATCH(R182,'G-1 All Habitats'!$A$3:$A$129,0)),"")</f>
        <v/>
      </c>
      <c r="T182" s="497" t="str">
        <f t="shared" si="28"/>
        <v/>
      </c>
      <c r="U182" s="498" t="str">
        <f t="shared" si="29"/>
        <v/>
      </c>
      <c r="V182" s="536" t="str">
        <f t="shared" si="23"/>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24"/>
        <v/>
      </c>
      <c r="AE182" s="82"/>
      <c r="AF182" s="82"/>
      <c r="AG182" s="506" t="str">
        <f t="shared" si="30"/>
        <v/>
      </c>
      <c r="AH182" s="520" t="str">
        <f t="shared" si="31"/>
        <v/>
      </c>
      <c r="AI182" s="521" t="str">
        <f>IF(AH182="Check Data","Check Data",IFERROR(VLOOKUP(AH182,'G-4 Temporal multipliers'!$A$4:$C$36,3,FALSE),""))</f>
        <v/>
      </c>
      <c r="AJ182" s="497" t="str">
        <f>IF(S182="","",VLOOKUP(S182,'G-3 Multipliers'!$A$2:$E$129,4,FALSE))</f>
        <v/>
      </c>
      <c r="AK182" s="506" t="str">
        <f t="shared" si="32"/>
        <v/>
      </c>
      <c r="AL182" s="506" t="str">
        <f t="shared" si="33"/>
        <v/>
      </c>
      <c r="AM182" s="539" t="str">
        <f>IFERROR(IF(F182="","",IF(AH182="Check Data ⚠","Check Data ⚠",VLOOKUP(AL182, 'G-3 Multipliers'!$P$2:$Q$6,2,FALSE))),"")</f>
        <v/>
      </c>
      <c r="AN182" s="512" t="str">
        <f t="shared" si="25"/>
        <v/>
      </c>
      <c r="AO182" s="238"/>
      <c r="AP182" s="239"/>
    </row>
    <row r="183" spans="1:42" x14ac:dyDescent="0.3">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t="str">
        <f t="shared" si="26"/>
        <v/>
      </c>
      <c r="R183" s="237" t="str">
        <f t="shared" si="27"/>
        <v/>
      </c>
      <c r="S183" s="391" t="str">
        <f>IFERROR(INDEX('G-1 All Habitats'!$B$3:$B$129,MATCH(R183,'G-1 All Habitats'!$A$3:$A$129,0)),"")</f>
        <v/>
      </c>
      <c r="T183" s="497" t="str">
        <f t="shared" si="28"/>
        <v/>
      </c>
      <c r="U183" s="498" t="str">
        <f t="shared" si="29"/>
        <v/>
      </c>
      <c r="V183" s="536" t="str">
        <f t="shared" si="23"/>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24"/>
        <v/>
      </c>
      <c r="AE183" s="82"/>
      <c r="AF183" s="82"/>
      <c r="AG183" s="506" t="str">
        <f t="shared" si="30"/>
        <v/>
      </c>
      <c r="AH183" s="520" t="str">
        <f t="shared" si="31"/>
        <v/>
      </c>
      <c r="AI183" s="521" t="str">
        <f>IF(AH183="Check Data","Check Data",IFERROR(VLOOKUP(AH183,'G-4 Temporal multipliers'!$A$4:$C$36,3,FALSE),""))</f>
        <v/>
      </c>
      <c r="AJ183" s="497" t="str">
        <f>IF(S183="","",VLOOKUP(S183,'G-3 Multipliers'!$A$2:$E$129,4,FALSE))</f>
        <v/>
      </c>
      <c r="AK183" s="506" t="str">
        <f t="shared" si="32"/>
        <v/>
      </c>
      <c r="AL183" s="506" t="str">
        <f t="shared" si="33"/>
        <v/>
      </c>
      <c r="AM183" s="539" t="str">
        <f>IFERROR(IF(F183="","",IF(AH183="Check Data ⚠","Check Data ⚠",VLOOKUP(AL183, 'G-3 Multipliers'!$P$2:$Q$6,2,FALSE))),"")</f>
        <v/>
      </c>
      <c r="AN183" s="512" t="str">
        <f t="shared" si="25"/>
        <v/>
      </c>
      <c r="AO183" s="238"/>
      <c r="AP183" s="239"/>
    </row>
    <row r="184" spans="1:42" x14ac:dyDescent="0.3">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t="str">
        <f t="shared" si="26"/>
        <v/>
      </c>
      <c r="R184" s="237" t="str">
        <f t="shared" si="27"/>
        <v/>
      </c>
      <c r="S184" s="391" t="str">
        <f>IFERROR(INDEX('G-1 All Habitats'!$B$3:$B$129,MATCH(R184,'G-1 All Habitats'!$A$3:$A$129,0)),"")</f>
        <v/>
      </c>
      <c r="T184" s="497" t="str">
        <f t="shared" si="28"/>
        <v/>
      </c>
      <c r="U184" s="498" t="str">
        <f t="shared" si="29"/>
        <v/>
      </c>
      <c r="V184" s="536" t="str">
        <f t="shared" si="23"/>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24"/>
        <v/>
      </c>
      <c r="AE184" s="82"/>
      <c r="AF184" s="82"/>
      <c r="AG184" s="506" t="str">
        <f t="shared" si="30"/>
        <v/>
      </c>
      <c r="AH184" s="520" t="str">
        <f t="shared" si="31"/>
        <v/>
      </c>
      <c r="AI184" s="521" t="str">
        <f>IF(AH184="Check Data","Check Data",IFERROR(VLOOKUP(AH184,'G-4 Temporal multipliers'!$A$4:$C$36,3,FALSE),""))</f>
        <v/>
      </c>
      <c r="AJ184" s="497" t="str">
        <f>IF(S184="","",VLOOKUP(S184,'G-3 Multipliers'!$A$2:$E$129,4,FALSE))</f>
        <v/>
      </c>
      <c r="AK184" s="506" t="str">
        <f t="shared" si="32"/>
        <v/>
      </c>
      <c r="AL184" s="506" t="str">
        <f t="shared" si="33"/>
        <v/>
      </c>
      <c r="AM184" s="539" t="str">
        <f>IFERROR(IF(F184="","",IF(AH184="Check Data ⚠","Check Data ⚠",VLOOKUP(AL184, 'G-3 Multipliers'!$P$2:$Q$6,2,FALSE))),"")</f>
        <v/>
      </c>
      <c r="AN184" s="512" t="str">
        <f t="shared" si="25"/>
        <v/>
      </c>
      <c r="AO184" s="238"/>
      <c r="AP184" s="239"/>
    </row>
    <row r="185" spans="1:42" x14ac:dyDescent="0.3">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t="str">
        <f t="shared" si="26"/>
        <v/>
      </c>
      <c r="R185" s="237" t="str">
        <f t="shared" si="27"/>
        <v/>
      </c>
      <c r="S185" s="391" t="str">
        <f>IFERROR(INDEX('G-1 All Habitats'!$B$3:$B$129,MATCH(R185,'G-1 All Habitats'!$A$3:$A$129,0)),"")</f>
        <v/>
      </c>
      <c r="T185" s="497" t="str">
        <f t="shared" si="28"/>
        <v/>
      </c>
      <c r="U185" s="498" t="str">
        <f t="shared" si="29"/>
        <v/>
      </c>
      <c r="V185" s="536" t="str">
        <f t="shared" si="23"/>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24"/>
        <v/>
      </c>
      <c r="AE185" s="82"/>
      <c r="AF185" s="82"/>
      <c r="AG185" s="506" t="str">
        <f t="shared" si="30"/>
        <v/>
      </c>
      <c r="AH185" s="520" t="str">
        <f t="shared" si="31"/>
        <v/>
      </c>
      <c r="AI185" s="521" t="str">
        <f>IF(AH185="Check Data","Check Data",IFERROR(VLOOKUP(AH185,'G-4 Temporal multipliers'!$A$4:$C$36,3,FALSE),""))</f>
        <v/>
      </c>
      <c r="AJ185" s="497" t="str">
        <f>IF(S185="","",VLOOKUP(S185,'G-3 Multipliers'!$A$2:$E$129,4,FALSE))</f>
        <v/>
      </c>
      <c r="AK185" s="506" t="str">
        <f t="shared" si="32"/>
        <v/>
      </c>
      <c r="AL185" s="506" t="str">
        <f t="shared" si="33"/>
        <v/>
      </c>
      <c r="AM185" s="539" t="str">
        <f>IFERROR(IF(F185="","",IF(AH185="Check Data ⚠","Check Data ⚠",VLOOKUP(AL185, 'G-3 Multipliers'!$P$2:$Q$6,2,FALSE))),"")</f>
        <v/>
      </c>
      <c r="AN185" s="512" t="str">
        <f t="shared" si="25"/>
        <v/>
      </c>
      <c r="AO185" s="238"/>
      <c r="AP185" s="239"/>
    </row>
    <row r="186" spans="1:42" x14ac:dyDescent="0.3">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t="str">
        <f t="shared" si="26"/>
        <v/>
      </c>
      <c r="R186" s="237" t="str">
        <f t="shared" si="27"/>
        <v/>
      </c>
      <c r="S186" s="391" t="str">
        <f>IFERROR(INDEX('G-1 All Habitats'!$B$3:$B$129,MATCH(R186,'G-1 All Habitats'!$A$3:$A$129,0)),"")</f>
        <v/>
      </c>
      <c r="T186" s="497" t="str">
        <f t="shared" si="28"/>
        <v/>
      </c>
      <c r="U186" s="498" t="str">
        <f t="shared" si="29"/>
        <v/>
      </c>
      <c r="V186" s="536" t="str">
        <f t="shared" si="23"/>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24"/>
        <v/>
      </c>
      <c r="AE186" s="82"/>
      <c r="AF186" s="82"/>
      <c r="AG186" s="506" t="str">
        <f t="shared" si="30"/>
        <v/>
      </c>
      <c r="AH186" s="520" t="str">
        <f t="shared" si="31"/>
        <v/>
      </c>
      <c r="AI186" s="521" t="str">
        <f>IF(AH186="Check Data","Check Data",IFERROR(VLOOKUP(AH186,'G-4 Temporal multipliers'!$A$4:$C$36,3,FALSE),""))</f>
        <v/>
      </c>
      <c r="AJ186" s="497" t="str">
        <f>IF(S186="","",VLOOKUP(S186,'G-3 Multipliers'!$A$2:$E$129,4,FALSE))</f>
        <v/>
      </c>
      <c r="AK186" s="506" t="str">
        <f t="shared" si="32"/>
        <v/>
      </c>
      <c r="AL186" s="506" t="str">
        <f t="shared" si="33"/>
        <v/>
      </c>
      <c r="AM186" s="539" t="str">
        <f>IFERROR(IF(F186="","",IF(AH186="Check Data ⚠","Check Data ⚠",VLOOKUP(AL186, 'G-3 Multipliers'!$P$2:$Q$6,2,FALSE))),"")</f>
        <v/>
      </c>
      <c r="AN186" s="512" t="str">
        <f t="shared" si="25"/>
        <v/>
      </c>
      <c r="AO186" s="238"/>
      <c r="AP186" s="239"/>
    </row>
    <row r="187" spans="1:42" x14ac:dyDescent="0.3">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t="str">
        <f t="shared" si="26"/>
        <v/>
      </c>
      <c r="R187" s="237" t="str">
        <f t="shared" si="27"/>
        <v/>
      </c>
      <c r="S187" s="391" t="str">
        <f>IFERROR(INDEX('G-1 All Habitats'!$B$3:$B$129,MATCH(R187,'G-1 All Habitats'!$A$3:$A$129,0)),"")</f>
        <v/>
      </c>
      <c r="T187" s="497" t="str">
        <f t="shared" si="28"/>
        <v/>
      </c>
      <c r="U187" s="498" t="str">
        <f t="shared" si="29"/>
        <v/>
      </c>
      <c r="V187" s="536" t="str">
        <f t="shared" si="23"/>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24"/>
        <v/>
      </c>
      <c r="AE187" s="82"/>
      <c r="AF187" s="82"/>
      <c r="AG187" s="506" t="str">
        <f t="shared" si="30"/>
        <v/>
      </c>
      <c r="AH187" s="520" t="str">
        <f t="shared" si="31"/>
        <v/>
      </c>
      <c r="AI187" s="521" t="str">
        <f>IF(AH187="Check Data","Check Data",IFERROR(VLOOKUP(AH187,'G-4 Temporal multipliers'!$A$4:$C$36,3,FALSE),""))</f>
        <v/>
      </c>
      <c r="AJ187" s="497" t="str">
        <f>IF(S187="","",VLOOKUP(S187,'G-3 Multipliers'!$A$2:$E$129,4,FALSE))</f>
        <v/>
      </c>
      <c r="AK187" s="506" t="str">
        <f t="shared" si="32"/>
        <v/>
      </c>
      <c r="AL187" s="506" t="str">
        <f t="shared" si="33"/>
        <v/>
      </c>
      <c r="AM187" s="539" t="str">
        <f>IFERROR(IF(F187="","",IF(AH187="Check Data ⚠","Check Data ⚠",VLOOKUP(AL187, 'G-3 Multipliers'!$P$2:$Q$6,2,FALSE))),"")</f>
        <v/>
      </c>
      <c r="AN187" s="512" t="str">
        <f t="shared" si="25"/>
        <v/>
      </c>
      <c r="AO187" s="238"/>
      <c r="AP187" s="239"/>
    </row>
    <row r="188" spans="1:42" x14ac:dyDescent="0.3">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t="str">
        <f t="shared" si="26"/>
        <v/>
      </c>
      <c r="R188" s="237" t="str">
        <f t="shared" si="27"/>
        <v/>
      </c>
      <c r="S188" s="391" t="str">
        <f>IFERROR(INDEX('G-1 All Habitats'!$B$3:$B$129,MATCH(R188,'G-1 All Habitats'!$A$3:$A$129,0)),"")</f>
        <v/>
      </c>
      <c r="T188" s="497" t="str">
        <f t="shared" si="28"/>
        <v/>
      </c>
      <c r="U188" s="498" t="str">
        <f t="shared" si="29"/>
        <v/>
      </c>
      <c r="V188" s="536" t="str">
        <f t="shared" si="23"/>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24"/>
        <v/>
      </c>
      <c r="AE188" s="82"/>
      <c r="AF188" s="82"/>
      <c r="AG188" s="506" t="str">
        <f t="shared" si="30"/>
        <v/>
      </c>
      <c r="AH188" s="520" t="str">
        <f t="shared" si="31"/>
        <v/>
      </c>
      <c r="AI188" s="521" t="str">
        <f>IF(AH188="Check Data","Check Data",IFERROR(VLOOKUP(AH188,'G-4 Temporal multipliers'!$A$4:$C$36,3,FALSE),""))</f>
        <v/>
      </c>
      <c r="AJ188" s="497" t="str">
        <f>IF(S188="","",VLOOKUP(S188,'G-3 Multipliers'!$A$2:$E$129,4,FALSE))</f>
        <v/>
      </c>
      <c r="AK188" s="506" t="str">
        <f t="shared" si="32"/>
        <v/>
      </c>
      <c r="AL188" s="506" t="str">
        <f t="shared" si="33"/>
        <v/>
      </c>
      <c r="AM188" s="539" t="str">
        <f>IFERROR(IF(F188="","",IF(AH188="Check Data ⚠","Check Data ⚠",VLOOKUP(AL188, 'G-3 Multipliers'!$P$2:$Q$6,2,FALSE))),"")</f>
        <v/>
      </c>
      <c r="AN188" s="512" t="str">
        <f t="shared" si="25"/>
        <v/>
      </c>
      <c r="AO188" s="238"/>
      <c r="AP188" s="239"/>
    </row>
    <row r="189" spans="1:42" x14ac:dyDescent="0.3">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t="str">
        <f t="shared" si="26"/>
        <v/>
      </c>
      <c r="R189" s="237" t="str">
        <f t="shared" si="27"/>
        <v/>
      </c>
      <c r="S189" s="391" t="str">
        <f>IFERROR(INDEX('G-1 All Habitats'!$B$3:$B$129,MATCH(R189,'G-1 All Habitats'!$A$3:$A$129,0)),"")</f>
        <v/>
      </c>
      <c r="T189" s="497" t="str">
        <f t="shared" si="28"/>
        <v/>
      </c>
      <c r="U189" s="498" t="str">
        <f t="shared" si="29"/>
        <v/>
      </c>
      <c r="V189" s="536" t="str">
        <f t="shared" si="23"/>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24"/>
        <v/>
      </c>
      <c r="AE189" s="82"/>
      <c r="AF189" s="82"/>
      <c r="AG189" s="506" t="str">
        <f t="shared" si="30"/>
        <v/>
      </c>
      <c r="AH189" s="520" t="str">
        <f t="shared" si="31"/>
        <v/>
      </c>
      <c r="AI189" s="521" t="str">
        <f>IF(AH189="Check Data","Check Data",IFERROR(VLOOKUP(AH189,'G-4 Temporal multipliers'!$A$4:$C$36,3,FALSE),""))</f>
        <v/>
      </c>
      <c r="AJ189" s="497" t="str">
        <f>IF(S189="","",VLOOKUP(S189,'G-3 Multipliers'!$A$2:$E$129,4,FALSE))</f>
        <v/>
      </c>
      <c r="AK189" s="506" t="str">
        <f t="shared" si="32"/>
        <v/>
      </c>
      <c r="AL189" s="506" t="str">
        <f t="shared" si="33"/>
        <v/>
      </c>
      <c r="AM189" s="539" t="str">
        <f>IFERROR(IF(F189="","",IF(AH189="Check Data ⚠","Check Data ⚠",VLOOKUP(AL189, 'G-3 Multipliers'!$P$2:$Q$6,2,FALSE))),"")</f>
        <v/>
      </c>
      <c r="AN189" s="512" t="str">
        <f t="shared" si="25"/>
        <v/>
      </c>
      <c r="AO189" s="238"/>
      <c r="AP189" s="239"/>
    </row>
    <row r="190" spans="1:42" x14ac:dyDescent="0.3">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t="str">
        <f t="shared" si="26"/>
        <v/>
      </c>
      <c r="R190" s="237" t="str">
        <f t="shared" si="27"/>
        <v/>
      </c>
      <c r="S190" s="391" t="str">
        <f>IFERROR(INDEX('G-1 All Habitats'!$B$3:$B$129,MATCH(R190,'G-1 All Habitats'!$A$3:$A$129,0)),"")</f>
        <v/>
      </c>
      <c r="T190" s="497" t="str">
        <f t="shared" si="28"/>
        <v/>
      </c>
      <c r="U190" s="498" t="str">
        <f t="shared" si="29"/>
        <v/>
      </c>
      <c r="V190" s="536" t="str">
        <f t="shared" si="23"/>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24"/>
        <v/>
      </c>
      <c r="AE190" s="82"/>
      <c r="AF190" s="82"/>
      <c r="AG190" s="506" t="str">
        <f t="shared" si="30"/>
        <v/>
      </c>
      <c r="AH190" s="520" t="str">
        <f t="shared" si="31"/>
        <v/>
      </c>
      <c r="AI190" s="521" t="str">
        <f>IF(AH190="Check Data","Check Data",IFERROR(VLOOKUP(AH190,'G-4 Temporal multipliers'!$A$4:$C$36,3,FALSE),""))</f>
        <v/>
      </c>
      <c r="AJ190" s="497" t="str">
        <f>IF(S190="","",VLOOKUP(S190,'G-3 Multipliers'!$A$2:$E$129,4,FALSE))</f>
        <v/>
      </c>
      <c r="AK190" s="506" t="str">
        <f t="shared" si="32"/>
        <v/>
      </c>
      <c r="AL190" s="506" t="str">
        <f t="shared" si="33"/>
        <v/>
      </c>
      <c r="AM190" s="539" t="str">
        <f>IFERROR(IF(F190="","",IF(AH190="Check Data ⚠","Check Data ⚠",VLOOKUP(AL190, 'G-3 Multipliers'!$P$2:$Q$6,2,FALSE))),"")</f>
        <v/>
      </c>
      <c r="AN190" s="512" t="str">
        <f t="shared" si="25"/>
        <v/>
      </c>
      <c r="AO190" s="238"/>
      <c r="AP190" s="239"/>
    </row>
    <row r="191" spans="1:42" x14ac:dyDescent="0.3">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t="str">
        <f t="shared" si="26"/>
        <v/>
      </c>
      <c r="R191" s="237" t="str">
        <f t="shared" si="27"/>
        <v/>
      </c>
      <c r="S191" s="391" t="str">
        <f>IFERROR(INDEX('G-1 All Habitats'!$B$3:$B$129,MATCH(R191,'G-1 All Habitats'!$A$3:$A$129,0)),"")</f>
        <v/>
      </c>
      <c r="T191" s="497" t="str">
        <f t="shared" si="28"/>
        <v/>
      </c>
      <c r="U191" s="498" t="str">
        <f t="shared" si="29"/>
        <v/>
      </c>
      <c r="V191" s="536" t="str">
        <f t="shared" si="23"/>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24"/>
        <v/>
      </c>
      <c r="AE191" s="82"/>
      <c r="AF191" s="82"/>
      <c r="AG191" s="506" t="str">
        <f t="shared" si="30"/>
        <v/>
      </c>
      <c r="AH191" s="520" t="str">
        <f t="shared" si="31"/>
        <v/>
      </c>
      <c r="AI191" s="521" t="str">
        <f>IF(AH191="Check Data","Check Data",IFERROR(VLOOKUP(AH191,'G-4 Temporal multipliers'!$A$4:$C$36,3,FALSE),""))</f>
        <v/>
      </c>
      <c r="AJ191" s="497" t="str">
        <f>IF(S191="","",VLOOKUP(S191,'G-3 Multipliers'!$A$2:$E$129,4,FALSE))</f>
        <v/>
      </c>
      <c r="AK191" s="506" t="str">
        <f t="shared" si="32"/>
        <v/>
      </c>
      <c r="AL191" s="506" t="str">
        <f t="shared" si="33"/>
        <v/>
      </c>
      <c r="AM191" s="539" t="str">
        <f>IFERROR(IF(F191="","",IF(AH191="Check Data ⚠","Check Data ⚠",VLOOKUP(AL191, 'G-3 Multipliers'!$P$2:$Q$6,2,FALSE))),"")</f>
        <v/>
      </c>
      <c r="AN191" s="512" t="str">
        <f t="shared" si="25"/>
        <v/>
      </c>
      <c r="AO191" s="238"/>
      <c r="AP191" s="239"/>
    </row>
    <row r="192" spans="1:42" x14ac:dyDescent="0.3">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t="str">
        <f t="shared" si="26"/>
        <v/>
      </c>
      <c r="R192" s="237" t="str">
        <f t="shared" si="27"/>
        <v/>
      </c>
      <c r="S192" s="391" t="str">
        <f>IFERROR(INDEX('G-1 All Habitats'!$B$3:$B$129,MATCH(R192,'G-1 All Habitats'!$A$3:$A$129,0)),"")</f>
        <v/>
      </c>
      <c r="T192" s="497" t="str">
        <f t="shared" si="28"/>
        <v/>
      </c>
      <c r="U192" s="498" t="str">
        <f t="shared" si="29"/>
        <v/>
      </c>
      <c r="V192" s="536" t="str">
        <f t="shared" si="23"/>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24"/>
        <v/>
      </c>
      <c r="AE192" s="82"/>
      <c r="AF192" s="82"/>
      <c r="AG192" s="506" t="str">
        <f t="shared" si="30"/>
        <v/>
      </c>
      <c r="AH192" s="520" t="str">
        <f t="shared" si="31"/>
        <v/>
      </c>
      <c r="AI192" s="521" t="str">
        <f>IF(AH192="Check Data","Check Data",IFERROR(VLOOKUP(AH192,'G-4 Temporal multipliers'!$A$4:$C$36,3,FALSE),""))</f>
        <v/>
      </c>
      <c r="AJ192" s="497" t="str">
        <f>IF(S192="","",VLOOKUP(S192,'G-3 Multipliers'!$A$2:$E$129,4,FALSE))</f>
        <v/>
      </c>
      <c r="AK192" s="506" t="str">
        <f t="shared" si="32"/>
        <v/>
      </c>
      <c r="AL192" s="506" t="str">
        <f t="shared" si="33"/>
        <v/>
      </c>
      <c r="AM192" s="539" t="str">
        <f>IFERROR(IF(F192="","",IF(AH192="Check Data ⚠","Check Data ⚠",VLOOKUP(AL192, 'G-3 Multipliers'!$P$2:$Q$6,2,FALSE))),"")</f>
        <v/>
      </c>
      <c r="AN192" s="512" t="str">
        <f t="shared" si="25"/>
        <v/>
      </c>
      <c r="AO192" s="238"/>
      <c r="AP192" s="239"/>
    </row>
    <row r="193" spans="1:42" x14ac:dyDescent="0.3">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t="str">
        <f t="shared" si="26"/>
        <v/>
      </c>
      <c r="R193" s="237" t="str">
        <f t="shared" si="27"/>
        <v/>
      </c>
      <c r="S193" s="391" t="str">
        <f>IFERROR(INDEX('G-1 All Habitats'!$B$3:$B$129,MATCH(R193,'G-1 All Habitats'!$A$3:$A$129,0)),"")</f>
        <v/>
      </c>
      <c r="T193" s="497" t="str">
        <f t="shared" si="28"/>
        <v/>
      </c>
      <c r="U193" s="498" t="str">
        <f t="shared" si="29"/>
        <v/>
      </c>
      <c r="V193" s="536" t="str">
        <f t="shared" si="23"/>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24"/>
        <v/>
      </c>
      <c r="AE193" s="82"/>
      <c r="AF193" s="82"/>
      <c r="AG193" s="506" t="str">
        <f t="shared" si="30"/>
        <v/>
      </c>
      <c r="AH193" s="520" t="str">
        <f t="shared" si="31"/>
        <v/>
      </c>
      <c r="AI193" s="521" t="str">
        <f>IF(AH193="Check Data","Check Data",IFERROR(VLOOKUP(AH193,'G-4 Temporal multipliers'!$A$4:$C$36,3,FALSE),""))</f>
        <v/>
      </c>
      <c r="AJ193" s="497" t="str">
        <f>IF(S193="","",VLOOKUP(S193,'G-3 Multipliers'!$A$2:$E$129,4,FALSE))</f>
        <v/>
      </c>
      <c r="AK193" s="506" t="str">
        <f t="shared" si="32"/>
        <v/>
      </c>
      <c r="AL193" s="506" t="str">
        <f t="shared" si="33"/>
        <v/>
      </c>
      <c r="AM193" s="539" t="str">
        <f>IFERROR(IF(F193="","",IF(AH193="Check Data ⚠","Check Data ⚠",VLOOKUP(AL193, 'G-3 Multipliers'!$P$2:$Q$6,2,FALSE))),"")</f>
        <v/>
      </c>
      <c r="AN193" s="512" t="str">
        <f t="shared" si="25"/>
        <v/>
      </c>
      <c r="AO193" s="238"/>
      <c r="AP193" s="239"/>
    </row>
    <row r="194" spans="1:42" x14ac:dyDescent="0.3">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t="str">
        <f t="shared" si="26"/>
        <v/>
      </c>
      <c r="R194" s="237" t="str">
        <f t="shared" si="27"/>
        <v/>
      </c>
      <c r="S194" s="391" t="str">
        <f>IFERROR(INDEX('G-1 All Habitats'!$B$3:$B$129,MATCH(R194,'G-1 All Habitats'!$A$3:$A$129,0)),"")</f>
        <v/>
      </c>
      <c r="T194" s="497" t="str">
        <f t="shared" si="28"/>
        <v/>
      </c>
      <c r="U194" s="498" t="str">
        <f t="shared" si="29"/>
        <v/>
      </c>
      <c r="V194" s="536" t="str">
        <f t="shared" si="23"/>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24"/>
        <v/>
      </c>
      <c r="AE194" s="82"/>
      <c r="AF194" s="82"/>
      <c r="AG194" s="506" t="str">
        <f t="shared" si="30"/>
        <v/>
      </c>
      <c r="AH194" s="520" t="str">
        <f t="shared" si="31"/>
        <v/>
      </c>
      <c r="AI194" s="521" t="str">
        <f>IF(AH194="Check Data","Check Data",IFERROR(VLOOKUP(AH194,'G-4 Temporal multipliers'!$A$4:$C$36,3,FALSE),""))</f>
        <v/>
      </c>
      <c r="AJ194" s="497" t="str">
        <f>IF(S194="","",VLOOKUP(S194,'G-3 Multipliers'!$A$2:$E$129,4,FALSE))</f>
        <v/>
      </c>
      <c r="AK194" s="506" t="str">
        <f t="shared" si="32"/>
        <v/>
      </c>
      <c r="AL194" s="506" t="str">
        <f t="shared" si="33"/>
        <v/>
      </c>
      <c r="AM194" s="539" t="str">
        <f>IFERROR(IF(F194="","",IF(AH194="Check Data ⚠","Check Data ⚠",VLOOKUP(AL194, 'G-3 Multipliers'!$P$2:$Q$6,2,FALSE))),"")</f>
        <v/>
      </c>
      <c r="AN194" s="512" t="str">
        <f t="shared" si="25"/>
        <v/>
      </c>
      <c r="AO194" s="238"/>
      <c r="AP194" s="239"/>
    </row>
    <row r="195" spans="1:42" x14ac:dyDescent="0.3">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t="str">
        <f t="shared" si="26"/>
        <v/>
      </c>
      <c r="R195" s="237" t="str">
        <f t="shared" si="27"/>
        <v/>
      </c>
      <c r="S195" s="391" t="str">
        <f>IFERROR(INDEX('G-1 All Habitats'!$B$3:$B$129,MATCH(R195,'G-1 All Habitats'!$A$3:$A$129,0)),"")</f>
        <v/>
      </c>
      <c r="T195" s="497" t="str">
        <f t="shared" si="28"/>
        <v/>
      </c>
      <c r="U195" s="498" t="str">
        <f t="shared" si="29"/>
        <v/>
      </c>
      <c r="V195" s="536" t="str">
        <f t="shared" si="23"/>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24"/>
        <v/>
      </c>
      <c r="AE195" s="82"/>
      <c r="AF195" s="82"/>
      <c r="AG195" s="506" t="str">
        <f t="shared" si="30"/>
        <v/>
      </c>
      <c r="AH195" s="520" t="str">
        <f t="shared" si="31"/>
        <v/>
      </c>
      <c r="AI195" s="521" t="str">
        <f>IF(AH195="Check Data","Check Data",IFERROR(VLOOKUP(AH195,'G-4 Temporal multipliers'!$A$4:$C$36,3,FALSE),""))</f>
        <v/>
      </c>
      <c r="AJ195" s="497" t="str">
        <f>IF(S195="","",VLOOKUP(S195,'G-3 Multipliers'!$A$2:$E$129,4,FALSE))</f>
        <v/>
      </c>
      <c r="AK195" s="506" t="str">
        <f t="shared" si="32"/>
        <v/>
      </c>
      <c r="AL195" s="506" t="str">
        <f t="shared" si="33"/>
        <v/>
      </c>
      <c r="AM195" s="539" t="str">
        <f>IFERROR(IF(F195="","",IF(AH195="Check Data ⚠","Check Data ⚠",VLOOKUP(AL195, 'G-3 Multipliers'!$P$2:$Q$6,2,FALSE))),"")</f>
        <v/>
      </c>
      <c r="AN195" s="512" t="str">
        <f t="shared" si="25"/>
        <v/>
      </c>
      <c r="AO195" s="238"/>
      <c r="AP195" s="239"/>
    </row>
    <row r="196" spans="1:42" x14ac:dyDescent="0.3">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t="str">
        <f t="shared" si="26"/>
        <v/>
      </c>
      <c r="R196" s="237" t="str">
        <f t="shared" si="27"/>
        <v/>
      </c>
      <c r="S196" s="391" t="str">
        <f>IFERROR(INDEX('G-1 All Habitats'!$B$3:$B$129,MATCH(R196,'G-1 All Habitats'!$A$3:$A$129,0)),"")</f>
        <v/>
      </c>
      <c r="T196" s="497" t="str">
        <f t="shared" si="28"/>
        <v/>
      </c>
      <c r="U196" s="498" t="str">
        <f t="shared" si="29"/>
        <v/>
      </c>
      <c r="V196" s="536" t="str">
        <f t="shared" si="23"/>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24"/>
        <v/>
      </c>
      <c r="AE196" s="82"/>
      <c r="AF196" s="82"/>
      <c r="AG196" s="506" t="str">
        <f t="shared" si="30"/>
        <v/>
      </c>
      <c r="AH196" s="520" t="str">
        <f t="shared" si="31"/>
        <v/>
      </c>
      <c r="AI196" s="521" t="str">
        <f>IF(AH196="Check Data","Check Data",IFERROR(VLOOKUP(AH196,'G-4 Temporal multipliers'!$A$4:$C$36,3,FALSE),""))</f>
        <v/>
      </c>
      <c r="AJ196" s="497" t="str">
        <f>IF(S196="","",VLOOKUP(S196,'G-3 Multipliers'!$A$2:$E$129,4,FALSE))</f>
        <v/>
      </c>
      <c r="AK196" s="506" t="str">
        <f t="shared" si="32"/>
        <v/>
      </c>
      <c r="AL196" s="506" t="str">
        <f t="shared" si="33"/>
        <v/>
      </c>
      <c r="AM196" s="539" t="str">
        <f>IFERROR(IF(F196="","",IF(AH196="Check Data ⚠","Check Data ⚠",VLOOKUP(AL196, 'G-3 Multipliers'!$P$2:$Q$6,2,FALSE))),"")</f>
        <v/>
      </c>
      <c r="AN196" s="512" t="str">
        <f t="shared" si="25"/>
        <v/>
      </c>
      <c r="AO196" s="238"/>
      <c r="AP196" s="239"/>
    </row>
    <row r="197" spans="1:42" x14ac:dyDescent="0.3">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t="str">
        <f t="shared" si="26"/>
        <v/>
      </c>
      <c r="R197" s="237" t="str">
        <f t="shared" si="27"/>
        <v/>
      </c>
      <c r="S197" s="391" t="str">
        <f>IFERROR(INDEX('G-1 All Habitats'!$B$3:$B$129,MATCH(R197,'G-1 All Habitats'!$A$3:$A$129,0)),"")</f>
        <v/>
      </c>
      <c r="T197" s="497" t="str">
        <f t="shared" si="28"/>
        <v/>
      </c>
      <c r="U197" s="498" t="str">
        <f t="shared" si="29"/>
        <v/>
      </c>
      <c r="V197" s="536" t="str">
        <f t="shared" si="23"/>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24"/>
        <v/>
      </c>
      <c r="AE197" s="82"/>
      <c r="AF197" s="82"/>
      <c r="AG197" s="506" t="str">
        <f t="shared" si="30"/>
        <v/>
      </c>
      <c r="AH197" s="520" t="str">
        <f t="shared" si="31"/>
        <v/>
      </c>
      <c r="AI197" s="521" t="str">
        <f>IF(AH197="Check Data","Check Data",IFERROR(VLOOKUP(AH197,'G-4 Temporal multipliers'!$A$4:$C$36,3,FALSE),""))</f>
        <v/>
      </c>
      <c r="AJ197" s="497" t="str">
        <f>IF(S197="","",VLOOKUP(S197,'G-3 Multipliers'!$A$2:$E$129,4,FALSE))</f>
        <v/>
      </c>
      <c r="AK197" s="506" t="str">
        <f t="shared" si="32"/>
        <v/>
      </c>
      <c r="AL197" s="506" t="str">
        <f t="shared" si="33"/>
        <v/>
      </c>
      <c r="AM197" s="539" t="str">
        <f>IFERROR(IF(F197="","",IF(AH197="Check Data ⚠","Check Data ⚠",VLOOKUP(AL197, 'G-3 Multipliers'!$P$2:$Q$6,2,FALSE))),"")</f>
        <v/>
      </c>
      <c r="AN197" s="512" t="str">
        <f t="shared" si="25"/>
        <v/>
      </c>
      <c r="AO197" s="238"/>
      <c r="AP197" s="239"/>
    </row>
    <row r="198" spans="1:42" x14ac:dyDescent="0.3">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t="str">
        <f t="shared" si="26"/>
        <v/>
      </c>
      <c r="R198" s="237" t="str">
        <f t="shared" si="27"/>
        <v/>
      </c>
      <c r="S198" s="391" t="str">
        <f>IFERROR(INDEX('G-1 All Habitats'!$B$3:$B$129,MATCH(R198,'G-1 All Habitats'!$A$3:$A$129,0)),"")</f>
        <v/>
      </c>
      <c r="T198" s="497" t="str">
        <f t="shared" si="28"/>
        <v/>
      </c>
      <c r="U198" s="498" t="str">
        <f t="shared" si="29"/>
        <v/>
      </c>
      <c r="V198" s="536" t="str">
        <f t="shared" si="23"/>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24"/>
        <v/>
      </c>
      <c r="AE198" s="82"/>
      <c r="AF198" s="82"/>
      <c r="AG198" s="506" t="str">
        <f t="shared" si="30"/>
        <v/>
      </c>
      <c r="AH198" s="520" t="str">
        <f t="shared" si="31"/>
        <v/>
      </c>
      <c r="AI198" s="521" t="str">
        <f>IF(AH198="Check Data","Check Data",IFERROR(VLOOKUP(AH198,'G-4 Temporal multipliers'!$A$4:$C$36,3,FALSE),""))</f>
        <v/>
      </c>
      <c r="AJ198" s="497" t="str">
        <f>IF(S198="","",VLOOKUP(S198,'G-3 Multipliers'!$A$2:$E$129,4,FALSE))</f>
        <v/>
      </c>
      <c r="AK198" s="506" t="str">
        <f t="shared" si="32"/>
        <v/>
      </c>
      <c r="AL198" s="506" t="str">
        <f t="shared" si="33"/>
        <v/>
      </c>
      <c r="AM198" s="539" t="str">
        <f>IFERROR(IF(F198="","",IF(AH198="Check Data ⚠","Check Data ⚠",VLOOKUP(AL198, 'G-3 Multipliers'!$P$2:$Q$6,2,FALSE))),"")</f>
        <v/>
      </c>
      <c r="AN198" s="512" t="str">
        <f t="shared" si="25"/>
        <v/>
      </c>
      <c r="AO198" s="238"/>
      <c r="AP198" s="239"/>
    </row>
    <row r="199" spans="1:42" x14ac:dyDescent="0.3">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t="str">
        <f t="shared" si="26"/>
        <v/>
      </c>
      <c r="R199" s="237" t="str">
        <f t="shared" si="27"/>
        <v/>
      </c>
      <c r="S199" s="391" t="str">
        <f>IFERROR(INDEX('G-1 All Habitats'!$B$3:$B$129,MATCH(R199,'G-1 All Habitats'!$A$3:$A$129,0)),"")</f>
        <v/>
      </c>
      <c r="T199" s="497" t="str">
        <f t="shared" si="28"/>
        <v/>
      </c>
      <c r="U199" s="498" t="str">
        <f t="shared" si="29"/>
        <v/>
      </c>
      <c r="V199" s="536" t="str">
        <f t="shared" si="23"/>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24"/>
        <v/>
      </c>
      <c r="AE199" s="82"/>
      <c r="AF199" s="82"/>
      <c r="AG199" s="506" t="str">
        <f t="shared" si="30"/>
        <v/>
      </c>
      <c r="AH199" s="520" t="str">
        <f t="shared" si="31"/>
        <v/>
      </c>
      <c r="AI199" s="521" t="str">
        <f>IF(AH199="Check Data","Check Data",IFERROR(VLOOKUP(AH199,'G-4 Temporal multipliers'!$A$4:$C$36,3,FALSE),""))</f>
        <v/>
      </c>
      <c r="AJ199" s="497" t="str">
        <f>IF(S199="","",VLOOKUP(S199,'G-3 Multipliers'!$A$2:$E$129,4,FALSE))</f>
        <v/>
      </c>
      <c r="AK199" s="506" t="str">
        <f t="shared" si="32"/>
        <v/>
      </c>
      <c r="AL199" s="506" t="str">
        <f t="shared" si="33"/>
        <v/>
      </c>
      <c r="AM199" s="539" t="str">
        <f>IFERROR(IF(F199="","",IF(AH199="Check Data ⚠","Check Data ⚠",VLOOKUP(AL199, 'G-3 Multipliers'!$P$2:$Q$6,2,FALSE))),"")</f>
        <v/>
      </c>
      <c r="AN199" s="512" t="str">
        <f t="shared" si="25"/>
        <v/>
      </c>
      <c r="AO199" s="238"/>
      <c r="AP199" s="239"/>
    </row>
    <row r="200" spans="1:42" x14ac:dyDescent="0.3">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t="str">
        <f t="shared" si="26"/>
        <v/>
      </c>
      <c r="R200" s="237" t="str">
        <f t="shared" si="27"/>
        <v/>
      </c>
      <c r="S200" s="391" t="str">
        <f>IFERROR(INDEX('G-1 All Habitats'!$B$3:$B$129,MATCH(R200,'G-1 All Habitats'!$A$3:$A$129,0)),"")</f>
        <v/>
      </c>
      <c r="T200" s="497" t="str">
        <f t="shared" si="28"/>
        <v/>
      </c>
      <c r="U200" s="498" t="str">
        <f t="shared" si="29"/>
        <v/>
      </c>
      <c r="V200" s="536" t="str">
        <f t="shared" si="23"/>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24"/>
        <v/>
      </c>
      <c r="AE200" s="82"/>
      <c r="AF200" s="82"/>
      <c r="AG200" s="506" t="str">
        <f t="shared" si="30"/>
        <v/>
      </c>
      <c r="AH200" s="520" t="str">
        <f t="shared" si="31"/>
        <v/>
      </c>
      <c r="AI200" s="521" t="str">
        <f>IF(AH200="Check Data","Check Data",IFERROR(VLOOKUP(AH200,'G-4 Temporal multipliers'!$A$4:$C$36,3,FALSE),""))</f>
        <v/>
      </c>
      <c r="AJ200" s="497" t="str">
        <f>IF(S200="","",VLOOKUP(S200,'G-3 Multipliers'!$A$2:$E$129,4,FALSE))</f>
        <v/>
      </c>
      <c r="AK200" s="506" t="str">
        <f t="shared" si="32"/>
        <v/>
      </c>
      <c r="AL200" s="506" t="str">
        <f t="shared" si="33"/>
        <v/>
      </c>
      <c r="AM200" s="539" t="str">
        <f>IFERROR(IF(F200="","",IF(AH200="Check Data ⚠","Check Data ⚠",VLOOKUP(AL200, 'G-3 Multipliers'!$P$2:$Q$6,2,FALSE))),"")</f>
        <v/>
      </c>
      <c r="AN200" s="512" t="str">
        <f t="shared" si="25"/>
        <v/>
      </c>
      <c r="AO200" s="238"/>
      <c r="AP200" s="239"/>
    </row>
    <row r="201" spans="1:42" x14ac:dyDescent="0.3">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t="str">
        <f t="shared" si="26"/>
        <v/>
      </c>
      <c r="R201" s="237" t="str">
        <f t="shared" si="27"/>
        <v/>
      </c>
      <c r="S201" s="391" t="str">
        <f>IFERROR(INDEX('G-1 All Habitats'!$B$3:$B$129,MATCH(R201,'G-1 All Habitats'!$A$3:$A$129,0)),"")</f>
        <v/>
      </c>
      <c r="T201" s="497" t="str">
        <f t="shared" si="28"/>
        <v/>
      </c>
      <c r="U201" s="498" t="str">
        <f t="shared" si="29"/>
        <v/>
      </c>
      <c r="V201" s="536" t="str">
        <f t="shared" si="23"/>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24"/>
        <v/>
      </c>
      <c r="AE201" s="82"/>
      <c r="AF201" s="82"/>
      <c r="AG201" s="506" t="str">
        <f t="shared" si="30"/>
        <v/>
      </c>
      <c r="AH201" s="520" t="str">
        <f t="shared" si="31"/>
        <v/>
      </c>
      <c r="AI201" s="521" t="str">
        <f>IF(AH201="Check Data","Check Data",IFERROR(VLOOKUP(AH201,'G-4 Temporal multipliers'!$A$4:$C$36,3,FALSE),""))</f>
        <v/>
      </c>
      <c r="AJ201" s="497" t="str">
        <f>IF(S201="","",VLOOKUP(S201,'G-3 Multipliers'!$A$2:$E$129,4,FALSE))</f>
        <v/>
      </c>
      <c r="AK201" s="506" t="str">
        <f t="shared" si="32"/>
        <v/>
      </c>
      <c r="AL201" s="506" t="str">
        <f t="shared" si="33"/>
        <v/>
      </c>
      <c r="AM201" s="539" t="str">
        <f>IFERROR(IF(F201="","",IF(AH201="Check Data ⚠","Check Data ⚠",VLOOKUP(AL201, 'G-3 Multipliers'!$P$2:$Q$6,2,FALSE))),"")</f>
        <v/>
      </c>
      <c r="AN201" s="512" t="str">
        <f t="shared" si="25"/>
        <v/>
      </c>
      <c r="AO201" s="238"/>
      <c r="AP201" s="239"/>
    </row>
    <row r="202" spans="1:42" x14ac:dyDescent="0.3">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t="str">
        <f t="shared" si="26"/>
        <v/>
      </c>
      <c r="R202" s="237" t="str">
        <f t="shared" si="27"/>
        <v/>
      </c>
      <c r="S202" s="391" t="str">
        <f>IFERROR(INDEX('G-1 All Habitats'!$B$3:$B$129,MATCH(R202,'G-1 All Habitats'!$A$3:$A$129,0)),"")</f>
        <v/>
      </c>
      <c r="T202" s="497" t="str">
        <f t="shared" si="28"/>
        <v/>
      </c>
      <c r="U202" s="498" t="str">
        <f t="shared" si="29"/>
        <v/>
      </c>
      <c r="V202" s="536" t="str">
        <f t="shared" si="23"/>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24"/>
        <v/>
      </c>
      <c r="AE202" s="82"/>
      <c r="AF202" s="82"/>
      <c r="AG202" s="506" t="str">
        <f t="shared" si="30"/>
        <v/>
      </c>
      <c r="AH202" s="520" t="str">
        <f t="shared" si="31"/>
        <v/>
      </c>
      <c r="AI202" s="521" t="str">
        <f>IF(AH202="Check Data","Check Data",IFERROR(VLOOKUP(AH202,'G-4 Temporal multipliers'!$A$4:$C$36,3,FALSE),""))</f>
        <v/>
      </c>
      <c r="AJ202" s="497" t="str">
        <f>IF(S202="","",VLOOKUP(S202,'G-3 Multipliers'!$A$2:$E$129,4,FALSE))</f>
        <v/>
      </c>
      <c r="AK202" s="506" t="str">
        <f t="shared" si="32"/>
        <v/>
      </c>
      <c r="AL202" s="506" t="str">
        <f t="shared" si="33"/>
        <v/>
      </c>
      <c r="AM202" s="539" t="str">
        <f>IFERROR(IF(F202="","",IF(AH202="Check Data ⚠","Check Data ⚠",VLOOKUP(AL202, 'G-3 Multipliers'!$P$2:$Q$6,2,FALSE))),"")</f>
        <v/>
      </c>
      <c r="AN202" s="512" t="str">
        <f t="shared" si="25"/>
        <v/>
      </c>
      <c r="AO202" s="238"/>
      <c r="AP202" s="239"/>
    </row>
    <row r="203" spans="1:42" x14ac:dyDescent="0.3">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t="str">
        <f t="shared" si="26"/>
        <v/>
      </c>
      <c r="R203" s="237" t="str">
        <f t="shared" si="27"/>
        <v/>
      </c>
      <c r="S203" s="391" t="str">
        <f>IFERROR(INDEX('G-1 All Habitats'!$B$3:$B$129,MATCH(R203,'G-1 All Habitats'!$A$3:$A$129,0)),"")</f>
        <v/>
      </c>
      <c r="T203" s="497" t="str">
        <f t="shared" si="28"/>
        <v/>
      </c>
      <c r="U203" s="498" t="str">
        <f t="shared" si="29"/>
        <v/>
      </c>
      <c r="V203" s="536" t="str">
        <f t="shared" si="23"/>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24"/>
        <v/>
      </c>
      <c r="AE203" s="82"/>
      <c r="AF203" s="82"/>
      <c r="AG203" s="506" t="str">
        <f t="shared" si="30"/>
        <v/>
      </c>
      <c r="AH203" s="520" t="str">
        <f t="shared" si="31"/>
        <v/>
      </c>
      <c r="AI203" s="521" t="str">
        <f>IF(AH203="Check Data","Check Data",IFERROR(VLOOKUP(AH203,'G-4 Temporal multipliers'!$A$4:$C$36,3,FALSE),""))</f>
        <v/>
      </c>
      <c r="AJ203" s="497" t="str">
        <f>IF(S203="","",VLOOKUP(S203,'G-3 Multipliers'!$A$2:$E$129,4,FALSE))</f>
        <v/>
      </c>
      <c r="AK203" s="506" t="str">
        <f t="shared" si="32"/>
        <v/>
      </c>
      <c r="AL203" s="506" t="str">
        <f t="shared" si="33"/>
        <v/>
      </c>
      <c r="AM203" s="539" t="str">
        <f>IFERROR(IF(F203="","",IF(AH203="Check Data ⚠","Check Data ⚠",VLOOKUP(AL203, 'G-3 Multipliers'!$P$2:$Q$6,2,FALSE))),"")</f>
        <v/>
      </c>
      <c r="AN203" s="512" t="str">
        <f t="shared" si="25"/>
        <v/>
      </c>
      <c r="AO203" s="238"/>
      <c r="AP203" s="239"/>
    </row>
    <row r="204" spans="1:42" x14ac:dyDescent="0.3">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t="str">
        <f t="shared" si="26"/>
        <v/>
      </c>
      <c r="R204" s="237" t="str">
        <f t="shared" si="27"/>
        <v/>
      </c>
      <c r="S204" s="391" t="str">
        <f>IFERROR(INDEX('G-1 All Habitats'!$B$3:$B$129,MATCH(R204,'G-1 All Habitats'!$A$3:$A$129,0)),"")</f>
        <v/>
      </c>
      <c r="T204" s="497" t="str">
        <f t="shared" si="28"/>
        <v/>
      </c>
      <c r="U204" s="498" t="str">
        <f t="shared" si="29"/>
        <v/>
      </c>
      <c r="V204" s="536" t="str">
        <f t="shared" ref="V204:V257" si="34">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35">IFERROR(IF(OR(LEFT(U204,5)="Error ▲",LEFT(T204,5)="Error ▲"),"Check Data ⚠",INDEX(EnhanceTemporal,MATCH(S204,EnhanceHabitat,0),MATCH(U204,EnhanceCondition,0))),"")</f>
        <v/>
      </c>
      <c r="AE204" s="82"/>
      <c r="AF204" s="82"/>
      <c r="AG204" s="506" t="str">
        <f t="shared" si="30"/>
        <v/>
      </c>
      <c r="AH204" s="520" t="str">
        <f t="shared" si="31"/>
        <v/>
      </c>
      <c r="AI204" s="521" t="str">
        <f>IF(AH204="Check Data","Check Data",IFERROR(VLOOKUP(AH204,'G-4 Temporal multipliers'!$A$4:$C$36,3,FALSE),""))</f>
        <v/>
      </c>
      <c r="AJ204" s="497" t="str">
        <f>IF(S204="","",VLOOKUP(S204,'G-3 Multipliers'!$A$2:$E$129,4,FALSE))</f>
        <v/>
      </c>
      <c r="AK204" s="506" t="str">
        <f t="shared" si="32"/>
        <v/>
      </c>
      <c r="AL204" s="506" t="str">
        <f t="shared" si="33"/>
        <v/>
      </c>
      <c r="AM204" s="539" t="str">
        <f>IFERROR(IF(F204="","",IF(AH204="Check Data ⚠","Check Data ⚠",VLOOKUP(AL204, 'G-3 Multipliers'!$P$2:$Q$6,2,FALSE))),"")</f>
        <v/>
      </c>
      <c r="AN204" s="512" t="str">
        <f t="shared" ref="AN204:AN257" si="36">IFERROR(((((V204*X204*Z204)-(V204*I204*K204))*(AM204*AI204))+(V204*I204*K204))*(AC204),"")</f>
        <v/>
      </c>
      <c r="AO204" s="238"/>
      <c r="AP204" s="239"/>
    </row>
    <row r="205" spans="1:42" x14ac:dyDescent="0.3">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t="str">
        <f t="shared" ref="Q205:Q257" si="37">A205</f>
        <v/>
      </c>
      <c r="R205" s="237" t="str">
        <f t="shared" ref="R205:R257" si="38">IF(B205="","",B205)</f>
        <v/>
      </c>
      <c r="S205" s="391" t="str">
        <f>IFERROR(INDEX('G-1 All Habitats'!$B$3:$B$129,MATCH(R205,'G-1 All Habitats'!$A$3:$A$129,0)),"")</f>
        <v/>
      </c>
      <c r="T205" s="497"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34"/>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35"/>
        <v/>
      </c>
      <c r="AE205" s="82"/>
      <c r="AF205" s="82"/>
      <c r="AG205" s="506"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43">IF(E205="","",IF(AG205="Check details - Is there evidence that habitat has reached target condition? ⚠","Low Difficulty - only applicable if all habitat created before losses ⚠","Standard difficulty applied"))</f>
        <v/>
      </c>
      <c r="AL205" s="506" t="str">
        <f t="shared" ref="AL205:AL257" si="44">(IF(AND(AK205="Standard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36"/>
        <v/>
      </c>
      <c r="AO205" s="238"/>
      <c r="AP205" s="239"/>
    </row>
    <row r="206" spans="1:42" x14ac:dyDescent="0.3">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t="str">
        <f t="shared" si="37"/>
        <v/>
      </c>
      <c r="R206" s="237" t="str">
        <f t="shared" si="38"/>
        <v/>
      </c>
      <c r="S206" s="391" t="str">
        <f>IFERROR(INDEX('G-1 All Habitats'!$B$3:$B$129,MATCH(R206,'G-1 All Habitats'!$A$3:$A$129,0)),"")</f>
        <v/>
      </c>
      <c r="T206" s="497" t="str">
        <f t="shared" si="39"/>
        <v/>
      </c>
      <c r="U206" s="498" t="str">
        <f t="shared" si="40"/>
        <v/>
      </c>
      <c r="V206" s="536" t="str">
        <f t="shared" si="34"/>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35"/>
        <v/>
      </c>
      <c r="AE206" s="82"/>
      <c r="AF206" s="82"/>
      <c r="AG206" s="506" t="str">
        <f t="shared" si="41"/>
        <v/>
      </c>
      <c r="AH206" s="520" t="str">
        <f t="shared" si="42"/>
        <v/>
      </c>
      <c r="AI206" s="521" t="str">
        <f>IF(AH206="Check Data","Check Data",IFERROR(VLOOKUP(AH206,'G-4 Temporal multipliers'!$A$4:$C$36,3,FALSE),""))</f>
        <v/>
      </c>
      <c r="AJ206" s="497" t="str">
        <f>IF(S206="","",VLOOKUP(S206,'G-3 Multipliers'!$A$2:$E$129,4,FALSE))</f>
        <v/>
      </c>
      <c r="AK206" s="506" t="str">
        <f t="shared" si="43"/>
        <v/>
      </c>
      <c r="AL206" s="506" t="str">
        <f t="shared" si="44"/>
        <v/>
      </c>
      <c r="AM206" s="539" t="str">
        <f>IFERROR(IF(F206="","",IF(AH206="Check Data ⚠","Check Data ⚠",VLOOKUP(AL206, 'G-3 Multipliers'!$P$2:$Q$6,2,FALSE))),"")</f>
        <v/>
      </c>
      <c r="AN206" s="512" t="str">
        <f t="shared" si="36"/>
        <v/>
      </c>
      <c r="AO206" s="238"/>
      <c r="AP206" s="239"/>
    </row>
    <row r="207" spans="1:42" x14ac:dyDescent="0.3">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t="str">
        <f t="shared" si="37"/>
        <v/>
      </c>
      <c r="R207" s="237" t="str">
        <f t="shared" si="38"/>
        <v/>
      </c>
      <c r="S207" s="391" t="str">
        <f>IFERROR(INDEX('G-1 All Habitats'!$B$3:$B$129,MATCH(R207,'G-1 All Habitats'!$A$3:$A$129,0)),"")</f>
        <v/>
      </c>
      <c r="T207" s="497" t="str">
        <f t="shared" si="39"/>
        <v/>
      </c>
      <c r="U207" s="498" t="str">
        <f t="shared" si="40"/>
        <v/>
      </c>
      <c r="V207" s="536" t="str">
        <f t="shared" si="34"/>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35"/>
        <v/>
      </c>
      <c r="AE207" s="82"/>
      <c r="AF207" s="82"/>
      <c r="AG207" s="506" t="str">
        <f t="shared" si="41"/>
        <v/>
      </c>
      <c r="AH207" s="520" t="str">
        <f t="shared" si="42"/>
        <v/>
      </c>
      <c r="AI207" s="521" t="str">
        <f>IF(AH207="Check Data","Check Data",IFERROR(VLOOKUP(AH207,'G-4 Temporal multipliers'!$A$4:$C$36,3,FALSE),""))</f>
        <v/>
      </c>
      <c r="AJ207" s="497" t="str">
        <f>IF(S207="","",VLOOKUP(S207,'G-3 Multipliers'!$A$2:$E$129,4,FALSE))</f>
        <v/>
      </c>
      <c r="AK207" s="506" t="str">
        <f t="shared" si="43"/>
        <v/>
      </c>
      <c r="AL207" s="506" t="str">
        <f t="shared" si="44"/>
        <v/>
      </c>
      <c r="AM207" s="539" t="str">
        <f>IFERROR(IF(F207="","",IF(AH207="Check Data ⚠","Check Data ⚠",VLOOKUP(AL207, 'G-3 Multipliers'!$P$2:$Q$6,2,FALSE))),"")</f>
        <v/>
      </c>
      <c r="AN207" s="512" t="str">
        <f t="shared" si="36"/>
        <v/>
      </c>
      <c r="AO207" s="238"/>
      <c r="AP207" s="239"/>
    </row>
    <row r="208" spans="1:42" x14ac:dyDescent="0.3">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t="str">
        <f t="shared" si="37"/>
        <v/>
      </c>
      <c r="R208" s="237" t="str">
        <f t="shared" si="38"/>
        <v/>
      </c>
      <c r="S208" s="391" t="str">
        <f>IFERROR(INDEX('G-1 All Habitats'!$B$3:$B$129,MATCH(R208,'G-1 All Habitats'!$A$3:$A$129,0)),"")</f>
        <v/>
      </c>
      <c r="T208" s="497" t="str">
        <f t="shared" si="39"/>
        <v/>
      </c>
      <c r="U208" s="498" t="str">
        <f t="shared" si="40"/>
        <v/>
      </c>
      <c r="V208" s="536" t="str">
        <f t="shared" si="34"/>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35"/>
        <v/>
      </c>
      <c r="AE208" s="82"/>
      <c r="AF208" s="82"/>
      <c r="AG208" s="506" t="str">
        <f t="shared" si="41"/>
        <v/>
      </c>
      <c r="AH208" s="520" t="str">
        <f t="shared" si="42"/>
        <v/>
      </c>
      <c r="AI208" s="521" t="str">
        <f>IF(AH208="Check Data","Check Data",IFERROR(VLOOKUP(AH208,'G-4 Temporal multipliers'!$A$4:$C$36,3,FALSE),""))</f>
        <v/>
      </c>
      <c r="AJ208" s="497" t="str">
        <f>IF(S208="","",VLOOKUP(S208,'G-3 Multipliers'!$A$2:$E$129,4,FALSE))</f>
        <v/>
      </c>
      <c r="AK208" s="506" t="str">
        <f t="shared" si="43"/>
        <v/>
      </c>
      <c r="AL208" s="506" t="str">
        <f t="shared" si="44"/>
        <v/>
      </c>
      <c r="AM208" s="539" t="str">
        <f>IFERROR(IF(F208="","",IF(AH208="Check Data ⚠","Check Data ⚠",VLOOKUP(AL208, 'G-3 Multipliers'!$P$2:$Q$6,2,FALSE))),"")</f>
        <v/>
      </c>
      <c r="AN208" s="512" t="str">
        <f t="shared" si="36"/>
        <v/>
      </c>
      <c r="AO208" s="238"/>
      <c r="AP208" s="239"/>
    </row>
    <row r="209" spans="1:42" x14ac:dyDescent="0.3">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t="str">
        <f t="shared" si="37"/>
        <v/>
      </c>
      <c r="R209" s="237" t="str">
        <f t="shared" si="38"/>
        <v/>
      </c>
      <c r="S209" s="391" t="str">
        <f>IFERROR(INDEX('G-1 All Habitats'!$B$3:$B$129,MATCH(R209,'G-1 All Habitats'!$A$3:$A$129,0)),"")</f>
        <v/>
      </c>
      <c r="T209" s="497" t="str">
        <f t="shared" si="39"/>
        <v/>
      </c>
      <c r="U209" s="498" t="str">
        <f t="shared" si="40"/>
        <v/>
      </c>
      <c r="V209" s="536" t="str">
        <f t="shared" si="34"/>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35"/>
        <v/>
      </c>
      <c r="AE209" s="82"/>
      <c r="AF209" s="82"/>
      <c r="AG209" s="506" t="str">
        <f t="shared" si="41"/>
        <v/>
      </c>
      <c r="AH209" s="520" t="str">
        <f t="shared" si="42"/>
        <v/>
      </c>
      <c r="AI209" s="521" t="str">
        <f>IF(AH209="Check Data","Check Data",IFERROR(VLOOKUP(AH209,'G-4 Temporal multipliers'!$A$4:$C$36,3,FALSE),""))</f>
        <v/>
      </c>
      <c r="AJ209" s="497" t="str">
        <f>IF(S209="","",VLOOKUP(S209,'G-3 Multipliers'!$A$2:$E$129,4,FALSE))</f>
        <v/>
      </c>
      <c r="AK209" s="506" t="str">
        <f t="shared" si="43"/>
        <v/>
      </c>
      <c r="AL209" s="506" t="str">
        <f t="shared" si="44"/>
        <v/>
      </c>
      <c r="AM209" s="539" t="str">
        <f>IFERROR(IF(F209="","",IF(AH209="Check Data ⚠","Check Data ⚠",VLOOKUP(AL209, 'G-3 Multipliers'!$P$2:$Q$6,2,FALSE))),"")</f>
        <v/>
      </c>
      <c r="AN209" s="512" t="str">
        <f t="shared" si="36"/>
        <v/>
      </c>
      <c r="AO209" s="238"/>
      <c r="AP209" s="239"/>
    </row>
    <row r="210" spans="1:42" x14ac:dyDescent="0.3">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t="str">
        <f t="shared" si="37"/>
        <v/>
      </c>
      <c r="R210" s="237" t="str">
        <f t="shared" si="38"/>
        <v/>
      </c>
      <c r="S210" s="391" t="str">
        <f>IFERROR(INDEX('G-1 All Habitats'!$B$3:$B$129,MATCH(R210,'G-1 All Habitats'!$A$3:$A$129,0)),"")</f>
        <v/>
      </c>
      <c r="T210" s="497" t="str">
        <f t="shared" si="39"/>
        <v/>
      </c>
      <c r="U210" s="498" t="str">
        <f t="shared" si="40"/>
        <v/>
      </c>
      <c r="V210" s="536" t="str">
        <f t="shared" si="34"/>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35"/>
        <v/>
      </c>
      <c r="AE210" s="82"/>
      <c r="AF210" s="82"/>
      <c r="AG210" s="506" t="str">
        <f t="shared" si="41"/>
        <v/>
      </c>
      <c r="AH210" s="520" t="str">
        <f t="shared" si="42"/>
        <v/>
      </c>
      <c r="AI210" s="521" t="str">
        <f>IF(AH210="Check Data","Check Data",IFERROR(VLOOKUP(AH210,'G-4 Temporal multipliers'!$A$4:$C$36,3,FALSE),""))</f>
        <v/>
      </c>
      <c r="AJ210" s="497" t="str">
        <f>IF(S210="","",VLOOKUP(S210,'G-3 Multipliers'!$A$2:$E$129,4,FALSE))</f>
        <v/>
      </c>
      <c r="AK210" s="506" t="str">
        <f t="shared" si="43"/>
        <v/>
      </c>
      <c r="AL210" s="506" t="str">
        <f t="shared" si="44"/>
        <v/>
      </c>
      <c r="AM210" s="539" t="str">
        <f>IFERROR(IF(F210="","",IF(AH210="Check Data ⚠","Check Data ⚠",VLOOKUP(AL210, 'G-3 Multipliers'!$P$2:$Q$6,2,FALSE))),"")</f>
        <v/>
      </c>
      <c r="AN210" s="512" t="str">
        <f t="shared" si="36"/>
        <v/>
      </c>
      <c r="AO210" s="238"/>
      <c r="AP210" s="239"/>
    </row>
    <row r="211" spans="1:42" x14ac:dyDescent="0.3">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t="str">
        <f t="shared" si="37"/>
        <v/>
      </c>
      <c r="R211" s="237" t="str">
        <f t="shared" si="38"/>
        <v/>
      </c>
      <c r="S211" s="391" t="str">
        <f>IFERROR(INDEX('G-1 All Habitats'!$B$3:$B$129,MATCH(R211,'G-1 All Habitats'!$A$3:$A$129,0)),"")</f>
        <v/>
      </c>
      <c r="T211" s="497" t="str">
        <f t="shared" si="39"/>
        <v/>
      </c>
      <c r="U211" s="498" t="str">
        <f t="shared" si="40"/>
        <v/>
      </c>
      <c r="V211" s="536" t="str">
        <f t="shared" si="34"/>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35"/>
        <v/>
      </c>
      <c r="AE211" s="82"/>
      <c r="AF211" s="82"/>
      <c r="AG211" s="506" t="str">
        <f t="shared" si="41"/>
        <v/>
      </c>
      <c r="AH211" s="520" t="str">
        <f t="shared" si="42"/>
        <v/>
      </c>
      <c r="AI211" s="521" t="str">
        <f>IF(AH211="Check Data","Check Data",IFERROR(VLOOKUP(AH211,'G-4 Temporal multipliers'!$A$4:$C$36,3,FALSE),""))</f>
        <v/>
      </c>
      <c r="AJ211" s="497" t="str">
        <f>IF(S211="","",VLOOKUP(S211,'G-3 Multipliers'!$A$2:$E$129,4,FALSE))</f>
        <v/>
      </c>
      <c r="AK211" s="506" t="str">
        <f t="shared" si="43"/>
        <v/>
      </c>
      <c r="AL211" s="506" t="str">
        <f t="shared" si="44"/>
        <v/>
      </c>
      <c r="AM211" s="539" t="str">
        <f>IFERROR(IF(F211="","",IF(AH211="Check Data ⚠","Check Data ⚠",VLOOKUP(AL211, 'G-3 Multipliers'!$P$2:$Q$6,2,FALSE))),"")</f>
        <v/>
      </c>
      <c r="AN211" s="512" t="str">
        <f t="shared" si="36"/>
        <v/>
      </c>
      <c r="AO211" s="238"/>
      <c r="AP211" s="239"/>
    </row>
    <row r="212" spans="1:42" x14ac:dyDescent="0.3">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t="str">
        <f t="shared" si="37"/>
        <v/>
      </c>
      <c r="R212" s="237" t="str">
        <f t="shared" si="38"/>
        <v/>
      </c>
      <c r="S212" s="391" t="str">
        <f>IFERROR(INDEX('G-1 All Habitats'!$B$3:$B$129,MATCH(R212,'G-1 All Habitats'!$A$3:$A$129,0)),"")</f>
        <v/>
      </c>
      <c r="T212" s="497" t="str">
        <f t="shared" si="39"/>
        <v/>
      </c>
      <c r="U212" s="498" t="str">
        <f t="shared" si="40"/>
        <v/>
      </c>
      <c r="V212" s="536" t="str">
        <f t="shared" si="34"/>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35"/>
        <v/>
      </c>
      <c r="AE212" s="82"/>
      <c r="AF212" s="82"/>
      <c r="AG212" s="506" t="str">
        <f t="shared" si="41"/>
        <v/>
      </c>
      <c r="AH212" s="520" t="str">
        <f t="shared" si="42"/>
        <v/>
      </c>
      <c r="AI212" s="521" t="str">
        <f>IF(AH212="Check Data","Check Data",IFERROR(VLOOKUP(AH212,'G-4 Temporal multipliers'!$A$4:$C$36,3,FALSE),""))</f>
        <v/>
      </c>
      <c r="AJ212" s="497" t="str">
        <f>IF(S212="","",VLOOKUP(S212,'G-3 Multipliers'!$A$2:$E$129,4,FALSE))</f>
        <v/>
      </c>
      <c r="AK212" s="506" t="str">
        <f t="shared" si="43"/>
        <v/>
      </c>
      <c r="AL212" s="506" t="str">
        <f t="shared" si="44"/>
        <v/>
      </c>
      <c r="AM212" s="539" t="str">
        <f>IFERROR(IF(F212="","",IF(AH212="Check Data ⚠","Check Data ⚠",VLOOKUP(AL212, 'G-3 Multipliers'!$P$2:$Q$6,2,FALSE))),"")</f>
        <v/>
      </c>
      <c r="AN212" s="512" t="str">
        <f t="shared" si="36"/>
        <v/>
      </c>
      <c r="AO212" s="238"/>
      <c r="AP212" s="239"/>
    </row>
    <row r="213" spans="1:42" x14ac:dyDescent="0.3">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t="str">
        <f t="shared" si="37"/>
        <v/>
      </c>
      <c r="R213" s="237" t="str">
        <f t="shared" si="38"/>
        <v/>
      </c>
      <c r="S213" s="391" t="str">
        <f>IFERROR(INDEX('G-1 All Habitats'!$B$3:$B$129,MATCH(R213,'G-1 All Habitats'!$A$3:$A$129,0)),"")</f>
        <v/>
      </c>
      <c r="T213" s="497" t="str">
        <f t="shared" si="39"/>
        <v/>
      </c>
      <c r="U213" s="498" t="str">
        <f t="shared" si="40"/>
        <v/>
      </c>
      <c r="V213" s="536" t="str">
        <f t="shared" si="34"/>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35"/>
        <v/>
      </c>
      <c r="AE213" s="82"/>
      <c r="AF213" s="82"/>
      <c r="AG213" s="506" t="str">
        <f t="shared" si="41"/>
        <v/>
      </c>
      <c r="AH213" s="520" t="str">
        <f t="shared" si="42"/>
        <v/>
      </c>
      <c r="AI213" s="521" t="str">
        <f>IF(AH213="Check Data","Check Data",IFERROR(VLOOKUP(AH213,'G-4 Temporal multipliers'!$A$4:$C$36,3,FALSE),""))</f>
        <v/>
      </c>
      <c r="AJ213" s="497" t="str">
        <f>IF(S213="","",VLOOKUP(S213,'G-3 Multipliers'!$A$2:$E$129,4,FALSE))</f>
        <v/>
      </c>
      <c r="AK213" s="506" t="str">
        <f t="shared" si="43"/>
        <v/>
      </c>
      <c r="AL213" s="506" t="str">
        <f t="shared" si="44"/>
        <v/>
      </c>
      <c r="AM213" s="539" t="str">
        <f>IFERROR(IF(F213="","",IF(AH213="Check Data ⚠","Check Data ⚠",VLOOKUP(AL213, 'G-3 Multipliers'!$P$2:$Q$6,2,FALSE))),"")</f>
        <v/>
      </c>
      <c r="AN213" s="512" t="str">
        <f t="shared" si="36"/>
        <v/>
      </c>
      <c r="AO213" s="238"/>
      <c r="AP213" s="239"/>
    </row>
    <row r="214" spans="1:42" x14ac:dyDescent="0.3">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t="str">
        <f t="shared" si="37"/>
        <v/>
      </c>
      <c r="R214" s="237" t="str">
        <f t="shared" si="38"/>
        <v/>
      </c>
      <c r="S214" s="391" t="str">
        <f>IFERROR(INDEX('G-1 All Habitats'!$B$3:$B$129,MATCH(R214,'G-1 All Habitats'!$A$3:$A$129,0)),"")</f>
        <v/>
      </c>
      <c r="T214" s="497" t="str">
        <f t="shared" si="39"/>
        <v/>
      </c>
      <c r="U214" s="498" t="str">
        <f t="shared" si="40"/>
        <v/>
      </c>
      <c r="V214" s="536" t="str">
        <f t="shared" si="34"/>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35"/>
        <v/>
      </c>
      <c r="AE214" s="82"/>
      <c r="AF214" s="82"/>
      <c r="AG214" s="506" t="str">
        <f t="shared" si="41"/>
        <v/>
      </c>
      <c r="AH214" s="520" t="str">
        <f t="shared" si="42"/>
        <v/>
      </c>
      <c r="AI214" s="521" t="str">
        <f>IF(AH214="Check Data","Check Data",IFERROR(VLOOKUP(AH214,'G-4 Temporal multipliers'!$A$4:$C$36,3,FALSE),""))</f>
        <v/>
      </c>
      <c r="AJ214" s="497" t="str">
        <f>IF(S214="","",VLOOKUP(S214,'G-3 Multipliers'!$A$2:$E$129,4,FALSE))</f>
        <v/>
      </c>
      <c r="AK214" s="506" t="str">
        <f t="shared" si="43"/>
        <v/>
      </c>
      <c r="AL214" s="506" t="str">
        <f t="shared" si="44"/>
        <v/>
      </c>
      <c r="AM214" s="539" t="str">
        <f>IFERROR(IF(F214="","",IF(AH214="Check Data ⚠","Check Data ⚠",VLOOKUP(AL214, 'G-3 Multipliers'!$P$2:$Q$6,2,FALSE))),"")</f>
        <v/>
      </c>
      <c r="AN214" s="512" t="str">
        <f t="shared" si="36"/>
        <v/>
      </c>
      <c r="AO214" s="238"/>
      <c r="AP214" s="239"/>
    </row>
    <row r="215" spans="1:42" x14ac:dyDescent="0.3">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t="str">
        <f t="shared" si="37"/>
        <v/>
      </c>
      <c r="R215" s="237" t="str">
        <f t="shared" si="38"/>
        <v/>
      </c>
      <c r="S215" s="391" t="str">
        <f>IFERROR(INDEX('G-1 All Habitats'!$B$3:$B$129,MATCH(R215,'G-1 All Habitats'!$A$3:$A$129,0)),"")</f>
        <v/>
      </c>
      <c r="T215" s="497" t="str">
        <f t="shared" si="39"/>
        <v/>
      </c>
      <c r="U215" s="498" t="str">
        <f t="shared" si="40"/>
        <v/>
      </c>
      <c r="V215" s="536" t="str">
        <f t="shared" si="34"/>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35"/>
        <v/>
      </c>
      <c r="AE215" s="82"/>
      <c r="AF215" s="82"/>
      <c r="AG215" s="506" t="str">
        <f t="shared" si="41"/>
        <v/>
      </c>
      <c r="AH215" s="520" t="str">
        <f t="shared" si="42"/>
        <v/>
      </c>
      <c r="AI215" s="521" t="str">
        <f>IF(AH215="Check Data","Check Data",IFERROR(VLOOKUP(AH215,'G-4 Temporal multipliers'!$A$4:$C$36,3,FALSE),""))</f>
        <v/>
      </c>
      <c r="AJ215" s="497" t="str">
        <f>IF(S215="","",VLOOKUP(S215,'G-3 Multipliers'!$A$2:$E$129,4,FALSE))</f>
        <v/>
      </c>
      <c r="AK215" s="506" t="str">
        <f t="shared" si="43"/>
        <v/>
      </c>
      <c r="AL215" s="506" t="str">
        <f t="shared" si="44"/>
        <v/>
      </c>
      <c r="AM215" s="539" t="str">
        <f>IFERROR(IF(F215="","",IF(AH215="Check Data ⚠","Check Data ⚠",VLOOKUP(AL215, 'G-3 Multipliers'!$P$2:$Q$6,2,FALSE))),"")</f>
        <v/>
      </c>
      <c r="AN215" s="512" t="str">
        <f t="shared" si="36"/>
        <v/>
      </c>
      <c r="AO215" s="238"/>
      <c r="AP215" s="239"/>
    </row>
    <row r="216" spans="1:42" x14ac:dyDescent="0.3">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t="str">
        <f t="shared" si="37"/>
        <v/>
      </c>
      <c r="R216" s="237" t="str">
        <f t="shared" si="38"/>
        <v/>
      </c>
      <c r="S216" s="391" t="str">
        <f>IFERROR(INDEX('G-1 All Habitats'!$B$3:$B$129,MATCH(R216,'G-1 All Habitats'!$A$3:$A$129,0)),"")</f>
        <v/>
      </c>
      <c r="T216" s="497" t="str">
        <f t="shared" si="39"/>
        <v/>
      </c>
      <c r="U216" s="498" t="str">
        <f t="shared" si="40"/>
        <v/>
      </c>
      <c r="V216" s="536" t="str">
        <f t="shared" si="34"/>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35"/>
        <v/>
      </c>
      <c r="AE216" s="82"/>
      <c r="AF216" s="82"/>
      <c r="AG216" s="506" t="str">
        <f t="shared" si="41"/>
        <v/>
      </c>
      <c r="AH216" s="520" t="str">
        <f t="shared" si="42"/>
        <v/>
      </c>
      <c r="AI216" s="521" t="str">
        <f>IF(AH216="Check Data","Check Data",IFERROR(VLOOKUP(AH216,'G-4 Temporal multipliers'!$A$4:$C$36,3,FALSE),""))</f>
        <v/>
      </c>
      <c r="AJ216" s="497" t="str">
        <f>IF(S216="","",VLOOKUP(S216,'G-3 Multipliers'!$A$2:$E$129,4,FALSE))</f>
        <v/>
      </c>
      <c r="AK216" s="506" t="str">
        <f t="shared" si="43"/>
        <v/>
      </c>
      <c r="AL216" s="506" t="str">
        <f t="shared" si="44"/>
        <v/>
      </c>
      <c r="AM216" s="539" t="str">
        <f>IFERROR(IF(F216="","",IF(AH216="Check Data ⚠","Check Data ⚠",VLOOKUP(AL216, 'G-3 Multipliers'!$P$2:$Q$6,2,FALSE))),"")</f>
        <v/>
      </c>
      <c r="AN216" s="512" t="str">
        <f t="shared" si="36"/>
        <v/>
      </c>
      <c r="AO216" s="238"/>
      <c r="AP216" s="239"/>
    </row>
    <row r="217" spans="1:42" x14ac:dyDescent="0.3">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t="str">
        <f t="shared" si="37"/>
        <v/>
      </c>
      <c r="R217" s="237" t="str">
        <f t="shared" si="38"/>
        <v/>
      </c>
      <c r="S217" s="391" t="str">
        <f>IFERROR(INDEX('G-1 All Habitats'!$B$3:$B$129,MATCH(R217,'G-1 All Habitats'!$A$3:$A$129,0)),"")</f>
        <v/>
      </c>
      <c r="T217" s="497" t="str">
        <f t="shared" si="39"/>
        <v/>
      </c>
      <c r="U217" s="498" t="str">
        <f t="shared" si="40"/>
        <v/>
      </c>
      <c r="V217" s="536" t="str">
        <f t="shared" si="34"/>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35"/>
        <v/>
      </c>
      <c r="AE217" s="82"/>
      <c r="AF217" s="82"/>
      <c r="AG217" s="506" t="str">
        <f t="shared" si="41"/>
        <v/>
      </c>
      <c r="AH217" s="520" t="str">
        <f t="shared" si="42"/>
        <v/>
      </c>
      <c r="AI217" s="521" t="str">
        <f>IF(AH217="Check Data","Check Data",IFERROR(VLOOKUP(AH217,'G-4 Temporal multipliers'!$A$4:$C$36,3,FALSE),""))</f>
        <v/>
      </c>
      <c r="AJ217" s="497" t="str">
        <f>IF(S217="","",VLOOKUP(S217,'G-3 Multipliers'!$A$2:$E$129,4,FALSE))</f>
        <v/>
      </c>
      <c r="AK217" s="506" t="str">
        <f t="shared" si="43"/>
        <v/>
      </c>
      <c r="AL217" s="506" t="str">
        <f t="shared" si="44"/>
        <v/>
      </c>
      <c r="AM217" s="539" t="str">
        <f>IFERROR(IF(F217="","",IF(AH217="Check Data ⚠","Check Data ⚠",VLOOKUP(AL217, 'G-3 Multipliers'!$P$2:$Q$6,2,FALSE))),"")</f>
        <v/>
      </c>
      <c r="AN217" s="512" t="str">
        <f t="shared" si="36"/>
        <v/>
      </c>
      <c r="AO217" s="238"/>
      <c r="AP217" s="239"/>
    </row>
    <row r="218" spans="1:42" x14ac:dyDescent="0.3">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t="str">
        <f t="shared" si="37"/>
        <v/>
      </c>
      <c r="R218" s="237" t="str">
        <f t="shared" si="38"/>
        <v/>
      </c>
      <c r="S218" s="391" t="str">
        <f>IFERROR(INDEX('G-1 All Habitats'!$B$3:$B$129,MATCH(R218,'G-1 All Habitats'!$A$3:$A$129,0)),"")</f>
        <v/>
      </c>
      <c r="T218" s="497" t="str">
        <f t="shared" si="39"/>
        <v/>
      </c>
      <c r="U218" s="498" t="str">
        <f t="shared" si="40"/>
        <v/>
      </c>
      <c r="V218" s="536" t="str">
        <f t="shared" si="34"/>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35"/>
        <v/>
      </c>
      <c r="AE218" s="82"/>
      <c r="AF218" s="82"/>
      <c r="AG218" s="506" t="str">
        <f t="shared" si="41"/>
        <v/>
      </c>
      <c r="AH218" s="520" t="str">
        <f t="shared" si="42"/>
        <v/>
      </c>
      <c r="AI218" s="521" t="str">
        <f>IF(AH218="Check Data","Check Data",IFERROR(VLOOKUP(AH218,'G-4 Temporal multipliers'!$A$4:$C$36,3,FALSE),""))</f>
        <v/>
      </c>
      <c r="AJ218" s="497" t="str">
        <f>IF(S218="","",VLOOKUP(S218,'G-3 Multipliers'!$A$2:$E$129,4,FALSE))</f>
        <v/>
      </c>
      <c r="AK218" s="506" t="str">
        <f t="shared" si="43"/>
        <v/>
      </c>
      <c r="AL218" s="506" t="str">
        <f t="shared" si="44"/>
        <v/>
      </c>
      <c r="AM218" s="539" t="str">
        <f>IFERROR(IF(F218="","",IF(AH218="Check Data ⚠","Check Data ⚠",VLOOKUP(AL218, 'G-3 Multipliers'!$P$2:$Q$6,2,FALSE))),"")</f>
        <v/>
      </c>
      <c r="AN218" s="512" t="str">
        <f t="shared" si="36"/>
        <v/>
      </c>
      <c r="AO218" s="238"/>
      <c r="AP218" s="239"/>
    </row>
    <row r="219" spans="1:42" x14ac:dyDescent="0.3">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t="str">
        <f t="shared" si="37"/>
        <v/>
      </c>
      <c r="R219" s="237" t="str">
        <f t="shared" si="38"/>
        <v/>
      </c>
      <c r="S219" s="391" t="str">
        <f>IFERROR(INDEX('G-1 All Habitats'!$B$3:$B$129,MATCH(R219,'G-1 All Habitats'!$A$3:$A$129,0)),"")</f>
        <v/>
      </c>
      <c r="T219" s="497" t="str">
        <f t="shared" si="39"/>
        <v/>
      </c>
      <c r="U219" s="498" t="str">
        <f t="shared" si="40"/>
        <v/>
      </c>
      <c r="V219" s="536" t="str">
        <f t="shared" si="34"/>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35"/>
        <v/>
      </c>
      <c r="AE219" s="82"/>
      <c r="AF219" s="82"/>
      <c r="AG219" s="506" t="str">
        <f t="shared" si="41"/>
        <v/>
      </c>
      <c r="AH219" s="520" t="str">
        <f t="shared" si="42"/>
        <v/>
      </c>
      <c r="AI219" s="521" t="str">
        <f>IF(AH219="Check Data","Check Data",IFERROR(VLOOKUP(AH219,'G-4 Temporal multipliers'!$A$4:$C$36,3,FALSE),""))</f>
        <v/>
      </c>
      <c r="AJ219" s="497" t="str">
        <f>IF(S219="","",VLOOKUP(S219,'G-3 Multipliers'!$A$2:$E$129,4,FALSE))</f>
        <v/>
      </c>
      <c r="AK219" s="506" t="str">
        <f t="shared" si="43"/>
        <v/>
      </c>
      <c r="AL219" s="506" t="str">
        <f t="shared" si="44"/>
        <v/>
      </c>
      <c r="AM219" s="539" t="str">
        <f>IFERROR(IF(F219="","",IF(AH219="Check Data ⚠","Check Data ⚠",VLOOKUP(AL219, 'G-3 Multipliers'!$P$2:$Q$6,2,FALSE))),"")</f>
        <v/>
      </c>
      <c r="AN219" s="512" t="str">
        <f t="shared" si="36"/>
        <v/>
      </c>
      <c r="AO219" s="238"/>
      <c r="AP219" s="239"/>
    </row>
    <row r="220" spans="1:42" x14ac:dyDescent="0.3">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t="str">
        <f t="shared" si="37"/>
        <v/>
      </c>
      <c r="R220" s="237" t="str">
        <f t="shared" si="38"/>
        <v/>
      </c>
      <c r="S220" s="391" t="str">
        <f>IFERROR(INDEX('G-1 All Habitats'!$B$3:$B$129,MATCH(R220,'G-1 All Habitats'!$A$3:$A$129,0)),"")</f>
        <v/>
      </c>
      <c r="T220" s="497" t="str">
        <f t="shared" si="39"/>
        <v/>
      </c>
      <c r="U220" s="498" t="str">
        <f t="shared" si="40"/>
        <v/>
      </c>
      <c r="V220" s="536" t="str">
        <f t="shared" si="34"/>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35"/>
        <v/>
      </c>
      <c r="AE220" s="82"/>
      <c r="AF220" s="82"/>
      <c r="AG220" s="506" t="str">
        <f t="shared" si="41"/>
        <v/>
      </c>
      <c r="AH220" s="520" t="str">
        <f t="shared" si="42"/>
        <v/>
      </c>
      <c r="AI220" s="521" t="str">
        <f>IF(AH220="Check Data","Check Data",IFERROR(VLOOKUP(AH220,'G-4 Temporal multipliers'!$A$4:$C$36,3,FALSE),""))</f>
        <v/>
      </c>
      <c r="AJ220" s="497" t="str">
        <f>IF(S220="","",VLOOKUP(S220,'G-3 Multipliers'!$A$2:$E$129,4,FALSE))</f>
        <v/>
      </c>
      <c r="AK220" s="506" t="str">
        <f t="shared" si="43"/>
        <v/>
      </c>
      <c r="AL220" s="506" t="str">
        <f t="shared" si="44"/>
        <v/>
      </c>
      <c r="AM220" s="539" t="str">
        <f>IFERROR(IF(F220="","",IF(AH220="Check Data ⚠","Check Data ⚠",VLOOKUP(AL220, 'G-3 Multipliers'!$P$2:$Q$6,2,FALSE))),"")</f>
        <v/>
      </c>
      <c r="AN220" s="512" t="str">
        <f t="shared" si="36"/>
        <v/>
      </c>
      <c r="AO220" s="238"/>
      <c r="AP220" s="239"/>
    </row>
    <row r="221" spans="1:42" x14ac:dyDescent="0.3">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t="str">
        <f t="shared" si="37"/>
        <v/>
      </c>
      <c r="R221" s="237" t="str">
        <f t="shared" si="38"/>
        <v/>
      </c>
      <c r="S221" s="391" t="str">
        <f>IFERROR(INDEX('G-1 All Habitats'!$B$3:$B$129,MATCH(R221,'G-1 All Habitats'!$A$3:$A$129,0)),"")</f>
        <v/>
      </c>
      <c r="T221" s="497" t="str">
        <f t="shared" si="39"/>
        <v/>
      </c>
      <c r="U221" s="498" t="str">
        <f t="shared" si="40"/>
        <v/>
      </c>
      <c r="V221" s="536" t="str">
        <f t="shared" si="34"/>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35"/>
        <v/>
      </c>
      <c r="AE221" s="82"/>
      <c r="AF221" s="82"/>
      <c r="AG221" s="506" t="str">
        <f t="shared" si="41"/>
        <v/>
      </c>
      <c r="AH221" s="520" t="str">
        <f t="shared" si="42"/>
        <v/>
      </c>
      <c r="AI221" s="521" t="str">
        <f>IF(AH221="Check Data","Check Data",IFERROR(VLOOKUP(AH221,'G-4 Temporal multipliers'!$A$4:$C$36,3,FALSE),""))</f>
        <v/>
      </c>
      <c r="AJ221" s="497" t="str">
        <f>IF(S221="","",VLOOKUP(S221,'G-3 Multipliers'!$A$2:$E$129,4,FALSE))</f>
        <v/>
      </c>
      <c r="AK221" s="506" t="str">
        <f t="shared" si="43"/>
        <v/>
      </c>
      <c r="AL221" s="506" t="str">
        <f t="shared" si="44"/>
        <v/>
      </c>
      <c r="AM221" s="539" t="str">
        <f>IFERROR(IF(F221="","",IF(AH221="Check Data ⚠","Check Data ⚠",VLOOKUP(AL221, 'G-3 Multipliers'!$P$2:$Q$6,2,FALSE))),"")</f>
        <v/>
      </c>
      <c r="AN221" s="512" t="str">
        <f t="shared" si="36"/>
        <v/>
      </c>
      <c r="AO221" s="238"/>
      <c r="AP221" s="239"/>
    </row>
    <row r="222" spans="1:42" x14ac:dyDescent="0.3">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t="str">
        <f t="shared" si="37"/>
        <v/>
      </c>
      <c r="R222" s="237" t="str">
        <f t="shared" si="38"/>
        <v/>
      </c>
      <c r="S222" s="391" t="str">
        <f>IFERROR(INDEX('G-1 All Habitats'!$B$3:$B$129,MATCH(R222,'G-1 All Habitats'!$A$3:$A$129,0)),"")</f>
        <v/>
      </c>
      <c r="T222" s="497" t="str">
        <f t="shared" si="39"/>
        <v/>
      </c>
      <c r="U222" s="498" t="str">
        <f t="shared" si="40"/>
        <v/>
      </c>
      <c r="V222" s="536" t="str">
        <f t="shared" si="34"/>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35"/>
        <v/>
      </c>
      <c r="AE222" s="82"/>
      <c r="AF222" s="82"/>
      <c r="AG222" s="506" t="str">
        <f t="shared" si="41"/>
        <v/>
      </c>
      <c r="AH222" s="520" t="str">
        <f t="shared" si="42"/>
        <v/>
      </c>
      <c r="AI222" s="521" t="str">
        <f>IF(AH222="Check Data","Check Data",IFERROR(VLOOKUP(AH222,'G-4 Temporal multipliers'!$A$4:$C$36,3,FALSE),""))</f>
        <v/>
      </c>
      <c r="AJ222" s="497" t="str">
        <f>IF(S222="","",VLOOKUP(S222,'G-3 Multipliers'!$A$2:$E$129,4,FALSE))</f>
        <v/>
      </c>
      <c r="AK222" s="506" t="str">
        <f t="shared" si="43"/>
        <v/>
      </c>
      <c r="AL222" s="506" t="str">
        <f t="shared" si="44"/>
        <v/>
      </c>
      <c r="AM222" s="539" t="str">
        <f>IFERROR(IF(F222="","",IF(AH222="Check Data ⚠","Check Data ⚠",VLOOKUP(AL222, 'G-3 Multipliers'!$P$2:$Q$6,2,FALSE))),"")</f>
        <v/>
      </c>
      <c r="AN222" s="512" t="str">
        <f t="shared" si="36"/>
        <v/>
      </c>
      <c r="AO222" s="238"/>
      <c r="AP222" s="239"/>
    </row>
    <row r="223" spans="1:42" x14ac:dyDescent="0.3">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t="str">
        <f t="shared" si="37"/>
        <v/>
      </c>
      <c r="R223" s="237" t="str">
        <f t="shared" si="38"/>
        <v/>
      </c>
      <c r="S223" s="391" t="str">
        <f>IFERROR(INDEX('G-1 All Habitats'!$B$3:$B$129,MATCH(R223,'G-1 All Habitats'!$A$3:$A$129,0)),"")</f>
        <v/>
      </c>
      <c r="T223" s="497" t="str">
        <f t="shared" si="39"/>
        <v/>
      </c>
      <c r="U223" s="498" t="str">
        <f t="shared" si="40"/>
        <v/>
      </c>
      <c r="V223" s="536" t="str">
        <f t="shared" si="34"/>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35"/>
        <v/>
      </c>
      <c r="AE223" s="82"/>
      <c r="AF223" s="82"/>
      <c r="AG223" s="506" t="str">
        <f t="shared" si="41"/>
        <v/>
      </c>
      <c r="AH223" s="520" t="str">
        <f t="shared" si="42"/>
        <v/>
      </c>
      <c r="AI223" s="521" t="str">
        <f>IF(AH223="Check Data","Check Data",IFERROR(VLOOKUP(AH223,'G-4 Temporal multipliers'!$A$4:$C$36,3,FALSE),""))</f>
        <v/>
      </c>
      <c r="AJ223" s="497" t="str">
        <f>IF(S223="","",VLOOKUP(S223,'G-3 Multipliers'!$A$2:$E$129,4,FALSE))</f>
        <v/>
      </c>
      <c r="AK223" s="506" t="str">
        <f t="shared" si="43"/>
        <v/>
      </c>
      <c r="AL223" s="506" t="str">
        <f t="shared" si="44"/>
        <v/>
      </c>
      <c r="AM223" s="539" t="str">
        <f>IFERROR(IF(F223="","",IF(AH223="Check Data ⚠","Check Data ⚠",VLOOKUP(AL223, 'G-3 Multipliers'!$P$2:$Q$6,2,FALSE))),"")</f>
        <v/>
      </c>
      <c r="AN223" s="512" t="str">
        <f t="shared" si="36"/>
        <v/>
      </c>
      <c r="AO223" s="238"/>
      <c r="AP223" s="239"/>
    </row>
    <row r="224" spans="1:42" x14ac:dyDescent="0.3">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t="str">
        <f t="shared" si="37"/>
        <v/>
      </c>
      <c r="R224" s="237" t="str">
        <f t="shared" si="38"/>
        <v/>
      </c>
      <c r="S224" s="391" t="str">
        <f>IFERROR(INDEX('G-1 All Habitats'!$B$3:$B$129,MATCH(R224,'G-1 All Habitats'!$A$3:$A$129,0)),"")</f>
        <v/>
      </c>
      <c r="T224" s="497" t="str">
        <f t="shared" si="39"/>
        <v/>
      </c>
      <c r="U224" s="498" t="str">
        <f t="shared" si="40"/>
        <v/>
      </c>
      <c r="V224" s="536" t="str">
        <f t="shared" si="34"/>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35"/>
        <v/>
      </c>
      <c r="AE224" s="82"/>
      <c r="AF224" s="82"/>
      <c r="AG224" s="506" t="str">
        <f t="shared" si="41"/>
        <v/>
      </c>
      <c r="AH224" s="520" t="str">
        <f t="shared" si="42"/>
        <v/>
      </c>
      <c r="AI224" s="521" t="str">
        <f>IF(AH224="Check Data","Check Data",IFERROR(VLOOKUP(AH224,'G-4 Temporal multipliers'!$A$4:$C$36,3,FALSE),""))</f>
        <v/>
      </c>
      <c r="AJ224" s="497" t="str">
        <f>IF(S224="","",VLOOKUP(S224,'G-3 Multipliers'!$A$2:$E$129,4,FALSE))</f>
        <v/>
      </c>
      <c r="AK224" s="506" t="str">
        <f t="shared" si="43"/>
        <v/>
      </c>
      <c r="AL224" s="506" t="str">
        <f t="shared" si="44"/>
        <v/>
      </c>
      <c r="AM224" s="539" t="str">
        <f>IFERROR(IF(F224="","",IF(AH224="Check Data ⚠","Check Data ⚠",VLOOKUP(AL224, 'G-3 Multipliers'!$P$2:$Q$6,2,FALSE))),"")</f>
        <v/>
      </c>
      <c r="AN224" s="512" t="str">
        <f t="shared" si="36"/>
        <v/>
      </c>
      <c r="AO224" s="238"/>
      <c r="AP224" s="239"/>
    </row>
    <row r="225" spans="1:42" x14ac:dyDescent="0.3">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t="str">
        <f t="shared" si="37"/>
        <v/>
      </c>
      <c r="R225" s="237" t="str">
        <f t="shared" si="38"/>
        <v/>
      </c>
      <c r="S225" s="391" t="str">
        <f>IFERROR(INDEX('G-1 All Habitats'!$B$3:$B$129,MATCH(R225,'G-1 All Habitats'!$A$3:$A$129,0)),"")</f>
        <v/>
      </c>
      <c r="T225" s="497" t="str">
        <f t="shared" si="39"/>
        <v/>
      </c>
      <c r="U225" s="498" t="str">
        <f t="shared" si="40"/>
        <v/>
      </c>
      <c r="V225" s="536" t="str">
        <f t="shared" si="34"/>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35"/>
        <v/>
      </c>
      <c r="AE225" s="82"/>
      <c r="AF225" s="82"/>
      <c r="AG225" s="506" t="str">
        <f t="shared" si="41"/>
        <v/>
      </c>
      <c r="AH225" s="520" t="str">
        <f t="shared" si="42"/>
        <v/>
      </c>
      <c r="AI225" s="521" t="str">
        <f>IF(AH225="Check Data","Check Data",IFERROR(VLOOKUP(AH225,'G-4 Temporal multipliers'!$A$4:$C$36,3,FALSE),""))</f>
        <v/>
      </c>
      <c r="AJ225" s="497" t="str">
        <f>IF(S225="","",VLOOKUP(S225,'G-3 Multipliers'!$A$2:$E$129,4,FALSE))</f>
        <v/>
      </c>
      <c r="AK225" s="506" t="str">
        <f t="shared" si="43"/>
        <v/>
      </c>
      <c r="AL225" s="506" t="str">
        <f t="shared" si="44"/>
        <v/>
      </c>
      <c r="AM225" s="539" t="str">
        <f>IFERROR(IF(F225="","",IF(AH225="Check Data ⚠","Check Data ⚠",VLOOKUP(AL225, 'G-3 Multipliers'!$P$2:$Q$6,2,FALSE))),"")</f>
        <v/>
      </c>
      <c r="AN225" s="512" t="str">
        <f t="shared" si="36"/>
        <v/>
      </c>
      <c r="AO225" s="238"/>
      <c r="AP225" s="239"/>
    </row>
    <row r="226" spans="1:42" x14ac:dyDescent="0.3">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t="str">
        <f t="shared" si="37"/>
        <v/>
      </c>
      <c r="R226" s="237" t="str">
        <f t="shared" si="38"/>
        <v/>
      </c>
      <c r="S226" s="391" t="str">
        <f>IFERROR(INDEX('G-1 All Habitats'!$B$3:$B$129,MATCH(R226,'G-1 All Habitats'!$A$3:$A$129,0)),"")</f>
        <v/>
      </c>
      <c r="T226" s="497" t="str">
        <f t="shared" si="39"/>
        <v/>
      </c>
      <c r="U226" s="498" t="str">
        <f t="shared" si="40"/>
        <v/>
      </c>
      <c r="V226" s="536" t="str">
        <f t="shared" si="34"/>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35"/>
        <v/>
      </c>
      <c r="AE226" s="82"/>
      <c r="AF226" s="82"/>
      <c r="AG226" s="506" t="str">
        <f t="shared" si="41"/>
        <v/>
      </c>
      <c r="AH226" s="520" t="str">
        <f t="shared" si="42"/>
        <v/>
      </c>
      <c r="AI226" s="521" t="str">
        <f>IF(AH226="Check Data","Check Data",IFERROR(VLOOKUP(AH226,'G-4 Temporal multipliers'!$A$4:$C$36,3,FALSE),""))</f>
        <v/>
      </c>
      <c r="AJ226" s="497" t="str">
        <f>IF(S226="","",VLOOKUP(S226,'G-3 Multipliers'!$A$2:$E$129,4,FALSE))</f>
        <v/>
      </c>
      <c r="AK226" s="506" t="str">
        <f t="shared" si="43"/>
        <v/>
      </c>
      <c r="AL226" s="506" t="str">
        <f t="shared" si="44"/>
        <v/>
      </c>
      <c r="AM226" s="539" t="str">
        <f>IFERROR(IF(F226="","",IF(AH226="Check Data ⚠","Check Data ⚠",VLOOKUP(AL226, 'G-3 Multipliers'!$P$2:$Q$6,2,FALSE))),"")</f>
        <v/>
      </c>
      <c r="AN226" s="512" t="str">
        <f t="shared" si="36"/>
        <v/>
      </c>
      <c r="AO226" s="238"/>
      <c r="AP226" s="239"/>
    </row>
    <row r="227" spans="1:42" x14ac:dyDescent="0.3">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t="str">
        <f t="shared" si="37"/>
        <v/>
      </c>
      <c r="R227" s="237" t="str">
        <f t="shared" si="38"/>
        <v/>
      </c>
      <c r="S227" s="391" t="str">
        <f>IFERROR(INDEX('G-1 All Habitats'!$B$3:$B$129,MATCH(R227,'G-1 All Habitats'!$A$3:$A$129,0)),"")</f>
        <v/>
      </c>
      <c r="T227" s="497" t="str">
        <f t="shared" si="39"/>
        <v/>
      </c>
      <c r="U227" s="498" t="str">
        <f t="shared" si="40"/>
        <v/>
      </c>
      <c r="V227" s="536" t="str">
        <f t="shared" si="34"/>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35"/>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43"/>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36"/>
        <v/>
      </c>
      <c r="AO227" s="238"/>
      <c r="AP227" s="239"/>
    </row>
    <row r="228" spans="1:42" x14ac:dyDescent="0.3">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t="str">
        <f t="shared" si="37"/>
        <v/>
      </c>
      <c r="R228" s="237" t="str">
        <f t="shared" si="38"/>
        <v/>
      </c>
      <c r="S228" s="391" t="str">
        <f>IFERROR(INDEX('G-1 All Habitats'!$B$3:$B$129,MATCH(R228,'G-1 All Habitats'!$A$3:$A$129,0)),"")</f>
        <v/>
      </c>
      <c r="T228" s="497" t="str">
        <f t="shared" si="39"/>
        <v/>
      </c>
      <c r="U228" s="498" t="str">
        <f t="shared" si="40"/>
        <v/>
      </c>
      <c r="V228" s="536" t="str">
        <f t="shared" si="34"/>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35"/>
        <v/>
      </c>
      <c r="AE228" s="82"/>
      <c r="AF228" s="82"/>
      <c r="AG228" s="506" t="str">
        <f t="shared" si="41"/>
        <v/>
      </c>
      <c r="AH228" s="520" t="str">
        <f t="shared" si="42"/>
        <v/>
      </c>
      <c r="AI228" s="521" t="str">
        <f>IF(AH228="Check Data","Check Data",IFERROR(VLOOKUP(AH228,'G-4 Temporal multipliers'!$A$4:$C$36,3,FALSE),""))</f>
        <v/>
      </c>
      <c r="AJ228" s="497" t="str">
        <f>IF(S228="","",VLOOKUP(S228,'G-3 Multipliers'!$A$2:$E$129,4,FALSE))</f>
        <v/>
      </c>
      <c r="AK228" s="506" t="str">
        <f t="shared" si="43"/>
        <v/>
      </c>
      <c r="AL228" s="506" t="str">
        <f t="shared" si="44"/>
        <v/>
      </c>
      <c r="AM228" s="539" t="str">
        <f>IFERROR(IF(F228="","",IF(AH228="Check Data ⚠","Check Data ⚠",VLOOKUP(AL228, 'G-3 Multipliers'!$P$2:$Q$6,2,FALSE))),"")</f>
        <v/>
      </c>
      <c r="AN228" s="512" t="str">
        <f t="shared" si="36"/>
        <v/>
      </c>
      <c r="AO228" s="238"/>
      <c r="AP228" s="239"/>
    </row>
    <row r="229" spans="1:42" x14ac:dyDescent="0.3">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t="str">
        <f t="shared" si="37"/>
        <v/>
      </c>
      <c r="R229" s="237" t="str">
        <f t="shared" si="38"/>
        <v/>
      </c>
      <c r="S229" s="391" t="str">
        <f>IFERROR(INDEX('G-1 All Habitats'!$B$3:$B$129,MATCH(R229,'G-1 All Habitats'!$A$3:$A$129,0)),"")</f>
        <v/>
      </c>
      <c r="T229" s="497" t="str">
        <f t="shared" si="39"/>
        <v/>
      </c>
      <c r="U229" s="498" t="str">
        <f t="shared" si="40"/>
        <v/>
      </c>
      <c r="V229" s="536" t="str">
        <f t="shared" si="34"/>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35"/>
        <v/>
      </c>
      <c r="AE229" s="82"/>
      <c r="AF229" s="82"/>
      <c r="AG229" s="506" t="str">
        <f t="shared" si="41"/>
        <v/>
      </c>
      <c r="AH229" s="520" t="str">
        <f t="shared" si="42"/>
        <v/>
      </c>
      <c r="AI229" s="521" t="str">
        <f>IF(AH229="Check Data","Check Data",IFERROR(VLOOKUP(AH229,'G-4 Temporal multipliers'!$A$4:$C$36,3,FALSE),""))</f>
        <v/>
      </c>
      <c r="AJ229" s="497" t="str">
        <f>IF(S229="","",VLOOKUP(S229,'G-3 Multipliers'!$A$2:$E$129,4,FALSE))</f>
        <v/>
      </c>
      <c r="AK229" s="506" t="str">
        <f t="shared" si="43"/>
        <v/>
      </c>
      <c r="AL229" s="506" t="str">
        <f t="shared" si="44"/>
        <v/>
      </c>
      <c r="AM229" s="539" t="str">
        <f>IFERROR(IF(F229="","",IF(AH229="Check Data ⚠","Check Data ⚠",VLOOKUP(AL229, 'G-3 Multipliers'!$P$2:$Q$6,2,FALSE))),"")</f>
        <v/>
      </c>
      <c r="AN229" s="512" t="str">
        <f t="shared" si="36"/>
        <v/>
      </c>
      <c r="AO229" s="238"/>
      <c r="AP229" s="239"/>
    </row>
    <row r="230" spans="1:42" x14ac:dyDescent="0.3">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t="str">
        <f t="shared" si="37"/>
        <v/>
      </c>
      <c r="R230" s="237" t="str">
        <f t="shared" si="38"/>
        <v/>
      </c>
      <c r="S230" s="391" t="str">
        <f>IFERROR(INDEX('G-1 All Habitats'!$B$3:$B$129,MATCH(R230,'G-1 All Habitats'!$A$3:$A$129,0)),"")</f>
        <v/>
      </c>
      <c r="T230" s="497" t="str">
        <f t="shared" si="39"/>
        <v/>
      </c>
      <c r="U230" s="498" t="str">
        <f t="shared" si="40"/>
        <v/>
      </c>
      <c r="V230" s="536" t="str">
        <f t="shared" si="34"/>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35"/>
        <v/>
      </c>
      <c r="AE230" s="82"/>
      <c r="AF230" s="82"/>
      <c r="AG230" s="506" t="str">
        <f t="shared" si="41"/>
        <v/>
      </c>
      <c r="AH230" s="520" t="str">
        <f t="shared" si="42"/>
        <v/>
      </c>
      <c r="AI230" s="521" t="str">
        <f>IF(AH230="Check Data","Check Data",IFERROR(VLOOKUP(AH230,'G-4 Temporal multipliers'!$A$4:$C$36,3,FALSE),""))</f>
        <v/>
      </c>
      <c r="AJ230" s="497" t="str">
        <f>IF(S230="","",VLOOKUP(S230,'G-3 Multipliers'!$A$2:$E$129,4,FALSE))</f>
        <v/>
      </c>
      <c r="AK230" s="506" t="str">
        <f t="shared" si="43"/>
        <v/>
      </c>
      <c r="AL230" s="506" t="str">
        <f t="shared" si="44"/>
        <v/>
      </c>
      <c r="AM230" s="539" t="str">
        <f>IFERROR(IF(F230="","",IF(AH230="Check Data ⚠","Check Data ⚠",VLOOKUP(AL230, 'G-3 Multipliers'!$P$2:$Q$6,2,FALSE))),"")</f>
        <v/>
      </c>
      <c r="AN230" s="512" t="str">
        <f t="shared" si="36"/>
        <v/>
      </c>
      <c r="AO230" s="238"/>
      <c r="AP230" s="239"/>
    </row>
    <row r="231" spans="1:42" x14ac:dyDescent="0.3">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t="str">
        <f t="shared" si="37"/>
        <v/>
      </c>
      <c r="R231" s="237" t="str">
        <f t="shared" si="38"/>
        <v/>
      </c>
      <c r="S231" s="391" t="str">
        <f>IFERROR(INDEX('G-1 All Habitats'!$B$3:$B$129,MATCH(R231,'G-1 All Habitats'!$A$3:$A$129,0)),"")</f>
        <v/>
      </c>
      <c r="T231" s="497" t="str">
        <f t="shared" si="39"/>
        <v/>
      </c>
      <c r="U231" s="498" t="str">
        <f t="shared" si="40"/>
        <v/>
      </c>
      <c r="V231" s="536" t="str">
        <f t="shared" si="34"/>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35"/>
        <v/>
      </c>
      <c r="AE231" s="82"/>
      <c r="AF231" s="82"/>
      <c r="AG231" s="506" t="str">
        <f t="shared" si="41"/>
        <v/>
      </c>
      <c r="AH231" s="520" t="str">
        <f t="shared" si="42"/>
        <v/>
      </c>
      <c r="AI231" s="521" t="str">
        <f>IF(AH231="Check Data","Check Data",IFERROR(VLOOKUP(AH231,'G-4 Temporal multipliers'!$A$4:$C$36,3,FALSE),""))</f>
        <v/>
      </c>
      <c r="AJ231" s="497" t="str">
        <f>IF(S231="","",VLOOKUP(S231,'G-3 Multipliers'!$A$2:$E$129,4,FALSE))</f>
        <v/>
      </c>
      <c r="AK231" s="506" t="str">
        <f t="shared" si="43"/>
        <v/>
      </c>
      <c r="AL231" s="506" t="str">
        <f t="shared" si="44"/>
        <v/>
      </c>
      <c r="AM231" s="539" t="str">
        <f>IFERROR(IF(F231="","",IF(AH231="Check Data ⚠","Check Data ⚠",VLOOKUP(AL231, 'G-3 Multipliers'!$P$2:$Q$6,2,FALSE))),"")</f>
        <v/>
      </c>
      <c r="AN231" s="512" t="str">
        <f t="shared" si="36"/>
        <v/>
      </c>
      <c r="AO231" s="238"/>
      <c r="AP231" s="239"/>
    </row>
    <row r="232" spans="1:42" x14ac:dyDescent="0.3">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t="str">
        <f t="shared" si="37"/>
        <v/>
      </c>
      <c r="R232" s="237" t="str">
        <f t="shared" si="38"/>
        <v/>
      </c>
      <c r="S232" s="391" t="str">
        <f>IFERROR(INDEX('G-1 All Habitats'!$B$3:$B$129,MATCH(R232,'G-1 All Habitats'!$A$3:$A$129,0)),"")</f>
        <v/>
      </c>
      <c r="T232" s="497" t="str">
        <f t="shared" si="39"/>
        <v/>
      </c>
      <c r="U232" s="498" t="str">
        <f t="shared" si="40"/>
        <v/>
      </c>
      <c r="V232" s="536" t="str">
        <f t="shared" si="34"/>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35"/>
        <v/>
      </c>
      <c r="AE232" s="82"/>
      <c r="AF232" s="82"/>
      <c r="AG232" s="506" t="str">
        <f t="shared" si="41"/>
        <v/>
      </c>
      <c r="AH232" s="520" t="str">
        <f t="shared" si="42"/>
        <v/>
      </c>
      <c r="AI232" s="521" t="str">
        <f>IF(AH232="Check Data","Check Data",IFERROR(VLOOKUP(AH232,'G-4 Temporal multipliers'!$A$4:$C$36,3,FALSE),""))</f>
        <v/>
      </c>
      <c r="AJ232" s="497" t="str">
        <f>IF(S232="","",VLOOKUP(S232,'G-3 Multipliers'!$A$2:$E$129,4,FALSE))</f>
        <v/>
      </c>
      <c r="AK232" s="506" t="str">
        <f t="shared" si="43"/>
        <v/>
      </c>
      <c r="AL232" s="506" t="str">
        <f t="shared" si="44"/>
        <v/>
      </c>
      <c r="AM232" s="539" t="str">
        <f>IFERROR(IF(F232="","",IF(AH232="Check Data ⚠","Check Data ⚠",VLOOKUP(AL232, 'G-3 Multipliers'!$P$2:$Q$6,2,FALSE))),"")</f>
        <v/>
      </c>
      <c r="AN232" s="512" t="str">
        <f t="shared" si="36"/>
        <v/>
      </c>
      <c r="AO232" s="238"/>
      <c r="AP232" s="239"/>
    </row>
    <row r="233" spans="1:42" x14ac:dyDescent="0.3">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t="str">
        <f t="shared" si="37"/>
        <v/>
      </c>
      <c r="R233" s="237" t="str">
        <f t="shared" si="38"/>
        <v/>
      </c>
      <c r="S233" s="391" t="str">
        <f>IFERROR(INDEX('G-1 All Habitats'!$B$3:$B$129,MATCH(R233,'G-1 All Habitats'!$A$3:$A$129,0)),"")</f>
        <v/>
      </c>
      <c r="T233" s="497" t="str">
        <f t="shared" si="39"/>
        <v/>
      </c>
      <c r="U233" s="498" t="str">
        <f t="shared" si="40"/>
        <v/>
      </c>
      <c r="V233" s="536" t="str">
        <f t="shared" si="34"/>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35"/>
        <v/>
      </c>
      <c r="AE233" s="82"/>
      <c r="AF233" s="82"/>
      <c r="AG233" s="506" t="str">
        <f t="shared" si="41"/>
        <v/>
      </c>
      <c r="AH233" s="520" t="str">
        <f t="shared" si="42"/>
        <v/>
      </c>
      <c r="AI233" s="521" t="str">
        <f>IF(AH233="Check Data","Check Data",IFERROR(VLOOKUP(AH233,'G-4 Temporal multipliers'!$A$4:$C$36,3,FALSE),""))</f>
        <v/>
      </c>
      <c r="AJ233" s="497" t="str">
        <f>IF(S233="","",VLOOKUP(S233,'G-3 Multipliers'!$A$2:$E$129,4,FALSE))</f>
        <v/>
      </c>
      <c r="AK233" s="506" t="str">
        <f t="shared" si="43"/>
        <v/>
      </c>
      <c r="AL233" s="506" t="str">
        <f t="shared" si="44"/>
        <v/>
      </c>
      <c r="AM233" s="539" t="str">
        <f>IFERROR(IF(F233="","",IF(AH233="Check Data ⚠","Check Data ⚠",VLOOKUP(AL233, 'G-3 Multipliers'!$P$2:$Q$6,2,FALSE))),"")</f>
        <v/>
      </c>
      <c r="AN233" s="512" t="str">
        <f t="shared" si="36"/>
        <v/>
      </c>
      <c r="AO233" s="238"/>
      <c r="AP233" s="239"/>
    </row>
    <row r="234" spans="1:42" x14ac:dyDescent="0.3">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t="str">
        <f t="shared" si="37"/>
        <v/>
      </c>
      <c r="R234" s="237" t="str">
        <f t="shared" si="38"/>
        <v/>
      </c>
      <c r="S234" s="391" t="str">
        <f>IFERROR(INDEX('G-1 All Habitats'!$B$3:$B$129,MATCH(R234,'G-1 All Habitats'!$A$3:$A$129,0)),"")</f>
        <v/>
      </c>
      <c r="T234" s="497" t="str">
        <f t="shared" si="39"/>
        <v/>
      </c>
      <c r="U234" s="498" t="str">
        <f t="shared" si="40"/>
        <v/>
      </c>
      <c r="V234" s="536" t="str">
        <f t="shared" si="34"/>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35"/>
        <v/>
      </c>
      <c r="AE234" s="82"/>
      <c r="AF234" s="82"/>
      <c r="AG234" s="506" t="str">
        <f t="shared" si="41"/>
        <v/>
      </c>
      <c r="AH234" s="520" t="str">
        <f t="shared" si="42"/>
        <v/>
      </c>
      <c r="AI234" s="521" t="str">
        <f>IF(AH234="Check Data","Check Data",IFERROR(VLOOKUP(AH234,'G-4 Temporal multipliers'!$A$4:$C$36,3,FALSE),""))</f>
        <v/>
      </c>
      <c r="AJ234" s="497" t="str">
        <f>IF(S234="","",VLOOKUP(S234,'G-3 Multipliers'!$A$2:$E$129,4,FALSE))</f>
        <v/>
      </c>
      <c r="AK234" s="506" t="str">
        <f t="shared" si="43"/>
        <v/>
      </c>
      <c r="AL234" s="506" t="str">
        <f t="shared" si="44"/>
        <v/>
      </c>
      <c r="AM234" s="539" t="str">
        <f>IFERROR(IF(F234="","",IF(AH234="Check Data ⚠","Check Data ⚠",VLOOKUP(AL234, 'G-3 Multipliers'!$P$2:$Q$6,2,FALSE))),"")</f>
        <v/>
      </c>
      <c r="AN234" s="512" t="str">
        <f t="shared" si="36"/>
        <v/>
      </c>
      <c r="AO234" s="238"/>
      <c r="AP234" s="239"/>
    </row>
    <row r="235" spans="1:42" x14ac:dyDescent="0.3">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t="str">
        <f t="shared" si="37"/>
        <v/>
      </c>
      <c r="R235" s="237" t="str">
        <f t="shared" si="38"/>
        <v/>
      </c>
      <c r="S235" s="391" t="str">
        <f>IFERROR(INDEX('G-1 All Habitats'!$B$3:$B$129,MATCH(R235,'G-1 All Habitats'!$A$3:$A$129,0)),"")</f>
        <v/>
      </c>
      <c r="T235" s="497" t="str">
        <f t="shared" si="39"/>
        <v/>
      </c>
      <c r="U235" s="498" t="str">
        <f t="shared" si="40"/>
        <v/>
      </c>
      <c r="V235" s="536" t="str">
        <f t="shared" si="34"/>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35"/>
        <v/>
      </c>
      <c r="AE235" s="82"/>
      <c r="AF235" s="82"/>
      <c r="AG235" s="506" t="str">
        <f t="shared" si="41"/>
        <v/>
      </c>
      <c r="AH235" s="520" t="str">
        <f t="shared" si="42"/>
        <v/>
      </c>
      <c r="AI235" s="521" t="str">
        <f>IF(AH235="Check Data","Check Data",IFERROR(VLOOKUP(AH235,'G-4 Temporal multipliers'!$A$4:$C$36,3,FALSE),""))</f>
        <v/>
      </c>
      <c r="AJ235" s="497" t="str">
        <f>IF(S235="","",VLOOKUP(S235,'G-3 Multipliers'!$A$2:$E$129,4,FALSE))</f>
        <v/>
      </c>
      <c r="AK235" s="506" t="str">
        <f t="shared" si="43"/>
        <v/>
      </c>
      <c r="AL235" s="506" t="str">
        <f t="shared" si="44"/>
        <v/>
      </c>
      <c r="AM235" s="539" t="str">
        <f>IFERROR(IF(F235="","",IF(AH235="Check Data ⚠","Check Data ⚠",VLOOKUP(AL235, 'G-3 Multipliers'!$P$2:$Q$6,2,FALSE))),"")</f>
        <v/>
      </c>
      <c r="AN235" s="512" t="str">
        <f t="shared" si="36"/>
        <v/>
      </c>
      <c r="AO235" s="238"/>
      <c r="AP235" s="239"/>
    </row>
    <row r="236" spans="1:42" x14ac:dyDescent="0.3">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t="str">
        <f t="shared" si="37"/>
        <v/>
      </c>
      <c r="R236" s="237" t="str">
        <f t="shared" si="38"/>
        <v/>
      </c>
      <c r="S236" s="391" t="str">
        <f>IFERROR(INDEX('G-1 All Habitats'!$B$3:$B$129,MATCH(R236,'G-1 All Habitats'!$A$3:$A$129,0)),"")</f>
        <v/>
      </c>
      <c r="T236" s="497" t="str">
        <f t="shared" si="39"/>
        <v/>
      </c>
      <c r="U236" s="498" t="str">
        <f t="shared" si="40"/>
        <v/>
      </c>
      <c r="V236" s="536" t="str">
        <f t="shared" si="34"/>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35"/>
        <v/>
      </c>
      <c r="AE236" s="82"/>
      <c r="AF236" s="82"/>
      <c r="AG236" s="506" t="str">
        <f t="shared" si="41"/>
        <v/>
      </c>
      <c r="AH236" s="520" t="str">
        <f t="shared" si="42"/>
        <v/>
      </c>
      <c r="AI236" s="521" t="str">
        <f>IF(AH236="Check Data","Check Data",IFERROR(VLOOKUP(AH236,'G-4 Temporal multipliers'!$A$4:$C$36,3,FALSE),""))</f>
        <v/>
      </c>
      <c r="AJ236" s="497" t="str">
        <f>IF(S236="","",VLOOKUP(S236,'G-3 Multipliers'!$A$2:$E$129,4,FALSE))</f>
        <v/>
      </c>
      <c r="AK236" s="506" t="str">
        <f t="shared" si="43"/>
        <v/>
      </c>
      <c r="AL236" s="506" t="str">
        <f t="shared" si="44"/>
        <v/>
      </c>
      <c r="AM236" s="539" t="str">
        <f>IFERROR(IF(F236="","",IF(AH236="Check Data ⚠","Check Data ⚠",VLOOKUP(AL236, 'G-3 Multipliers'!$P$2:$Q$6,2,FALSE))),"")</f>
        <v/>
      </c>
      <c r="AN236" s="512" t="str">
        <f t="shared" si="36"/>
        <v/>
      </c>
      <c r="AO236" s="238"/>
      <c r="AP236" s="239"/>
    </row>
    <row r="237" spans="1:42" x14ac:dyDescent="0.3">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t="str">
        <f t="shared" si="37"/>
        <v/>
      </c>
      <c r="R237" s="237" t="str">
        <f t="shared" si="38"/>
        <v/>
      </c>
      <c r="S237" s="391" t="str">
        <f>IFERROR(INDEX('G-1 All Habitats'!$B$3:$B$129,MATCH(R237,'G-1 All Habitats'!$A$3:$A$129,0)),"")</f>
        <v/>
      </c>
      <c r="T237" s="497" t="str">
        <f t="shared" si="39"/>
        <v/>
      </c>
      <c r="U237" s="498" t="str">
        <f t="shared" si="40"/>
        <v/>
      </c>
      <c r="V237" s="536" t="str">
        <f t="shared" si="34"/>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35"/>
        <v/>
      </c>
      <c r="AE237" s="82"/>
      <c r="AF237" s="82"/>
      <c r="AG237" s="506" t="str">
        <f t="shared" si="41"/>
        <v/>
      </c>
      <c r="AH237" s="520" t="str">
        <f t="shared" si="42"/>
        <v/>
      </c>
      <c r="AI237" s="521" t="str">
        <f>IF(AH237="Check Data","Check Data",IFERROR(VLOOKUP(AH237,'G-4 Temporal multipliers'!$A$4:$C$36,3,FALSE),""))</f>
        <v/>
      </c>
      <c r="AJ237" s="497" t="str">
        <f>IF(S237="","",VLOOKUP(S237,'G-3 Multipliers'!$A$2:$E$129,4,FALSE))</f>
        <v/>
      </c>
      <c r="AK237" s="506" t="str">
        <f t="shared" si="43"/>
        <v/>
      </c>
      <c r="AL237" s="506" t="str">
        <f t="shared" si="44"/>
        <v/>
      </c>
      <c r="AM237" s="539" t="str">
        <f>IFERROR(IF(F237="","",IF(AH237="Check Data ⚠","Check Data ⚠",VLOOKUP(AL237, 'G-3 Multipliers'!$P$2:$Q$6,2,FALSE))),"")</f>
        <v/>
      </c>
      <c r="AN237" s="512" t="str">
        <f t="shared" si="36"/>
        <v/>
      </c>
      <c r="AO237" s="238"/>
      <c r="AP237" s="239"/>
    </row>
    <row r="238" spans="1:42" x14ac:dyDescent="0.3">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t="str">
        <f t="shared" si="37"/>
        <v/>
      </c>
      <c r="R238" s="237" t="str">
        <f t="shared" si="38"/>
        <v/>
      </c>
      <c r="S238" s="391" t="str">
        <f>IFERROR(INDEX('G-1 All Habitats'!$B$3:$B$129,MATCH(R238,'G-1 All Habitats'!$A$3:$A$129,0)),"")</f>
        <v/>
      </c>
      <c r="T238" s="497" t="str">
        <f t="shared" si="39"/>
        <v/>
      </c>
      <c r="U238" s="498" t="str">
        <f t="shared" si="40"/>
        <v/>
      </c>
      <c r="V238" s="536" t="str">
        <f t="shared" si="34"/>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35"/>
        <v/>
      </c>
      <c r="AE238" s="82"/>
      <c r="AF238" s="82"/>
      <c r="AG238" s="506" t="str">
        <f t="shared" si="41"/>
        <v/>
      </c>
      <c r="AH238" s="520" t="str">
        <f t="shared" si="42"/>
        <v/>
      </c>
      <c r="AI238" s="521" t="str">
        <f>IF(AH238="Check Data","Check Data",IFERROR(VLOOKUP(AH238,'G-4 Temporal multipliers'!$A$4:$C$36,3,FALSE),""))</f>
        <v/>
      </c>
      <c r="AJ238" s="497" t="str">
        <f>IF(S238="","",VLOOKUP(S238,'G-3 Multipliers'!$A$2:$E$129,4,FALSE))</f>
        <v/>
      </c>
      <c r="AK238" s="506" t="str">
        <f t="shared" si="43"/>
        <v/>
      </c>
      <c r="AL238" s="506" t="str">
        <f t="shared" si="44"/>
        <v/>
      </c>
      <c r="AM238" s="539" t="str">
        <f>IFERROR(IF(F238="","",IF(AH238="Check Data ⚠","Check Data ⚠",VLOOKUP(AL238, 'G-3 Multipliers'!$P$2:$Q$6,2,FALSE))),"")</f>
        <v/>
      </c>
      <c r="AN238" s="512" t="str">
        <f t="shared" si="36"/>
        <v/>
      </c>
      <c r="AO238" s="238"/>
      <c r="AP238" s="239"/>
    </row>
    <row r="239" spans="1:42" x14ac:dyDescent="0.3">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t="str">
        <f t="shared" si="37"/>
        <v/>
      </c>
      <c r="R239" s="237" t="str">
        <f t="shared" si="38"/>
        <v/>
      </c>
      <c r="S239" s="391" t="str">
        <f>IFERROR(INDEX('G-1 All Habitats'!$B$3:$B$129,MATCH(R239,'G-1 All Habitats'!$A$3:$A$129,0)),"")</f>
        <v/>
      </c>
      <c r="T239" s="497" t="str">
        <f t="shared" si="39"/>
        <v/>
      </c>
      <c r="U239" s="498" t="str">
        <f t="shared" si="40"/>
        <v/>
      </c>
      <c r="V239" s="536" t="str">
        <f t="shared" si="34"/>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35"/>
        <v/>
      </c>
      <c r="AE239" s="82"/>
      <c r="AF239" s="82"/>
      <c r="AG239" s="506" t="str">
        <f t="shared" si="41"/>
        <v/>
      </c>
      <c r="AH239" s="520" t="str">
        <f t="shared" si="42"/>
        <v/>
      </c>
      <c r="AI239" s="521" t="str">
        <f>IF(AH239="Check Data","Check Data",IFERROR(VLOOKUP(AH239,'G-4 Temporal multipliers'!$A$4:$C$36,3,FALSE),""))</f>
        <v/>
      </c>
      <c r="AJ239" s="497" t="str">
        <f>IF(S239="","",VLOOKUP(S239,'G-3 Multipliers'!$A$2:$E$129,4,FALSE))</f>
        <v/>
      </c>
      <c r="AK239" s="506" t="str">
        <f t="shared" si="43"/>
        <v/>
      </c>
      <c r="AL239" s="506" t="str">
        <f t="shared" si="44"/>
        <v/>
      </c>
      <c r="AM239" s="539" t="str">
        <f>IFERROR(IF(F239="","",IF(AH239="Check Data ⚠","Check Data ⚠",VLOOKUP(AL239, 'G-3 Multipliers'!$P$2:$Q$6,2,FALSE))),"")</f>
        <v/>
      </c>
      <c r="AN239" s="512" t="str">
        <f t="shared" si="36"/>
        <v/>
      </c>
      <c r="AO239" s="238"/>
      <c r="AP239" s="239"/>
    </row>
    <row r="240" spans="1:42" x14ac:dyDescent="0.3">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t="str">
        <f t="shared" si="37"/>
        <v/>
      </c>
      <c r="R240" s="237" t="str">
        <f t="shared" si="38"/>
        <v/>
      </c>
      <c r="S240" s="391" t="str">
        <f>IFERROR(INDEX('G-1 All Habitats'!$B$3:$B$129,MATCH(R240,'G-1 All Habitats'!$A$3:$A$129,0)),"")</f>
        <v/>
      </c>
      <c r="T240" s="497" t="str">
        <f t="shared" si="39"/>
        <v/>
      </c>
      <c r="U240" s="498" t="str">
        <f t="shared" si="40"/>
        <v/>
      </c>
      <c r="V240" s="536" t="str">
        <f t="shared" si="34"/>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35"/>
        <v/>
      </c>
      <c r="AE240" s="82"/>
      <c r="AF240" s="82"/>
      <c r="AG240" s="506" t="str">
        <f t="shared" si="41"/>
        <v/>
      </c>
      <c r="AH240" s="520" t="str">
        <f t="shared" si="42"/>
        <v/>
      </c>
      <c r="AI240" s="521" t="str">
        <f>IF(AH240="Check Data","Check Data",IFERROR(VLOOKUP(AH240,'G-4 Temporal multipliers'!$A$4:$C$36,3,FALSE),""))</f>
        <v/>
      </c>
      <c r="AJ240" s="497" t="str">
        <f>IF(S240="","",VLOOKUP(S240,'G-3 Multipliers'!$A$2:$E$129,4,FALSE))</f>
        <v/>
      </c>
      <c r="AK240" s="506" t="str">
        <f t="shared" si="43"/>
        <v/>
      </c>
      <c r="AL240" s="506" t="str">
        <f t="shared" si="44"/>
        <v/>
      </c>
      <c r="AM240" s="539" t="str">
        <f>IFERROR(IF(F240="","",IF(AH240="Check Data ⚠","Check Data ⚠",VLOOKUP(AL240, 'G-3 Multipliers'!$P$2:$Q$6,2,FALSE))),"")</f>
        <v/>
      </c>
      <c r="AN240" s="512" t="str">
        <f t="shared" si="36"/>
        <v/>
      </c>
      <c r="AO240" s="238"/>
      <c r="AP240" s="239"/>
    </row>
    <row r="241" spans="1:42" x14ac:dyDescent="0.3">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t="str">
        <f t="shared" si="37"/>
        <v/>
      </c>
      <c r="R241" s="237" t="str">
        <f t="shared" si="38"/>
        <v/>
      </c>
      <c r="S241" s="391" t="str">
        <f>IFERROR(INDEX('G-1 All Habitats'!$B$3:$B$129,MATCH(R241,'G-1 All Habitats'!$A$3:$A$129,0)),"")</f>
        <v/>
      </c>
      <c r="T241" s="497" t="str">
        <f t="shared" si="39"/>
        <v/>
      </c>
      <c r="U241" s="498" t="str">
        <f t="shared" si="40"/>
        <v/>
      </c>
      <c r="V241" s="536" t="str">
        <f t="shared" si="34"/>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35"/>
        <v/>
      </c>
      <c r="AE241" s="82"/>
      <c r="AF241" s="82"/>
      <c r="AG241" s="506" t="str">
        <f t="shared" si="41"/>
        <v/>
      </c>
      <c r="AH241" s="520" t="str">
        <f t="shared" si="42"/>
        <v/>
      </c>
      <c r="AI241" s="521" t="str">
        <f>IF(AH241="Check Data","Check Data",IFERROR(VLOOKUP(AH241,'G-4 Temporal multipliers'!$A$4:$C$36,3,FALSE),""))</f>
        <v/>
      </c>
      <c r="AJ241" s="497" t="str">
        <f>IF(S241="","",VLOOKUP(S241,'G-3 Multipliers'!$A$2:$E$129,4,FALSE))</f>
        <v/>
      </c>
      <c r="AK241" s="506" t="str">
        <f t="shared" si="43"/>
        <v/>
      </c>
      <c r="AL241" s="506" t="str">
        <f t="shared" si="44"/>
        <v/>
      </c>
      <c r="AM241" s="539" t="str">
        <f>IFERROR(IF(F241="","",IF(AH241="Check Data ⚠","Check Data ⚠",VLOOKUP(AL241, 'G-3 Multipliers'!$P$2:$Q$6,2,FALSE))),"")</f>
        <v/>
      </c>
      <c r="AN241" s="512" t="str">
        <f t="shared" si="36"/>
        <v/>
      </c>
      <c r="AO241" s="238"/>
      <c r="AP241" s="239"/>
    </row>
    <row r="242" spans="1:42" x14ac:dyDescent="0.3">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t="str">
        <f t="shared" si="37"/>
        <v/>
      </c>
      <c r="R242" s="237" t="str">
        <f t="shared" si="38"/>
        <v/>
      </c>
      <c r="S242" s="391" t="str">
        <f>IFERROR(INDEX('G-1 All Habitats'!$B$3:$B$129,MATCH(R242,'G-1 All Habitats'!$A$3:$A$129,0)),"")</f>
        <v/>
      </c>
      <c r="T242" s="497" t="str">
        <f t="shared" si="39"/>
        <v/>
      </c>
      <c r="U242" s="498" t="str">
        <f t="shared" si="40"/>
        <v/>
      </c>
      <c r="V242" s="536" t="str">
        <f t="shared" si="34"/>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35"/>
        <v/>
      </c>
      <c r="AE242" s="82"/>
      <c r="AF242" s="82"/>
      <c r="AG242" s="506" t="str">
        <f t="shared" si="41"/>
        <v/>
      </c>
      <c r="AH242" s="520" t="str">
        <f t="shared" si="42"/>
        <v/>
      </c>
      <c r="AI242" s="521" t="str">
        <f>IF(AH242="Check Data","Check Data",IFERROR(VLOOKUP(AH242,'G-4 Temporal multipliers'!$A$4:$C$36,3,FALSE),""))</f>
        <v/>
      </c>
      <c r="AJ242" s="497" t="str">
        <f>IF(S242="","",VLOOKUP(S242,'G-3 Multipliers'!$A$2:$E$129,4,FALSE))</f>
        <v/>
      </c>
      <c r="AK242" s="506" t="str">
        <f t="shared" si="43"/>
        <v/>
      </c>
      <c r="AL242" s="506" t="str">
        <f t="shared" si="44"/>
        <v/>
      </c>
      <c r="AM242" s="539" t="str">
        <f>IFERROR(IF(F242="","",IF(AH242="Check Data ⚠","Check Data ⚠",VLOOKUP(AL242, 'G-3 Multipliers'!$P$2:$Q$6,2,FALSE))),"")</f>
        <v/>
      </c>
      <c r="AN242" s="512" t="str">
        <f t="shared" si="36"/>
        <v/>
      </c>
      <c r="AO242" s="238"/>
      <c r="AP242" s="239"/>
    </row>
    <row r="243" spans="1:42" x14ac:dyDescent="0.3">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t="str">
        <f t="shared" si="37"/>
        <v/>
      </c>
      <c r="R243" s="237" t="str">
        <f t="shared" si="38"/>
        <v/>
      </c>
      <c r="S243" s="391" t="str">
        <f>IFERROR(INDEX('G-1 All Habitats'!$B$3:$B$129,MATCH(R243,'G-1 All Habitats'!$A$3:$A$129,0)),"")</f>
        <v/>
      </c>
      <c r="T243" s="497" t="str">
        <f t="shared" si="39"/>
        <v/>
      </c>
      <c r="U243" s="498" t="str">
        <f t="shared" si="40"/>
        <v/>
      </c>
      <c r="V243" s="536" t="str">
        <f t="shared" si="34"/>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35"/>
        <v/>
      </c>
      <c r="AE243" s="82"/>
      <c r="AF243" s="82"/>
      <c r="AG243" s="506" t="str">
        <f t="shared" si="41"/>
        <v/>
      </c>
      <c r="AH243" s="520" t="str">
        <f t="shared" si="42"/>
        <v/>
      </c>
      <c r="AI243" s="521" t="str">
        <f>IF(AH243="Check Data","Check Data",IFERROR(VLOOKUP(AH243,'G-4 Temporal multipliers'!$A$4:$C$36,3,FALSE),""))</f>
        <v/>
      </c>
      <c r="AJ243" s="497" t="str">
        <f>IF(S243="","",VLOOKUP(S243,'G-3 Multipliers'!$A$2:$E$129,4,FALSE))</f>
        <v/>
      </c>
      <c r="AK243" s="506" t="str">
        <f t="shared" si="43"/>
        <v/>
      </c>
      <c r="AL243" s="506" t="str">
        <f t="shared" si="44"/>
        <v/>
      </c>
      <c r="AM243" s="539" t="str">
        <f>IFERROR(IF(F243="","",IF(AH243="Check Data ⚠","Check Data ⚠",VLOOKUP(AL243, 'G-3 Multipliers'!$P$2:$Q$6,2,FALSE))),"")</f>
        <v/>
      </c>
      <c r="AN243" s="512" t="str">
        <f t="shared" si="36"/>
        <v/>
      </c>
      <c r="AO243" s="238"/>
      <c r="AP243" s="239"/>
    </row>
    <row r="244" spans="1:42" x14ac:dyDescent="0.3">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t="str">
        <f t="shared" si="37"/>
        <v/>
      </c>
      <c r="R244" s="237" t="str">
        <f t="shared" si="38"/>
        <v/>
      </c>
      <c r="S244" s="391" t="str">
        <f>IFERROR(INDEX('G-1 All Habitats'!$B$3:$B$129,MATCH(R244,'G-1 All Habitats'!$A$3:$A$129,0)),"")</f>
        <v/>
      </c>
      <c r="T244" s="497" t="str">
        <f t="shared" si="39"/>
        <v/>
      </c>
      <c r="U244" s="498" t="str">
        <f t="shared" si="40"/>
        <v/>
      </c>
      <c r="V244" s="536" t="str">
        <f t="shared" si="34"/>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35"/>
        <v/>
      </c>
      <c r="AE244" s="82"/>
      <c r="AF244" s="82"/>
      <c r="AG244" s="506" t="str">
        <f t="shared" si="41"/>
        <v/>
      </c>
      <c r="AH244" s="520" t="str">
        <f t="shared" si="42"/>
        <v/>
      </c>
      <c r="AI244" s="521" t="str">
        <f>IF(AH244="Check Data","Check Data",IFERROR(VLOOKUP(AH244,'G-4 Temporal multipliers'!$A$4:$C$36,3,FALSE),""))</f>
        <v/>
      </c>
      <c r="AJ244" s="497" t="str">
        <f>IF(S244="","",VLOOKUP(S244,'G-3 Multipliers'!$A$2:$E$129,4,FALSE))</f>
        <v/>
      </c>
      <c r="AK244" s="506" t="str">
        <f t="shared" si="43"/>
        <v/>
      </c>
      <c r="AL244" s="506" t="str">
        <f t="shared" si="44"/>
        <v/>
      </c>
      <c r="AM244" s="539" t="str">
        <f>IFERROR(IF(F244="","",IF(AH244="Check Data ⚠","Check Data ⚠",VLOOKUP(AL244, 'G-3 Multipliers'!$P$2:$Q$6,2,FALSE))),"")</f>
        <v/>
      </c>
      <c r="AN244" s="512" t="str">
        <f t="shared" si="36"/>
        <v/>
      </c>
      <c r="AO244" s="238"/>
      <c r="AP244" s="239"/>
    </row>
    <row r="245" spans="1:42" x14ac:dyDescent="0.3">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t="str">
        <f t="shared" si="37"/>
        <v/>
      </c>
      <c r="R245" s="237" t="str">
        <f t="shared" si="38"/>
        <v/>
      </c>
      <c r="S245" s="391" t="str">
        <f>IFERROR(INDEX('G-1 All Habitats'!$B$3:$B$129,MATCH(R245,'G-1 All Habitats'!$A$3:$A$129,0)),"")</f>
        <v/>
      </c>
      <c r="T245" s="497" t="str">
        <f t="shared" si="39"/>
        <v/>
      </c>
      <c r="U245" s="498" t="str">
        <f t="shared" si="40"/>
        <v/>
      </c>
      <c r="V245" s="536" t="str">
        <f t="shared" si="34"/>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35"/>
        <v/>
      </c>
      <c r="AE245" s="82"/>
      <c r="AF245" s="82"/>
      <c r="AG245" s="506" t="str">
        <f t="shared" si="41"/>
        <v/>
      </c>
      <c r="AH245" s="520" t="str">
        <f t="shared" si="42"/>
        <v/>
      </c>
      <c r="AI245" s="521" t="str">
        <f>IF(AH245="Check Data","Check Data",IFERROR(VLOOKUP(AH245,'G-4 Temporal multipliers'!$A$4:$C$36,3,FALSE),""))</f>
        <v/>
      </c>
      <c r="AJ245" s="497" t="str">
        <f>IF(S245="","",VLOOKUP(S245,'G-3 Multipliers'!$A$2:$E$129,4,FALSE))</f>
        <v/>
      </c>
      <c r="AK245" s="506" t="str">
        <f t="shared" si="43"/>
        <v/>
      </c>
      <c r="AL245" s="506" t="str">
        <f t="shared" si="44"/>
        <v/>
      </c>
      <c r="AM245" s="539" t="str">
        <f>IFERROR(IF(F245="","",IF(AH245="Check Data ⚠","Check Data ⚠",VLOOKUP(AL245, 'G-3 Multipliers'!$P$2:$Q$6,2,FALSE))),"")</f>
        <v/>
      </c>
      <c r="AN245" s="512" t="str">
        <f t="shared" si="36"/>
        <v/>
      </c>
      <c r="AO245" s="238"/>
      <c r="AP245" s="239"/>
    </row>
    <row r="246" spans="1:42" x14ac:dyDescent="0.3">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t="str">
        <f t="shared" si="37"/>
        <v/>
      </c>
      <c r="R246" s="237" t="str">
        <f t="shared" si="38"/>
        <v/>
      </c>
      <c r="S246" s="391" t="str">
        <f>IFERROR(INDEX('G-1 All Habitats'!$B$3:$B$129,MATCH(R246,'G-1 All Habitats'!$A$3:$A$129,0)),"")</f>
        <v/>
      </c>
      <c r="T246" s="497" t="str">
        <f t="shared" si="39"/>
        <v/>
      </c>
      <c r="U246" s="498" t="str">
        <f t="shared" si="40"/>
        <v/>
      </c>
      <c r="V246" s="536" t="str">
        <f t="shared" si="34"/>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35"/>
        <v/>
      </c>
      <c r="AE246" s="82"/>
      <c r="AF246" s="82"/>
      <c r="AG246" s="506" t="str">
        <f t="shared" si="41"/>
        <v/>
      </c>
      <c r="AH246" s="520" t="str">
        <f t="shared" si="42"/>
        <v/>
      </c>
      <c r="AI246" s="521" t="str">
        <f>IF(AH246="Check Data","Check Data",IFERROR(VLOOKUP(AH246,'G-4 Temporal multipliers'!$A$4:$C$36,3,FALSE),""))</f>
        <v/>
      </c>
      <c r="AJ246" s="497" t="str">
        <f>IF(S246="","",VLOOKUP(S246,'G-3 Multipliers'!$A$2:$E$129,4,FALSE))</f>
        <v/>
      </c>
      <c r="AK246" s="506" t="str">
        <f t="shared" si="43"/>
        <v/>
      </c>
      <c r="AL246" s="506" t="str">
        <f t="shared" si="44"/>
        <v/>
      </c>
      <c r="AM246" s="539" t="str">
        <f>IFERROR(IF(F246="","",IF(AH246="Check Data ⚠","Check Data ⚠",VLOOKUP(AL246, 'G-3 Multipliers'!$P$2:$Q$6,2,FALSE))),"")</f>
        <v/>
      </c>
      <c r="AN246" s="512" t="str">
        <f t="shared" si="36"/>
        <v/>
      </c>
      <c r="AO246" s="238"/>
      <c r="AP246" s="239"/>
    </row>
    <row r="247" spans="1:42" x14ac:dyDescent="0.3">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t="str">
        <f t="shared" si="37"/>
        <v/>
      </c>
      <c r="R247" s="237" t="str">
        <f t="shared" si="38"/>
        <v/>
      </c>
      <c r="S247" s="391" t="str">
        <f>IFERROR(INDEX('G-1 All Habitats'!$B$3:$B$129,MATCH(R247,'G-1 All Habitats'!$A$3:$A$129,0)),"")</f>
        <v/>
      </c>
      <c r="T247" s="497" t="str">
        <f t="shared" si="39"/>
        <v/>
      </c>
      <c r="U247" s="498" t="str">
        <f t="shared" si="40"/>
        <v/>
      </c>
      <c r="V247" s="536" t="str">
        <f t="shared" si="34"/>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35"/>
        <v/>
      </c>
      <c r="AE247" s="82"/>
      <c r="AF247" s="82"/>
      <c r="AG247" s="506" t="str">
        <f t="shared" si="41"/>
        <v/>
      </c>
      <c r="AH247" s="520" t="str">
        <f t="shared" si="42"/>
        <v/>
      </c>
      <c r="AI247" s="521" t="str">
        <f>IF(AH247="Check Data","Check Data",IFERROR(VLOOKUP(AH247,'G-4 Temporal multipliers'!$A$4:$C$36,3,FALSE),""))</f>
        <v/>
      </c>
      <c r="AJ247" s="497" t="str">
        <f>IF(S247="","",VLOOKUP(S247,'G-3 Multipliers'!$A$2:$E$129,4,FALSE))</f>
        <v/>
      </c>
      <c r="AK247" s="506" t="str">
        <f t="shared" si="43"/>
        <v/>
      </c>
      <c r="AL247" s="506" t="str">
        <f t="shared" si="44"/>
        <v/>
      </c>
      <c r="AM247" s="539" t="str">
        <f>IFERROR(IF(F247="","",IF(AH247="Check Data ⚠","Check Data ⚠",VLOOKUP(AL247, 'G-3 Multipliers'!$P$2:$Q$6,2,FALSE))),"")</f>
        <v/>
      </c>
      <c r="AN247" s="512" t="str">
        <f t="shared" si="36"/>
        <v/>
      </c>
      <c r="AO247" s="238"/>
      <c r="AP247" s="239"/>
    </row>
    <row r="248" spans="1:42" x14ac:dyDescent="0.3">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t="str">
        <f t="shared" si="37"/>
        <v/>
      </c>
      <c r="R248" s="237" t="str">
        <f t="shared" si="38"/>
        <v/>
      </c>
      <c r="S248" s="391" t="str">
        <f>IFERROR(INDEX('G-1 All Habitats'!$B$3:$B$129,MATCH(R248,'G-1 All Habitats'!$A$3:$A$129,0)),"")</f>
        <v/>
      </c>
      <c r="T248" s="497" t="str">
        <f t="shared" si="39"/>
        <v/>
      </c>
      <c r="U248" s="498" t="str">
        <f t="shared" si="40"/>
        <v/>
      </c>
      <c r="V248" s="536" t="str">
        <f t="shared" si="34"/>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35"/>
        <v/>
      </c>
      <c r="AE248" s="82"/>
      <c r="AF248" s="82"/>
      <c r="AG248" s="506" t="str">
        <f t="shared" si="41"/>
        <v/>
      </c>
      <c r="AH248" s="520" t="str">
        <f t="shared" si="42"/>
        <v/>
      </c>
      <c r="AI248" s="521" t="str">
        <f>IF(AH248="Check Data","Check Data",IFERROR(VLOOKUP(AH248,'G-4 Temporal multipliers'!$A$4:$C$36,3,FALSE),""))</f>
        <v/>
      </c>
      <c r="AJ248" s="497" t="str">
        <f>IF(S248="","",VLOOKUP(S248,'G-3 Multipliers'!$A$2:$E$129,4,FALSE))</f>
        <v/>
      </c>
      <c r="AK248" s="506" t="str">
        <f t="shared" si="43"/>
        <v/>
      </c>
      <c r="AL248" s="506" t="str">
        <f t="shared" si="44"/>
        <v/>
      </c>
      <c r="AM248" s="539" t="str">
        <f>IFERROR(IF(F248="","",IF(AH248="Check Data ⚠","Check Data ⚠",VLOOKUP(AL248, 'G-3 Multipliers'!$P$2:$Q$6,2,FALSE))),"")</f>
        <v/>
      </c>
      <c r="AN248" s="512" t="str">
        <f t="shared" si="36"/>
        <v/>
      </c>
      <c r="AO248" s="238"/>
      <c r="AP248" s="239"/>
    </row>
    <row r="249" spans="1:42" x14ac:dyDescent="0.3">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t="str">
        <f t="shared" si="37"/>
        <v/>
      </c>
      <c r="R249" s="237" t="str">
        <f t="shared" si="38"/>
        <v/>
      </c>
      <c r="S249" s="391" t="str">
        <f>IFERROR(INDEX('G-1 All Habitats'!$B$3:$B$129,MATCH(R249,'G-1 All Habitats'!$A$3:$A$129,0)),"")</f>
        <v/>
      </c>
      <c r="T249" s="497" t="str">
        <f t="shared" si="39"/>
        <v/>
      </c>
      <c r="U249" s="498" t="str">
        <f t="shared" si="40"/>
        <v/>
      </c>
      <c r="V249" s="536" t="str">
        <f t="shared" si="34"/>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35"/>
        <v/>
      </c>
      <c r="AE249" s="82"/>
      <c r="AF249" s="82"/>
      <c r="AG249" s="506" t="str">
        <f t="shared" si="41"/>
        <v/>
      </c>
      <c r="AH249" s="520" t="str">
        <f t="shared" si="42"/>
        <v/>
      </c>
      <c r="AI249" s="521" t="str">
        <f>IF(AH249="Check Data","Check Data",IFERROR(VLOOKUP(AH249,'G-4 Temporal multipliers'!$A$4:$C$36,3,FALSE),""))</f>
        <v/>
      </c>
      <c r="AJ249" s="497" t="str">
        <f>IF(S249="","",VLOOKUP(S249,'G-3 Multipliers'!$A$2:$E$129,4,FALSE))</f>
        <v/>
      </c>
      <c r="AK249" s="506" t="str">
        <f t="shared" si="43"/>
        <v/>
      </c>
      <c r="AL249" s="506" t="str">
        <f t="shared" si="44"/>
        <v/>
      </c>
      <c r="AM249" s="539" t="str">
        <f>IFERROR(IF(F249="","",IF(AH249="Check Data ⚠","Check Data ⚠",VLOOKUP(AL249, 'G-3 Multipliers'!$P$2:$Q$6,2,FALSE))),"")</f>
        <v/>
      </c>
      <c r="AN249" s="512" t="str">
        <f t="shared" si="36"/>
        <v/>
      </c>
      <c r="AO249" s="238"/>
      <c r="AP249" s="239"/>
    </row>
    <row r="250" spans="1:42" x14ac:dyDescent="0.3">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t="str">
        <f t="shared" si="37"/>
        <v/>
      </c>
      <c r="R250" s="237" t="str">
        <f t="shared" si="38"/>
        <v/>
      </c>
      <c r="S250" s="391" t="str">
        <f>IFERROR(INDEX('G-1 All Habitats'!$B$3:$B$129,MATCH(R250,'G-1 All Habitats'!$A$3:$A$129,0)),"")</f>
        <v/>
      </c>
      <c r="T250" s="497" t="str">
        <f t="shared" si="39"/>
        <v/>
      </c>
      <c r="U250" s="498" t="str">
        <f t="shared" si="40"/>
        <v/>
      </c>
      <c r="V250" s="536" t="str">
        <f t="shared" si="34"/>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35"/>
        <v/>
      </c>
      <c r="AE250" s="82"/>
      <c r="AF250" s="82"/>
      <c r="AG250" s="506" t="str">
        <f t="shared" si="41"/>
        <v/>
      </c>
      <c r="AH250" s="520" t="str">
        <f t="shared" si="42"/>
        <v/>
      </c>
      <c r="AI250" s="521" t="str">
        <f>IF(AH250="Check Data","Check Data",IFERROR(VLOOKUP(AH250,'G-4 Temporal multipliers'!$A$4:$C$36,3,FALSE),""))</f>
        <v/>
      </c>
      <c r="AJ250" s="497" t="str">
        <f>IF(S250="","",VLOOKUP(S250,'G-3 Multipliers'!$A$2:$E$129,4,FALSE))</f>
        <v/>
      </c>
      <c r="AK250" s="506" t="str">
        <f t="shared" si="43"/>
        <v/>
      </c>
      <c r="AL250" s="506" t="str">
        <f t="shared" si="44"/>
        <v/>
      </c>
      <c r="AM250" s="539" t="str">
        <f>IFERROR(IF(F250="","",IF(AH250="Check Data ⚠","Check Data ⚠",VLOOKUP(AL250, 'G-3 Multipliers'!$P$2:$Q$6,2,FALSE))),"")</f>
        <v/>
      </c>
      <c r="AN250" s="512" t="str">
        <f t="shared" si="36"/>
        <v/>
      </c>
      <c r="AO250" s="238"/>
      <c r="AP250" s="239"/>
    </row>
    <row r="251" spans="1:42" x14ac:dyDescent="0.3">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t="str">
        <f t="shared" si="37"/>
        <v/>
      </c>
      <c r="R251" s="237" t="str">
        <f t="shared" si="38"/>
        <v/>
      </c>
      <c r="S251" s="391" t="str">
        <f>IFERROR(INDEX('G-1 All Habitats'!$B$3:$B$129,MATCH(R251,'G-1 All Habitats'!$A$3:$A$129,0)),"")</f>
        <v/>
      </c>
      <c r="T251" s="497" t="str">
        <f t="shared" si="39"/>
        <v/>
      </c>
      <c r="U251" s="498" t="str">
        <f t="shared" si="40"/>
        <v/>
      </c>
      <c r="V251" s="536" t="str">
        <f t="shared" si="34"/>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35"/>
        <v/>
      </c>
      <c r="AE251" s="82"/>
      <c r="AF251" s="82"/>
      <c r="AG251" s="506" t="str">
        <f t="shared" si="41"/>
        <v/>
      </c>
      <c r="AH251" s="520" t="str">
        <f t="shared" si="42"/>
        <v/>
      </c>
      <c r="AI251" s="521" t="str">
        <f>IF(AH251="Check Data","Check Data",IFERROR(VLOOKUP(AH251,'G-4 Temporal multipliers'!$A$4:$C$36,3,FALSE),""))</f>
        <v/>
      </c>
      <c r="AJ251" s="497" t="str">
        <f>IF(S251="","",VLOOKUP(S251,'G-3 Multipliers'!$A$2:$E$129,4,FALSE))</f>
        <v/>
      </c>
      <c r="AK251" s="506" t="str">
        <f t="shared" si="43"/>
        <v/>
      </c>
      <c r="AL251" s="506" t="str">
        <f t="shared" si="44"/>
        <v/>
      </c>
      <c r="AM251" s="539" t="str">
        <f>IFERROR(IF(F251="","",IF(AH251="Check Data ⚠","Check Data ⚠",VLOOKUP(AL251, 'G-3 Multipliers'!$P$2:$Q$6,2,FALSE))),"")</f>
        <v/>
      </c>
      <c r="AN251" s="512" t="str">
        <f t="shared" si="36"/>
        <v/>
      </c>
      <c r="AO251" s="238"/>
      <c r="AP251" s="239"/>
    </row>
    <row r="252" spans="1:42" x14ac:dyDescent="0.3">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t="str">
        <f t="shared" si="37"/>
        <v/>
      </c>
      <c r="R252" s="237" t="str">
        <f t="shared" si="38"/>
        <v/>
      </c>
      <c r="S252" s="391" t="str">
        <f>IFERROR(INDEX('G-1 All Habitats'!$B$3:$B$129,MATCH(R252,'G-1 All Habitats'!$A$3:$A$129,0)),"")</f>
        <v/>
      </c>
      <c r="T252" s="497" t="str">
        <f t="shared" si="39"/>
        <v/>
      </c>
      <c r="U252" s="498" t="str">
        <f t="shared" si="40"/>
        <v/>
      </c>
      <c r="V252" s="536" t="str">
        <f t="shared" si="34"/>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35"/>
        <v/>
      </c>
      <c r="AE252" s="82"/>
      <c r="AF252" s="82"/>
      <c r="AG252" s="506" t="str">
        <f t="shared" si="41"/>
        <v/>
      </c>
      <c r="AH252" s="520" t="str">
        <f t="shared" si="42"/>
        <v/>
      </c>
      <c r="AI252" s="521" t="str">
        <f>IF(AH252="Check Data","Check Data",IFERROR(VLOOKUP(AH252,'G-4 Temporal multipliers'!$A$4:$C$36,3,FALSE),""))</f>
        <v/>
      </c>
      <c r="AJ252" s="497" t="str">
        <f>IF(S252="","",VLOOKUP(S252,'G-3 Multipliers'!$A$2:$E$129,4,FALSE))</f>
        <v/>
      </c>
      <c r="AK252" s="506" t="str">
        <f t="shared" si="43"/>
        <v/>
      </c>
      <c r="AL252" s="506" t="str">
        <f t="shared" si="44"/>
        <v/>
      </c>
      <c r="AM252" s="539" t="str">
        <f>IFERROR(IF(F252="","",IF(AH252="Check Data ⚠","Check Data ⚠",VLOOKUP(AL252, 'G-3 Multipliers'!$P$2:$Q$6,2,FALSE))),"")</f>
        <v/>
      </c>
      <c r="AN252" s="512" t="str">
        <f t="shared" si="36"/>
        <v/>
      </c>
      <c r="AO252" s="238"/>
      <c r="AP252" s="239"/>
    </row>
    <row r="253" spans="1:42" x14ac:dyDescent="0.3">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t="str">
        <f t="shared" si="37"/>
        <v/>
      </c>
      <c r="R253" s="237" t="str">
        <f t="shared" si="38"/>
        <v/>
      </c>
      <c r="S253" s="391" t="str">
        <f>IFERROR(INDEX('G-1 All Habitats'!$B$3:$B$129,MATCH(R253,'G-1 All Habitats'!$A$3:$A$129,0)),"")</f>
        <v/>
      </c>
      <c r="T253" s="497" t="str">
        <f t="shared" si="39"/>
        <v/>
      </c>
      <c r="U253" s="498" t="str">
        <f t="shared" si="40"/>
        <v/>
      </c>
      <c r="V253" s="536" t="str">
        <f t="shared" si="34"/>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35"/>
        <v/>
      </c>
      <c r="AE253" s="82"/>
      <c r="AF253" s="82"/>
      <c r="AG253" s="506" t="str">
        <f t="shared" si="41"/>
        <v/>
      </c>
      <c r="AH253" s="520" t="str">
        <f t="shared" si="42"/>
        <v/>
      </c>
      <c r="AI253" s="521" t="str">
        <f>IF(AH253="Check Data","Check Data",IFERROR(VLOOKUP(AH253,'G-4 Temporal multipliers'!$A$4:$C$36,3,FALSE),""))</f>
        <v/>
      </c>
      <c r="AJ253" s="497" t="str">
        <f>IF(S253="","",VLOOKUP(S253,'G-3 Multipliers'!$A$2:$E$129,4,FALSE))</f>
        <v/>
      </c>
      <c r="AK253" s="506" t="str">
        <f t="shared" si="43"/>
        <v/>
      </c>
      <c r="AL253" s="506" t="str">
        <f t="shared" si="44"/>
        <v/>
      </c>
      <c r="AM253" s="539" t="str">
        <f>IFERROR(IF(F253="","",IF(AH253="Check Data ⚠","Check Data ⚠",VLOOKUP(AL253, 'G-3 Multipliers'!$P$2:$Q$6,2,FALSE))),"")</f>
        <v/>
      </c>
      <c r="AN253" s="512" t="str">
        <f t="shared" si="36"/>
        <v/>
      </c>
      <c r="AO253" s="238"/>
      <c r="AP253" s="239"/>
    </row>
    <row r="254" spans="1:42" x14ac:dyDescent="0.3">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t="str">
        <f t="shared" si="37"/>
        <v/>
      </c>
      <c r="R254" s="237" t="str">
        <f t="shared" si="38"/>
        <v/>
      </c>
      <c r="S254" s="391" t="str">
        <f>IFERROR(INDEX('G-1 All Habitats'!$B$3:$B$129,MATCH(R254,'G-1 All Habitats'!$A$3:$A$129,0)),"")</f>
        <v/>
      </c>
      <c r="T254" s="497" t="str">
        <f t="shared" si="39"/>
        <v/>
      </c>
      <c r="U254" s="498" t="str">
        <f t="shared" si="40"/>
        <v/>
      </c>
      <c r="V254" s="536" t="str">
        <f t="shared" si="34"/>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35"/>
        <v/>
      </c>
      <c r="AE254" s="82"/>
      <c r="AF254" s="82"/>
      <c r="AG254" s="506" t="str">
        <f t="shared" si="41"/>
        <v/>
      </c>
      <c r="AH254" s="520" t="str">
        <f t="shared" si="42"/>
        <v/>
      </c>
      <c r="AI254" s="521" t="str">
        <f>IF(AH254="Check Data","Check Data",IFERROR(VLOOKUP(AH254,'G-4 Temporal multipliers'!$A$4:$C$36,3,FALSE),""))</f>
        <v/>
      </c>
      <c r="AJ254" s="497" t="str">
        <f>IF(S254="","",VLOOKUP(S254,'G-3 Multipliers'!$A$2:$E$129,4,FALSE))</f>
        <v/>
      </c>
      <c r="AK254" s="506" t="str">
        <f t="shared" si="43"/>
        <v/>
      </c>
      <c r="AL254" s="506" t="str">
        <f t="shared" si="44"/>
        <v/>
      </c>
      <c r="AM254" s="539" t="str">
        <f>IFERROR(IF(F254="","",IF(AH254="Check Data ⚠","Check Data ⚠",VLOOKUP(AL254, 'G-3 Multipliers'!$P$2:$Q$6,2,FALSE))),"")</f>
        <v/>
      </c>
      <c r="AN254" s="512" t="str">
        <f t="shared" si="36"/>
        <v/>
      </c>
      <c r="AO254" s="238"/>
      <c r="AP254" s="239"/>
    </row>
    <row r="255" spans="1:42" x14ac:dyDescent="0.3">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t="str">
        <f t="shared" si="37"/>
        <v/>
      </c>
      <c r="R255" s="237" t="str">
        <f t="shared" si="38"/>
        <v/>
      </c>
      <c r="S255" s="391" t="str">
        <f>IFERROR(INDEX('G-1 All Habitats'!$B$3:$B$129,MATCH(R255,'G-1 All Habitats'!$A$3:$A$129,0)),"")</f>
        <v/>
      </c>
      <c r="T255" s="497" t="str">
        <f t="shared" si="39"/>
        <v/>
      </c>
      <c r="U255" s="498" t="str">
        <f t="shared" si="40"/>
        <v/>
      </c>
      <c r="V255" s="536" t="str">
        <f t="shared" si="34"/>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35"/>
        <v/>
      </c>
      <c r="AE255" s="82"/>
      <c r="AF255" s="82"/>
      <c r="AG255" s="506" t="str">
        <f t="shared" si="41"/>
        <v/>
      </c>
      <c r="AH255" s="520" t="str">
        <f t="shared" si="42"/>
        <v/>
      </c>
      <c r="AI255" s="521" t="str">
        <f>IF(AH255="Check Data","Check Data",IFERROR(VLOOKUP(AH255,'G-4 Temporal multipliers'!$A$4:$C$36,3,FALSE),""))</f>
        <v/>
      </c>
      <c r="AJ255" s="497" t="str">
        <f>IF(S255="","",VLOOKUP(S255,'G-3 Multipliers'!$A$2:$E$129,4,FALSE))</f>
        <v/>
      </c>
      <c r="AK255" s="506" t="str">
        <f t="shared" si="43"/>
        <v/>
      </c>
      <c r="AL255" s="506" t="str">
        <f t="shared" si="44"/>
        <v/>
      </c>
      <c r="AM255" s="539" t="str">
        <f>IFERROR(IF(F255="","",IF(AH255="Check Data ⚠","Check Data ⚠",VLOOKUP(AL255, 'G-3 Multipliers'!$P$2:$Q$6,2,FALSE))),"")</f>
        <v/>
      </c>
      <c r="AN255" s="512" t="str">
        <f t="shared" si="36"/>
        <v/>
      </c>
      <c r="AO255" s="238"/>
      <c r="AP255" s="239"/>
    </row>
    <row r="256" spans="1:42" x14ac:dyDescent="0.3">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t="str">
        <f t="shared" si="37"/>
        <v/>
      </c>
      <c r="R256" s="237" t="str">
        <f t="shared" si="38"/>
        <v/>
      </c>
      <c r="S256" s="391" t="str">
        <f>IFERROR(INDEX('G-1 All Habitats'!$B$3:$B$129,MATCH(R256,'G-1 All Habitats'!$A$3:$A$129,0)),"")</f>
        <v/>
      </c>
      <c r="T256" s="497" t="str">
        <f t="shared" si="39"/>
        <v/>
      </c>
      <c r="U256" s="498" t="str">
        <f t="shared" si="40"/>
        <v/>
      </c>
      <c r="V256" s="536" t="str">
        <f t="shared" si="34"/>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35"/>
        <v/>
      </c>
      <c r="AE256" s="82"/>
      <c r="AF256" s="82"/>
      <c r="AG256" s="506" t="str">
        <f t="shared" si="41"/>
        <v/>
      </c>
      <c r="AH256" s="520" t="str">
        <f t="shared" si="42"/>
        <v/>
      </c>
      <c r="AI256" s="521" t="str">
        <f>IF(AH256="Check Data","Check Data",IFERROR(VLOOKUP(AH256,'G-4 Temporal multipliers'!$A$4:$C$36,3,FALSE),""))</f>
        <v/>
      </c>
      <c r="AJ256" s="497" t="str">
        <f>IF(S256="","",VLOOKUP(S256,'G-3 Multipliers'!$A$2:$E$129,4,FALSE))</f>
        <v/>
      </c>
      <c r="AK256" s="506" t="str">
        <f t="shared" si="43"/>
        <v/>
      </c>
      <c r="AL256" s="506" t="str">
        <f t="shared" si="44"/>
        <v/>
      </c>
      <c r="AM256" s="539" t="str">
        <f>IFERROR(IF(F256="","",IF(AH256="Check Data ⚠","Check Data ⚠",VLOOKUP(AL256, 'G-3 Multipliers'!$P$2:$Q$6,2,FALSE))),"")</f>
        <v/>
      </c>
      <c r="AN256" s="512" t="str">
        <f t="shared" si="36"/>
        <v/>
      </c>
      <c r="AO256" s="238"/>
      <c r="AP256" s="239"/>
    </row>
    <row r="257" spans="1:42" ht="14.5" thickBot="1" x14ac:dyDescent="0.35">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t="str">
        <f t="shared" si="37"/>
        <v/>
      </c>
      <c r="R257" s="237" t="str">
        <f t="shared" si="38"/>
        <v/>
      </c>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40"/>
        <v/>
      </c>
      <c r="V257" s="537" t="str">
        <f t="shared" si="34"/>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35"/>
        <v/>
      </c>
      <c r="AE257" s="340"/>
      <c r="AF257" s="340"/>
      <c r="AG257" s="506" t="str">
        <f t="shared" si="41"/>
        <v/>
      </c>
      <c r="AH257" s="520" t="str">
        <f t="shared" si="42"/>
        <v/>
      </c>
      <c r="AI257" s="540" t="str">
        <f>IF(AH257="Check Data","Check Data",IFERROR(VLOOKUP(AH257,'G-4 Temporal multipliers'!$A$4:$C$36,3,FALSE),""))</f>
        <v/>
      </c>
      <c r="AJ257" s="537" t="str">
        <f>IF(S257="","",VLOOKUP(S257,'G-3 Multipliers'!$A$2:$E$129,4,FALSE))</f>
        <v/>
      </c>
      <c r="AK257" s="506" t="str">
        <f t="shared" si="43"/>
        <v/>
      </c>
      <c r="AL257" s="506" t="str">
        <f t="shared" si="44"/>
        <v/>
      </c>
      <c r="AM257" s="539" t="str">
        <f>IFERROR(IF(F257="","",IF(AH257="Check Data ⚠","Check Data ⚠",VLOOKUP(AL257, 'G-3 Multipliers'!$P$2:$Q$6,2,FALSE))),"")</f>
        <v/>
      </c>
      <c r="AN257" s="541" t="str">
        <f t="shared" si="36"/>
        <v/>
      </c>
      <c r="AO257" s="428"/>
      <c r="AP257" s="434"/>
    </row>
    <row r="258" spans="1:42" ht="14.5" thickBot="1" x14ac:dyDescent="0.35">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7.5" x14ac:dyDescent="0.35">
      <c r="V259" s="921" t="str">
        <f>IF(V258&lt;&gt;'A-1 Site Habitat Baseline'!T259,"Error - Area of habitat enhancement must match the area from sheet A1 ▲","")</f>
        <v/>
      </c>
      <c r="W259" s="921"/>
      <c r="X259" s="921"/>
      <c r="Y259" s="921"/>
      <c r="Z259" s="921"/>
      <c r="AA259" s="921"/>
    </row>
    <row r="260" spans="1:42" x14ac:dyDescent="0.3"/>
    <row r="261" spans="1:42" x14ac:dyDescent="0.3"/>
    <row r="262" spans="1:42" x14ac:dyDescent="0.3"/>
    <row r="263" spans="1:42" x14ac:dyDescent="0.3"/>
    <row r="264" spans="1:42" x14ac:dyDescent="0.3"/>
    <row r="265" spans="1:42" x14ac:dyDescent="0.3"/>
    <row r="266" spans="1:42" x14ac:dyDescent="0.3"/>
  </sheetData>
  <sheetProtection algorithmName="SHA-512" hashValue="A5O/ojNrDdEjmumwsEZXF95jbEUr5stQAbh85J31DJpfUSXaNPHWsUaw3387VK9uKdIgDyJlix2k5eSTZ24wNg==" saltValue="8I352lyvAt9gdX2PZZbfK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4" zeroHeight="1" x14ac:dyDescent="0.3"/>
  <cols>
    <col min="1" max="1" width="3.7265625" style="31" hidden="1" customWidth="1"/>
    <col min="2" max="2" width="24.453125" style="31" hidden="1" customWidth="1"/>
    <col min="3" max="3" width="39.26953125" style="31" hidden="1" customWidth="1"/>
    <col min="4" max="4" width="10.453125" style="31" customWidth="1"/>
    <col min="5" max="5" width="22.1796875" style="31" customWidth="1"/>
    <col min="6" max="6" width="70.1796875" style="31" customWidth="1"/>
    <col min="7" max="7" width="76.81640625" style="31" hidden="1" customWidth="1"/>
    <col min="8" max="8" width="12.1796875" style="31" customWidth="1"/>
    <col min="9" max="9" width="17.7265625" style="31" customWidth="1"/>
    <col min="10" max="10" width="7.81640625" style="31" customWidth="1"/>
    <col min="11" max="11" width="14.26953125" style="31" customWidth="1"/>
    <col min="12" max="12" width="9.7265625" style="31" customWidth="1"/>
    <col min="13" max="13" width="41.7265625" style="31" customWidth="1"/>
    <col min="14" max="14" width="20.453125" style="31" customWidth="1"/>
    <col min="15" max="15" width="13.1796875" style="31" customWidth="1"/>
    <col min="16" max="16" width="30.453125" style="31" customWidth="1"/>
    <col min="17" max="17" width="13.453125" style="31" customWidth="1"/>
    <col min="18" max="18" width="3.7265625" style="31" customWidth="1"/>
    <col min="19" max="19" width="11.54296875" style="31" customWidth="1"/>
    <col min="20" max="20" width="12.1796875" style="31" customWidth="1"/>
    <col min="21" max="21" width="10.1796875" style="31" customWidth="1"/>
    <col min="22" max="22" width="13" style="31" customWidth="1"/>
    <col min="23" max="23" width="13.1796875" style="31" customWidth="1"/>
    <col min="24" max="24" width="15.54296875" style="31" customWidth="1"/>
    <col min="25" max="25" width="16.81640625" style="31" customWidth="1"/>
    <col min="26" max="27" width="50.1796875" style="31" customWidth="1"/>
    <col min="28" max="28" width="8.81640625" style="31" customWidth="1"/>
    <col min="29" max="31" width="8.81640625" style="31" hidden="1" customWidth="1"/>
    <col min="32" max="32" width="14.26953125" style="31" hidden="1" customWidth="1"/>
    <col min="33" max="16384" width="8.81640625" style="31" hidden="1"/>
  </cols>
  <sheetData>
    <row r="1" spans="1:43" ht="12.75" customHeight="1" thickBot="1" x14ac:dyDescent="0.35"/>
    <row r="2" spans="1:43" ht="19.5" customHeight="1" thickBot="1" x14ac:dyDescent="0.35">
      <c r="D2" s="946" t="str">
        <f>IF(Start!F12="","",Start!F12)</f>
        <v/>
      </c>
      <c r="E2" s="947"/>
      <c r="F2" s="948"/>
    </row>
    <row r="3" spans="1:43" ht="15" customHeight="1" x14ac:dyDescent="0.3">
      <c r="D3" s="940" t="str">
        <f ca="1">MID(CELL("filename",C1),FIND("]",CELL("filename",C1))+1,256)</f>
        <v>D-1 Off Site Habitat Baseline</v>
      </c>
      <c r="E3" s="941"/>
      <c r="F3" s="942"/>
    </row>
    <row r="4" spans="1:43" ht="19.899999999999999" customHeight="1" thickBot="1" x14ac:dyDescent="0.35">
      <c r="D4" s="943"/>
      <c r="E4" s="944"/>
      <c r="F4" s="945"/>
    </row>
    <row r="5" spans="1:43" ht="24" customHeight="1" x14ac:dyDescent="0.3"/>
    <row r="6" spans="1:43" ht="15.75" customHeight="1" x14ac:dyDescent="0.3"/>
    <row r="7" spans="1:43" ht="16.149999999999999" customHeight="1" x14ac:dyDescent="0.3">
      <c r="D7" s="132"/>
      <c r="E7" s="132"/>
      <c r="F7" s="132"/>
      <c r="M7" s="131"/>
    </row>
    <row r="8" spans="1:43" ht="22.9" customHeight="1" thickBot="1" x14ac:dyDescent="0.35">
      <c r="D8" s="132"/>
      <c r="E8" s="132"/>
      <c r="F8" s="132"/>
    </row>
    <row r="9" spans="1:43" s="42" customFormat="1" ht="30" customHeight="1" thickBot="1" x14ac:dyDescent="0.35">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x14ac:dyDescent="0.35">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39"/>
      <c r="Q10" s="167" t="s">
        <v>208</v>
      </c>
      <c r="R10" s="138"/>
      <c r="S10" s="135" t="s">
        <v>209</v>
      </c>
      <c r="T10" s="136" t="s">
        <v>210</v>
      </c>
      <c r="U10" s="136" t="s">
        <v>211</v>
      </c>
      <c r="V10" s="136" t="s">
        <v>212</v>
      </c>
      <c r="W10" s="136" t="s">
        <v>276</v>
      </c>
      <c r="X10" s="137" t="s">
        <v>214</v>
      </c>
      <c r="Y10" s="939"/>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x14ac:dyDescent="0.3">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3">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3">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3">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3">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3">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3">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3">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3">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3">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3">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3">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3">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3">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3">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3">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3">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3">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3">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3">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3">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3">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3">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3">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3">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3">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3">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3">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3">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3">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3">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3">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3">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3">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3">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3">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3">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3">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3">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3">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3">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3">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3">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3">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3">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3">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3">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3">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3">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3">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3">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3">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3">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3">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3">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3">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3">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3">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3">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3">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3">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3">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3">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3">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3">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3">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3">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3">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3">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3">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3">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3">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3">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3">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3">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3">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3">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3">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3">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3">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3">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3">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3">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3">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3">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3">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3">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3">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3">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3">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3">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3">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3">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3">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3">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3">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3">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3">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3">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3">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3">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3">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3">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3">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3">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3">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3">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3">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3">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3">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3">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3">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3">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3">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3">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3">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3">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3">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3">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3">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3">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3">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3">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3">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3">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3">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3">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3">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3">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3">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3">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3">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3">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3">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3">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3">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3">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3">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3">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3">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3">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3">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3">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3">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3">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3">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3">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3">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3">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3">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3">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3">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3">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3">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3">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3">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3">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3">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3">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3">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3">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3">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3">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3">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3">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3">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3">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3">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3">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3">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3">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3">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3">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3">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3">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3">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3">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3">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3">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3">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3">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3">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3">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3">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3">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3">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3">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3">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3">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3">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3">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3">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3">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3">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3">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3">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3">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3">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3">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3">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3">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3">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3">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3">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3">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3">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3">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3">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3">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3">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3">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3">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3">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3">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3">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3">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3">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3">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3">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3">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3">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3">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3">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3">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3">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3">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3">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3">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3">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3">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3">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3">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3">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3">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3">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3">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3">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3">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3">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3">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3">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3">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3">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3">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3">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3">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3">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4.5" thickBot="1" x14ac:dyDescent="0.35">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4.5" thickBot="1" x14ac:dyDescent="0.35">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4.5" thickBot="1" x14ac:dyDescent="0.35">
      <c r="R260" s="166"/>
      <c r="S260" s="166"/>
      <c r="T260" s="166"/>
      <c r="U260" s="166"/>
      <c r="V260" s="166"/>
      <c r="W260" s="166"/>
      <c r="X260" s="166"/>
    </row>
    <row r="261" spans="1:43" ht="35.25" customHeight="1" thickBot="1" x14ac:dyDescent="0.35">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x14ac:dyDescent="0.3">
      <c r="D262" s="132"/>
      <c r="E262" s="132"/>
      <c r="F262" s="132"/>
    </row>
    <row r="263" spans="1:43" x14ac:dyDescent="0.3">
      <c r="D263" s="132"/>
      <c r="E263" s="132"/>
      <c r="F263" s="132"/>
    </row>
    <row r="264" spans="1:43" x14ac:dyDescent="0.3">
      <c r="D264" s="132"/>
      <c r="E264" s="132"/>
      <c r="F264" s="132"/>
    </row>
    <row r="265" spans="1:43" x14ac:dyDescent="0.3">
      <c r="D265" s="132"/>
      <c r="E265" s="132"/>
      <c r="F265" s="132"/>
    </row>
    <row r="266" spans="1:43" x14ac:dyDescent="0.3">
      <c r="D266" s="132"/>
      <c r="E266" s="132"/>
      <c r="F266" s="132"/>
    </row>
    <row r="267" spans="1:43" x14ac:dyDescent="0.3">
      <c r="D267" s="132"/>
      <c r="E267" s="132"/>
      <c r="F267" s="132"/>
    </row>
    <row r="268" spans="1:43" x14ac:dyDescent="0.3">
      <c r="D268" s="132"/>
      <c r="E268" s="132"/>
      <c r="F268" s="132"/>
    </row>
    <row r="269" spans="1:43" x14ac:dyDescent="0.3">
      <c r="D269" s="132"/>
      <c r="E269" s="132"/>
      <c r="F269" s="132"/>
    </row>
    <row r="270" spans="1:43" x14ac:dyDescent="0.3">
      <c r="D270" s="132"/>
      <c r="E270" s="132"/>
      <c r="F270" s="132"/>
    </row>
    <row r="271" spans="1:43" x14ac:dyDescent="0.3">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E9:H9"/>
    <mergeCell ref="I9:J9"/>
    <mergeCell ref="K9:L9"/>
    <mergeCell ref="D3:F4"/>
    <mergeCell ref="D2:F2"/>
    <mergeCell ref="S261:V261"/>
    <mergeCell ref="P9:P10"/>
    <mergeCell ref="Y9:Y10"/>
    <mergeCell ref="Z9:AA9"/>
    <mergeCell ref="M9:O9"/>
    <mergeCell ref="S9:X9"/>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defaultColWidth="0" defaultRowHeight="0" customHeight="1" zeroHeight="1" x14ac:dyDescent="0.3"/>
  <cols>
    <col min="1" max="1" width="18" style="31" hidden="1" customWidth="1"/>
    <col min="2" max="2" width="2.453125" style="31" hidden="1" customWidth="1"/>
    <col min="3" max="3" width="23.453125" style="31" hidden="1" customWidth="1"/>
    <col min="4" max="4" width="22.54296875" style="31" bestFit="1" customWidth="1"/>
    <col min="5" max="5" width="71" style="31" customWidth="1"/>
    <col min="6" max="6" width="74.1796875" style="31" hidden="1" customWidth="1"/>
    <col min="7" max="7" width="13.1796875" style="31" customWidth="1"/>
    <col min="8" max="8" width="18" style="31" customWidth="1"/>
    <col min="9" max="9" width="13.1796875" style="31" customWidth="1"/>
    <col min="10" max="11" width="12.54296875" style="31" customWidth="1"/>
    <col min="12" max="12" width="41.26953125" style="31" customWidth="1"/>
    <col min="13" max="13" width="15.453125" style="31" customWidth="1"/>
    <col min="14" max="14" width="12.26953125" style="31" customWidth="1"/>
    <col min="15" max="17" width="17.7265625" style="31" customWidth="1"/>
    <col min="18" max="18" width="31.1796875" style="31" customWidth="1"/>
    <col min="19" max="19" width="17.7265625" style="31" customWidth="1"/>
    <col min="20" max="20" width="15.26953125" style="31" customWidth="1"/>
    <col min="21" max="21" width="13.7265625" style="31" customWidth="1"/>
    <col min="22" max="22" width="35.26953125" style="31" customWidth="1"/>
    <col min="23" max="23" width="13.7265625" style="31" customWidth="1"/>
    <col min="24" max="24" width="14.26953125" style="31" customWidth="1"/>
    <col min="25" max="25" width="91.453125" style="31" customWidth="1"/>
    <col min="26" max="26" width="14.26953125" style="31" customWidth="1"/>
    <col min="27" max="27" width="12.7265625" style="31" customWidth="1"/>
    <col min="28" max="29" width="34.81640625" style="31" customWidth="1"/>
    <col min="30" max="30" width="12.453125" style="31" customWidth="1"/>
    <col min="31" max="31" width="11.54296875" style="31" hidden="1" customWidth="1"/>
    <col min="32" max="32" width="11.26953125" style="31" hidden="1" customWidth="1"/>
    <col min="33" max="33" width="14.54296875" style="31" hidden="1" customWidth="1"/>
    <col min="34" max="35" width="8.81640625" style="31" hidden="1" customWidth="1"/>
    <col min="36" max="16384" width="0" style="31" hidden="1"/>
  </cols>
  <sheetData>
    <row r="1" spans="1:29" ht="14.5" thickBot="1" x14ac:dyDescent="0.35"/>
    <row r="2" spans="1:29" ht="25.9" customHeight="1" thickBot="1" x14ac:dyDescent="0.35">
      <c r="D2" s="946" t="str">
        <f>IF(Start!F12="","",Start!F12)</f>
        <v/>
      </c>
      <c r="E2" s="947"/>
      <c r="G2" s="241"/>
      <c r="O2" s="907" t="str">
        <f>IF(OR(COUNTIF($O$11:O256,"*30+*")&gt;0,COUNTIF($S$11:S256,"*30+*")&gt;0),"Note; Habitat selected has a time to target condition greater than 30 years. Non standard agreement may be required. ⚠","")</f>
        <v/>
      </c>
      <c r="P2" s="907"/>
      <c r="Q2" s="907"/>
      <c r="R2" s="907"/>
      <c r="S2" s="907"/>
      <c r="T2" s="907"/>
    </row>
    <row r="3" spans="1:29" ht="19.899999999999999" customHeight="1" x14ac:dyDescent="0.3">
      <c r="D3" s="940" t="str">
        <f ca="1">MID(CELL("filename",C1),FIND("]",CELL("filename",C1))+1,256)</f>
        <v>D-2 Off Site Habitat Creation</v>
      </c>
      <c r="E3" s="941"/>
      <c r="G3" s="241"/>
      <c r="O3" s="907"/>
      <c r="P3" s="907"/>
      <c r="Q3" s="907"/>
      <c r="R3" s="907"/>
      <c r="S3" s="907"/>
      <c r="T3" s="907"/>
    </row>
    <row r="4" spans="1:29" ht="15.75" customHeight="1" thickBot="1" x14ac:dyDescent="0.35">
      <c r="D4" s="943"/>
      <c r="E4" s="944"/>
      <c r="G4" s="241"/>
      <c r="M4" s="131"/>
      <c r="O4" s="398"/>
      <c r="P4" s="398"/>
      <c r="Q4" s="398"/>
      <c r="R4" s="398"/>
      <c r="S4" s="398"/>
    </row>
    <row r="5" spans="1:29" ht="29.5" customHeight="1" x14ac:dyDescent="0.35">
      <c r="M5" s="33"/>
      <c r="N5" s="193"/>
      <c r="O5" s="907" t="str">
        <f>IFERROR(IF(OR((G259-'D-1 Off Site Habitat Baseline'!W261)&gt;0.01,(G259-'D-1 Off Site Habitat Baseline'!W261)&lt;-0.01),"Check Areas - Area cross check failed (Baseline habitat lost does not match area of new habitat creation)",""),"")</f>
        <v/>
      </c>
      <c r="P5" s="907"/>
      <c r="Q5" s="907"/>
      <c r="R5" s="907"/>
      <c r="S5" s="907"/>
      <c r="T5" s="907"/>
      <c r="U5" s="399"/>
      <c r="V5" s="399"/>
    </row>
    <row r="6" spans="1:29" ht="31.15" customHeight="1" x14ac:dyDescent="0.3">
      <c r="O6" s="907"/>
      <c r="P6" s="907"/>
      <c r="Q6" s="907"/>
      <c r="R6" s="907"/>
      <c r="S6" s="907"/>
      <c r="T6" s="907"/>
    </row>
    <row r="7" spans="1:29" ht="14.5" thickBot="1" x14ac:dyDescent="0.35"/>
    <row r="8" spans="1:29" ht="14.5" thickBot="1" x14ac:dyDescent="0.35">
      <c r="D8" s="950" t="s">
        <v>225</v>
      </c>
      <c r="E8" s="951"/>
      <c r="F8" s="951"/>
      <c r="G8" s="951"/>
      <c r="H8" s="951"/>
      <c r="I8" s="951"/>
      <c r="J8" s="951"/>
      <c r="K8" s="951"/>
      <c r="L8" s="951"/>
      <c r="M8" s="951"/>
      <c r="N8" s="951"/>
      <c r="O8" s="951"/>
      <c r="P8" s="951"/>
      <c r="Q8" s="951"/>
      <c r="R8" s="951"/>
      <c r="S8" s="951"/>
      <c r="T8" s="951"/>
      <c r="U8" s="951"/>
      <c r="V8" s="951"/>
      <c r="W8" s="951"/>
      <c r="X8" s="952"/>
    </row>
    <row r="9" spans="1:29" s="42" customFormat="1" ht="15" customHeight="1" thickBot="1" x14ac:dyDescent="0.35">
      <c r="B9" s="31"/>
      <c r="C9" s="31"/>
      <c r="D9" s="879" t="s">
        <v>202</v>
      </c>
      <c r="E9" s="881" t="s">
        <v>227</v>
      </c>
      <c r="F9" s="881" t="s">
        <v>227</v>
      </c>
      <c r="G9" s="953" t="s">
        <v>205</v>
      </c>
      <c r="H9" s="879" t="s">
        <v>189</v>
      </c>
      <c r="I9" s="877" t="s">
        <v>206</v>
      </c>
      <c r="J9" s="955" t="s">
        <v>190</v>
      </c>
      <c r="K9" s="877" t="s">
        <v>206</v>
      </c>
      <c r="L9" s="939" t="s">
        <v>191</v>
      </c>
      <c r="M9" s="939"/>
      <c r="N9" s="939"/>
      <c r="O9" s="939" t="s">
        <v>251</v>
      </c>
      <c r="P9" s="939"/>
      <c r="Q9" s="939"/>
      <c r="R9" s="939"/>
      <c r="S9" s="939"/>
      <c r="T9" s="939"/>
      <c r="U9" s="939" t="s">
        <v>252</v>
      </c>
      <c r="V9" s="939"/>
      <c r="W9" s="939"/>
      <c r="X9" s="939"/>
      <c r="Y9" s="949" t="s">
        <v>280</v>
      </c>
      <c r="Z9" s="949"/>
      <c r="AA9" s="938" t="s">
        <v>230</v>
      </c>
      <c r="AB9" s="938" t="s">
        <v>196</v>
      </c>
      <c r="AC9" s="938"/>
    </row>
    <row r="10" spans="1:29" ht="42" x14ac:dyDescent="0.3">
      <c r="A10" s="131" t="s">
        <v>200</v>
      </c>
      <c r="C10" s="31" t="s">
        <v>281</v>
      </c>
      <c r="D10" s="880"/>
      <c r="E10" s="882"/>
      <c r="F10" s="882"/>
      <c r="G10" s="954"/>
      <c r="H10" s="880"/>
      <c r="I10" s="878"/>
      <c r="J10" s="956"/>
      <c r="K10" s="878"/>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39"/>
      <c r="AB10" s="135" t="s">
        <v>215</v>
      </c>
      <c r="AC10" s="137" t="s">
        <v>216</v>
      </c>
    </row>
    <row r="11" spans="1:29" ht="14" x14ac:dyDescent="0.3">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4" x14ac:dyDescent="0.3">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4" x14ac:dyDescent="0.3">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4" x14ac:dyDescent="0.3">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4" x14ac:dyDescent="0.3">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4" x14ac:dyDescent="0.3">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4" x14ac:dyDescent="0.3">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4" x14ac:dyDescent="0.3">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4" x14ac:dyDescent="0.3">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4" x14ac:dyDescent="0.3">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4" x14ac:dyDescent="0.3">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4" x14ac:dyDescent="0.3">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4" x14ac:dyDescent="0.3">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4" x14ac:dyDescent="0.3">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4" x14ac:dyDescent="0.3">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4" x14ac:dyDescent="0.3">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4" x14ac:dyDescent="0.3">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4" x14ac:dyDescent="0.3">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4" x14ac:dyDescent="0.3">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4" x14ac:dyDescent="0.3">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4" x14ac:dyDescent="0.3">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4" x14ac:dyDescent="0.3">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4" x14ac:dyDescent="0.3">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4" x14ac:dyDescent="0.3">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4" x14ac:dyDescent="0.3">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4" x14ac:dyDescent="0.3">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4" x14ac:dyDescent="0.3">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4" x14ac:dyDescent="0.3">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4" x14ac:dyDescent="0.3">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4" x14ac:dyDescent="0.3">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4" x14ac:dyDescent="0.3">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4" x14ac:dyDescent="0.3">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4" x14ac:dyDescent="0.3">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4" x14ac:dyDescent="0.3">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4" x14ac:dyDescent="0.3">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4" x14ac:dyDescent="0.3">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4" x14ac:dyDescent="0.3">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4" x14ac:dyDescent="0.3">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4" x14ac:dyDescent="0.3">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4" x14ac:dyDescent="0.3">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4" x14ac:dyDescent="0.3">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4" x14ac:dyDescent="0.3">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4" x14ac:dyDescent="0.3">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4" x14ac:dyDescent="0.3">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4" x14ac:dyDescent="0.3">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4" x14ac:dyDescent="0.3">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4" x14ac:dyDescent="0.3">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4" x14ac:dyDescent="0.3">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4" x14ac:dyDescent="0.3">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4" x14ac:dyDescent="0.3">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4" x14ac:dyDescent="0.3">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4" x14ac:dyDescent="0.3">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4" x14ac:dyDescent="0.3">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4" x14ac:dyDescent="0.3">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4" x14ac:dyDescent="0.3">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4" x14ac:dyDescent="0.3">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4" x14ac:dyDescent="0.3">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4" x14ac:dyDescent="0.3">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4" x14ac:dyDescent="0.3">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4" x14ac:dyDescent="0.3">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4" x14ac:dyDescent="0.3">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4" x14ac:dyDescent="0.3">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4" x14ac:dyDescent="0.3">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4" x14ac:dyDescent="0.3">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4" x14ac:dyDescent="0.3">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4" x14ac:dyDescent="0.3">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4" x14ac:dyDescent="0.3">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4" x14ac:dyDescent="0.3">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4" x14ac:dyDescent="0.3">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4" x14ac:dyDescent="0.3">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4" x14ac:dyDescent="0.3">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4" x14ac:dyDescent="0.3">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4" x14ac:dyDescent="0.3">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4" x14ac:dyDescent="0.3">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4" x14ac:dyDescent="0.3">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4" x14ac:dyDescent="0.3">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4" x14ac:dyDescent="0.3">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4" x14ac:dyDescent="0.3">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4" x14ac:dyDescent="0.3">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4" x14ac:dyDescent="0.3">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4" x14ac:dyDescent="0.3">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4" x14ac:dyDescent="0.3">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4" x14ac:dyDescent="0.3">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4" x14ac:dyDescent="0.3">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4" x14ac:dyDescent="0.3">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4" x14ac:dyDescent="0.3">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4" x14ac:dyDescent="0.3">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4" x14ac:dyDescent="0.3">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4" x14ac:dyDescent="0.3">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4" x14ac:dyDescent="0.3">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4" x14ac:dyDescent="0.3">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4" x14ac:dyDescent="0.3">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4" x14ac:dyDescent="0.3">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4" x14ac:dyDescent="0.3">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4" x14ac:dyDescent="0.3">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4" x14ac:dyDescent="0.3">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4" x14ac:dyDescent="0.3">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4" x14ac:dyDescent="0.3">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4" x14ac:dyDescent="0.3">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4" x14ac:dyDescent="0.3">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4" x14ac:dyDescent="0.3">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4" x14ac:dyDescent="0.3">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4" x14ac:dyDescent="0.3">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4" x14ac:dyDescent="0.3">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4" x14ac:dyDescent="0.3">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4" x14ac:dyDescent="0.3">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4" x14ac:dyDescent="0.3">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4" x14ac:dyDescent="0.3">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4" x14ac:dyDescent="0.3">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4" x14ac:dyDescent="0.3">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4" x14ac:dyDescent="0.3">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4" x14ac:dyDescent="0.3">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4" x14ac:dyDescent="0.3">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4" x14ac:dyDescent="0.3">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4" x14ac:dyDescent="0.3">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4" x14ac:dyDescent="0.3">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4" x14ac:dyDescent="0.3">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4" x14ac:dyDescent="0.3">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4" x14ac:dyDescent="0.3">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4" x14ac:dyDescent="0.3">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4" x14ac:dyDescent="0.3">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4" x14ac:dyDescent="0.3">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4" x14ac:dyDescent="0.3">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4" x14ac:dyDescent="0.3">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4" x14ac:dyDescent="0.3">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4" x14ac:dyDescent="0.3">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4" x14ac:dyDescent="0.3">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4" x14ac:dyDescent="0.3">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4" x14ac:dyDescent="0.3">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4" x14ac:dyDescent="0.3">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4" x14ac:dyDescent="0.3">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4" x14ac:dyDescent="0.3">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4" x14ac:dyDescent="0.3">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4" x14ac:dyDescent="0.3">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4" x14ac:dyDescent="0.3">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4" x14ac:dyDescent="0.3">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4" x14ac:dyDescent="0.3">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4" x14ac:dyDescent="0.3">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4" x14ac:dyDescent="0.3">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4" x14ac:dyDescent="0.3">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4" x14ac:dyDescent="0.3">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4" x14ac:dyDescent="0.3">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4" x14ac:dyDescent="0.3">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4" x14ac:dyDescent="0.3">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4" x14ac:dyDescent="0.3">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4" x14ac:dyDescent="0.3">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4" x14ac:dyDescent="0.3">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4" x14ac:dyDescent="0.3">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4" x14ac:dyDescent="0.3">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4" x14ac:dyDescent="0.3">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4" x14ac:dyDescent="0.3">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4" x14ac:dyDescent="0.3">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4" x14ac:dyDescent="0.3">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4" x14ac:dyDescent="0.3">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4" x14ac:dyDescent="0.3">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4" x14ac:dyDescent="0.3">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4" x14ac:dyDescent="0.3">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4" x14ac:dyDescent="0.3">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4" x14ac:dyDescent="0.3">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4" x14ac:dyDescent="0.3">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4" x14ac:dyDescent="0.3">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4" x14ac:dyDescent="0.3">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4" x14ac:dyDescent="0.3">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4" x14ac:dyDescent="0.3">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4" x14ac:dyDescent="0.3">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4" x14ac:dyDescent="0.3">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4" x14ac:dyDescent="0.3">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4" x14ac:dyDescent="0.3">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4" x14ac:dyDescent="0.3">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4" x14ac:dyDescent="0.3">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4" x14ac:dyDescent="0.3">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4" x14ac:dyDescent="0.3">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4" x14ac:dyDescent="0.3">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4" x14ac:dyDescent="0.3">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4" x14ac:dyDescent="0.3">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4" x14ac:dyDescent="0.3">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4" x14ac:dyDescent="0.3">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4" x14ac:dyDescent="0.3">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4" x14ac:dyDescent="0.3">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4" x14ac:dyDescent="0.3">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4" x14ac:dyDescent="0.3">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4" x14ac:dyDescent="0.3">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4" x14ac:dyDescent="0.3">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4" x14ac:dyDescent="0.3">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4" x14ac:dyDescent="0.3">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4" x14ac:dyDescent="0.3">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4" x14ac:dyDescent="0.3">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4" x14ac:dyDescent="0.3">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4" x14ac:dyDescent="0.3">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4" x14ac:dyDescent="0.3">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4" x14ac:dyDescent="0.3">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4" x14ac:dyDescent="0.3">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4" x14ac:dyDescent="0.3">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4" x14ac:dyDescent="0.3">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4" x14ac:dyDescent="0.3">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4" x14ac:dyDescent="0.3">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4" x14ac:dyDescent="0.3">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4" x14ac:dyDescent="0.3">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4" x14ac:dyDescent="0.3">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4" x14ac:dyDescent="0.3">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4" x14ac:dyDescent="0.3">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4" x14ac:dyDescent="0.3">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4" x14ac:dyDescent="0.3">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4" x14ac:dyDescent="0.3">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4" x14ac:dyDescent="0.3">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4" x14ac:dyDescent="0.3">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4" x14ac:dyDescent="0.3">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4" x14ac:dyDescent="0.3">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4" x14ac:dyDescent="0.3">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4" x14ac:dyDescent="0.3">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4" x14ac:dyDescent="0.3">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4" x14ac:dyDescent="0.3">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4" x14ac:dyDescent="0.3">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4" x14ac:dyDescent="0.3">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4" x14ac:dyDescent="0.3">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4" x14ac:dyDescent="0.3">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4" x14ac:dyDescent="0.3">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4" x14ac:dyDescent="0.3">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4" x14ac:dyDescent="0.3">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4" x14ac:dyDescent="0.3">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4" x14ac:dyDescent="0.3">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4" x14ac:dyDescent="0.3">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4" x14ac:dyDescent="0.3">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4" x14ac:dyDescent="0.3">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4" x14ac:dyDescent="0.3">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4" x14ac:dyDescent="0.3">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4" x14ac:dyDescent="0.3">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4" x14ac:dyDescent="0.3">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4" x14ac:dyDescent="0.3">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4" x14ac:dyDescent="0.3">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4" x14ac:dyDescent="0.3">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4" x14ac:dyDescent="0.3">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4" x14ac:dyDescent="0.3">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4" x14ac:dyDescent="0.3">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4" x14ac:dyDescent="0.3">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4" x14ac:dyDescent="0.3">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4" x14ac:dyDescent="0.3">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4" x14ac:dyDescent="0.3">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4" x14ac:dyDescent="0.3">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4" x14ac:dyDescent="0.3">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4" x14ac:dyDescent="0.3">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4" x14ac:dyDescent="0.3">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4" x14ac:dyDescent="0.3">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4" x14ac:dyDescent="0.3">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4" x14ac:dyDescent="0.3">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4.5" thickBot="1" x14ac:dyDescent="0.35">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4.5" thickBot="1" x14ac:dyDescent="0.35">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4.5" thickBot="1" x14ac:dyDescent="0.35"/>
    <row r="259" spans="5:27" ht="14.5" thickBot="1" x14ac:dyDescent="0.35">
      <c r="E259" s="501" t="s">
        <v>246</v>
      </c>
      <c r="F259" s="47"/>
      <c r="G259" s="518">
        <f>IF('Detailed Results'!$K$40&gt;0,"Error",SUMIFS($G$11:$G$256,$F$11:$F$256,"&lt;&gt;"&amp;'G-1 All Habitats'!B73,$F$11:$F$256,"&lt;&gt;"&amp;'G-1 All Habitats'!B65,$F$11:$F$256,"&lt;&gt;"&amp;'G-1 All Habitats'!B66))</f>
        <v>0</v>
      </c>
    </row>
    <row r="260" spans="5:27" ht="14" x14ac:dyDescent="0.3"/>
    <row r="261" spans="5:27" ht="14" x14ac:dyDescent="0.3"/>
    <row r="262" spans="5:27" ht="14" x14ac:dyDescent="0.3"/>
    <row r="263" spans="5:27" ht="14" x14ac:dyDescent="0.3"/>
    <row r="264" spans="5:27" ht="14" hidden="1" x14ac:dyDescent="0.3">
      <c r="T264" s="31" t="s">
        <v>285</v>
      </c>
      <c r="U264" s="31" t="s">
        <v>285</v>
      </c>
      <c r="X264" s="31" t="s">
        <v>285</v>
      </c>
      <c r="AA264" s="31" t="s">
        <v>285</v>
      </c>
    </row>
    <row r="265" spans="5:27" ht="14" hidden="1" x14ac:dyDescent="0.3">
      <c r="T265" s="31" t="s">
        <v>285</v>
      </c>
      <c r="U265" s="31" t="s">
        <v>285</v>
      </c>
      <c r="X265" s="31" t="s">
        <v>285</v>
      </c>
      <c r="AA265" s="31" t="s">
        <v>285</v>
      </c>
    </row>
    <row r="266" spans="5:27" ht="14" hidden="1" x14ac:dyDescent="0.3"/>
    <row r="267" spans="5:27" ht="14" hidden="1" x14ac:dyDescent="0.3"/>
    <row r="268" spans="5:27" ht="14" hidden="1" x14ac:dyDescent="0.3"/>
    <row r="269" spans="5:27" ht="14" hidden="1" x14ac:dyDescent="0.3"/>
    <row r="270" spans="5:27" ht="14" hidden="1" x14ac:dyDescent="0.3"/>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D9:D10"/>
    <mergeCell ref="E9:E10"/>
    <mergeCell ref="D8:X8"/>
    <mergeCell ref="D3:E4"/>
    <mergeCell ref="D2:E2"/>
    <mergeCell ref="H9:H10"/>
    <mergeCell ref="G9:G10"/>
    <mergeCell ref="F9:F10"/>
    <mergeCell ref="K9:K10"/>
    <mergeCell ref="J9:J10"/>
    <mergeCell ref="I9:I10"/>
    <mergeCell ref="O5:T6"/>
    <mergeCell ref="O2:T3"/>
    <mergeCell ref="AB9:AC9"/>
    <mergeCell ref="L9:N9"/>
    <mergeCell ref="O9:T9"/>
    <mergeCell ref="U9:X9"/>
    <mergeCell ref="Y9:Z9"/>
    <mergeCell ref="AA9:AA10"/>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4" zeroHeight="1" x14ac:dyDescent="0.3"/>
  <cols>
    <col min="1" max="1" width="19.26953125" style="31" hidden="1" customWidth="1"/>
    <col min="2" max="3" width="35" style="31" hidden="1" customWidth="1"/>
    <col min="4" max="4" width="2" style="31" customWidth="1"/>
    <col min="5" max="5" width="12.26953125" style="31" customWidth="1"/>
    <col min="6" max="6" width="73.453125" style="31" customWidth="1"/>
    <col min="7" max="7" width="9.54296875" style="31" customWidth="1"/>
    <col min="8" max="8" width="18.26953125" style="31" customWidth="1"/>
    <col min="9" max="9" width="19.1796875" style="31" customWidth="1"/>
    <col min="10" max="10" width="18.1796875" style="31" customWidth="1"/>
    <col min="11" max="11" width="19.26953125" style="31" customWidth="1"/>
    <col min="12" max="12" width="22.26953125" style="31" customWidth="1"/>
    <col min="13" max="13" width="21.54296875" style="31" customWidth="1"/>
    <col min="14" max="14" width="19.26953125" style="31" customWidth="1"/>
    <col min="15" max="15" width="29.7265625" style="31" customWidth="1"/>
    <col min="16" max="16" width="29.7265625" style="31" hidden="1" customWidth="1"/>
    <col min="17" max="17" width="29.7265625" style="31" customWidth="1"/>
    <col min="18" max="18" width="71.26953125" style="31" customWidth="1"/>
    <col min="19" max="19" width="75.54296875" style="31" hidden="1" customWidth="1"/>
    <col min="20" max="21" width="34.26953125" style="31" customWidth="1"/>
    <col min="22" max="22" width="8.1796875" style="31" customWidth="1"/>
    <col min="23" max="23" width="18.26953125" style="31" customWidth="1"/>
    <col min="24" max="24" width="13.1796875" style="31" customWidth="1"/>
    <col min="25" max="25" width="12.54296875" style="31" bestFit="1" customWidth="1"/>
    <col min="26" max="26" width="12.54296875" style="31" customWidth="1"/>
    <col min="27" max="27" width="41.7265625" style="31" customWidth="1"/>
    <col min="28" max="28" width="20.1796875" style="31" customWidth="1"/>
    <col min="29" max="29" width="12.26953125" style="31" customWidth="1"/>
    <col min="30" max="30" width="18.453125" style="31" customWidth="1"/>
    <col min="31" max="31" width="21.26953125" style="31" customWidth="1"/>
    <col min="32" max="32" width="22.1796875" style="31" customWidth="1"/>
    <col min="33" max="33" width="33" style="31" customWidth="1"/>
    <col min="34" max="35" width="18.453125" style="31" customWidth="1"/>
    <col min="36" max="36" width="15.26953125" style="31" customWidth="1"/>
    <col min="37" max="37" width="28.26953125" style="31" customWidth="1"/>
    <col min="38" max="38" width="20.1796875" style="31" customWidth="1"/>
    <col min="39" max="39" width="13.54296875" style="31" customWidth="1"/>
    <col min="40" max="40" width="91.453125" style="31" customWidth="1"/>
    <col min="41" max="41" width="15.453125" style="31" customWidth="1"/>
    <col min="42" max="42" width="13.26953125" style="31" customWidth="1"/>
    <col min="43" max="43" width="45.7265625" style="31" customWidth="1"/>
    <col min="44" max="44" width="50.453125" style="31" customWidth="1"/>
    <col min="45" max="48" width="8.81640625" style="31" customWidth="1"/>
    <col min="49" max="16384" width="8.81640625" style="31" hidden="1"/>
  </cols>
  <sheetData>
    <row r="1" spans="1:44" ht="15.75" customHeight="1" thickBot="1" x14ac:dyDescent="0.35"/>
    <row r="2" spans="1:44" ht="19.899999999999999" customHeight="1" thickBot="1" x14ac:dyDescent="0.35">
      <c r="E2" s="743" t="str">
        <f>IF(Start!$F$12="","",Start!$F$12)</f>
        <v/>
      </c>
      <c r="F2" s="744"/>
      <c r="G2" s="745"/>
      <c r="AD2" s="908" t="str">
        <f>IF(OR(COUNTIF($AD$12:AD257,"*30+*")&gt;0,COUNTIF(AH12:AH257,"*30+*")&gt;0),"Note; Habitat selected has a time to target condition greater than 30 years. Non standard agreement may be required. ⚠","")</f>
        <v/>
      </c>
      <c r="AE2" s="908"/>
      <c r="AF2" s="908"/>
      <c r="AG2" s="908"/>
      <c r="AH2" s="908"/>
      <c r="AI2" s="908"/>
    </row>
    <row r="3" spans="1:44" ht="15.75" customHeight="1" thickBot="1" x14ac:dyDescent="0.35">
      <c r="E3" s="971" t="str">
        <f ca="1">MID(CELL("filename",E1),FIND("]",CELL("filename",E1))+1,256)</f>
        <v>D-3 Off Site Habitat Enhancment</v>
      </c>
      <c r="F3" s="972"/>
      <c r="G3" s="973"/>
      <c r="AD3" s="908"/>
      <c r="AE3" s="908"/>
      <c r="AF3" s="908"/>
      <c r="AG3" s="908"/>
      <c r="AH3" s="908"/>
      <c r="AI3" s="908"/>
    </row>
    <row r="4" spans="1:44" ht="15.75" customHeight="1" thickBot="1" x14ac:dyDescent="0.4">
      <c r="E4" s="971"/>
      <c r="F4" s="972"/>
      <c r="G4" s="973"/>
      <c r="AB4" s="33"/>
      <c r="AC4" s="193"/>
      <c r="AD4" s="447"/>
      <c r="AE4" s="447"/>
      <c r="AF4" s="447"/>
      <c r="AG4" s="447"/>
      <c r="AH4" s="193"/>
      <c r="AI4" s="193"/>
      <c r="AJ4" s="193"/>
      <c r="AK4" s="193"/>
      <c r="AL4" s="193"/>
      <c r="AM4" s="193"/>
      <c r="AN4" s="193"/>
    </row>
    <row r="5" spans="1:44" ht="15" customHeight="1" x14ac:dyDescent="0.3">
      <c r="AD5" s="929" t="str">
        <f>IF(Q12&lt;&gt;A12,"Change in broad habitat type detected. Check compliance with guidance.","")</f>
        <v/>
      </c>
      <c r="AE5" s="929"/>
      <c r="AF5" s="929"/>
      <c r="AG5" s="929"/>
      <c r="AH5" s="929"/>
      <c r="AI5" s="929"/>
    </row>
    <row r="6" spans="1:44" ht="15.75" customHeight="1" x14ac:dyDescent="0.3">
      <c r="AD6" s="929"/>
      <c r="AE6" s="929"/>
      <c r="AF6" s="929"/>
      <c r="AG6" s="929"/>
      <c r="AH6" s="929"/>
      <c r="AI6" s="929"/>
    </row>
    <row r="7" spans="1:44" x14ac:dyDescent="0.3">
      <c r="F7" s="132"/>
      <c r="G7" s="131"/>
    </row>
    <row r="8" spans="1:44" ht="14.5" thickBot="1" x14ac:dyDescent="0.35"/>
    <row r="9" spans="1:44" ht="14.5" thickBot="1" x14ac:dyDescent="0.35">
      <c r="F9" s="131"/>
      <c r="G9" s="131"/>
      <c r="H9" s="131"/>
      <c r="I9" s="131"/>
      <c r="J9" s="131"/>
      <c r="K9" s="131"/>
      <c r="L9" s="131"/>
      <c r="M9" s="131"/>
      <c r="N9" s="131"/>
      <c r="O9" s="131"/>
      <c r="P9" s="131"/>
      <c r="Q9" s="950" t="s">
        <v>225</v>
      </c>
      <c r="R9" s="951"/>
      <c r="S9" s="951"/>
      <c r="T9" s="951"/>
      <c r="U9" s="951"/>
      <c r="V9" s="951"/>
      <c r="W9" s="951"/>
      <c r="X9" s="951"/>
      <c r="Y9" s="951"/>
      <c r="Z9" s="951"/>
      <c r="AA9" s="951"/>
      <c r="AB9" s="951"/>
      <c r="AC9" s="951"/>
      <c r="AD9" s="951"/>
      <c r="AE9" s="951"/>
      <c r="AF9" s="951"/>
      <c r="AG9" s="951"/>
      <c r="AH9" s="951"/>
      <c r="AI9" s="951"/>
      <c r="AJ9" s="951"/>
      <c r="AK9" s="951"/>
      <c r="AL9" s="951"/>
      <c r="AM9" s="951"/>
      <c r="AN9" s="951"/>
      <c r="AO9" s="952"/>
    </row>
    <row r="10" spans="1:44" ht="30.65" customHeight="1" thickBot="1" x14ac:dyDescent="0.35">
      <c r="F10" s="950" t="s">
        <v>247</v>
      </c>
      <c r="G10" s="951"/>
      <c r="H10" s="951"/>
      <c r="I10" s="951"/>
      <c r="J10" s="951"/>
      <c r="K10" s="951"/>
      <c r="L10" s="951"/>
      <c r="M10" s="951"/>
      <c r="N10" s="951"/>
      <c r="O10" s="952"/>
      <c r="P10" s="223"/>
      <c r="Q10" s="957" t="s">
        <v>286</v>
      </c>
      <c r="R10" s="958"/>
      <c r="S10" s="394"/>
      <c r="T10" s="957" t="s">
        <v>249</v>
      </c>
      <c r="U10" s="958"/>
      <c r="V10" s="964" t="s">
        <v>287</v>
      </c>
      <c r="W10" s="962" t="s">
        <v>189</v>
      </c>
      <c r="X10" s="962" t="s">
        <v>206</v>
      </c>
      <c r="Y10" s="962" t="s">
        <v>190</v>
      </c>
      <c r="Z10" s="960" t="s">
        <v>206</v>
      </c>
      <c r="AA10" s="957" t="s">
        <v>191</v>
      </c>
      <c r="AB10" s="959"/>
      <c r="AC10" s="959"/>
      <c r="AD10" s="966" t="s">
        <v>228</v>
      </c>
      <c r="AE10" s="967"/>
      <c r="AF10" s="967"/>
      <c r="AG10" s="967"/>
      <c r="AH10" s="967"/>
      <c r="AI10" s="968"/>
      <c r="AJ10" s="966" t="s">
        <v>229</v>
      </c>
      <c r="AK10" s="967"/>
      <c r="AL10" s="967"/>
      <c r="AM10" s="968"/>
      <c r="AN10" s="957" t="s">
        <v>280</v>
      </c>
      <c r="AO10" s="958"/>
      <c r="AP10" s="969" t="s">
        <v>230</v>
      </c>
      <c r="AQ10" s="957" t="s">
        <v>196</v>
      </c>
      <c r="AR10" s="958"/>
    </row>
    <row r="11" spans="1:44" ht="51.65" customHeight="1" thickBot="1" x14ac:dyDescent="0.35">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5"/>
      <c r="W11" s="963"/>
      <c r="X11" s="963"/>
      <c r="Y11" s="963"/>
      <c r="Z11" s="961"/>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0"/>
      <c r="AQ11" s="141" t="s">
        <v>215</v>
      </c>
      <c r="AR11" s="358" t="s">
        <v>216</v>
      </c>
    </row>
    <row r="12" spans="1:44" x14ac:dyDescent="0.3">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x14ac:dyDescent="0.3">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x14ac:dyDescent="0.3">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x14ac:dyDescent="0.3">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x14ac:dyDescent="0.3">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x14ac:dyDescent="0.3">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x14ac:dyDescent="0.3">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x14ac:dyDescent="0.3">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x14ac:dyDescent="0.3">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x14ac:dyDescent="0.3">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x14ac:dyDescent="0.3">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x14ac:dyDescent="0.3">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x14ac:dyDescent="0.3">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x14ac:dyDescent="0.3">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x14ac:dyDescent="0.3">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x14ac:dyDescent="0.3">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x14ac:dyDescent="0.3">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x14ac:dyDescent="0.3">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x14ac:dyDescent="0.3">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x14ac:dyDescent="0.3">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x14ac:dyDescent="0.3">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x14ac:dyDescent="0.3">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x14ac:dyDescent="0.3">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x14ac:dyDescent="0.3">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x14ac:dyDescent="0.3">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x14ac:dyDescent="0.3">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x14ac:dyDescent="0.3">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x14ac:dyDescent="0.3">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x14ac:dyDescent="0.3">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x14ac:dyDescent="0.3">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x14ac:dyDescent="0.3">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x14ac:dyDescent="0.3">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x14ac:dyDescent="0.3">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x14ac:dyDescent="0.3">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x14ac:dyDescent="0.3">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x14ac:dyDescent="0.3">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x14ac:dyDescent="0.3">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x14ac:dyDescent="0.3">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x14ac:dyDescent="0.3">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x14ac:dyDescent="0.3">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x14ac:dyDescent="0.3">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x14ac:dyDescent="0.3">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x14ac:dyDescent="0.3">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x14ac:dyDescent="0.3">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x14ac:dyDescent="0.3">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x14ac:dyDescent="0.3">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x14ac:dyDescent="0.3">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x14ac:dyDescent="0.3">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x14ac:dyDescent="0.3">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x14ac:dyDescent="0.3">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x14ac:dyDescent="0.3">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x14ac:dyDescent="0.3">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x14ac:dyDescent="0.3">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x14ac:dyDescent="0.3">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x14ac:dyDescent="0.3">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x14ac:dyDescent="0.3">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x14ac:dyDescent="0.3">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x14ac:dyDescent="0.3">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x14ac:dyDescent="0.3">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x14ac:dyDescent="0.3">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x14ac:dyDescent="0.3">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x14ac:dyDescent="0.3">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x14ac:dyDescent="0.3">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x14ac:dyDescent="0.3">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x14ac:dyDescent="0.3">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x14ac:dyDescent="0.3">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x14ac:dyDescent="0.3">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x14ac:dyDescent="0.3">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x14ac:dyDescent="0.3">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x14ac:dyDescent="0.3">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x14ac:dyDescent="0.3">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x14ac:dyDescent="0.3">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x14ac:dyDescent="0.3">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x14ac:dyDescent="0.3">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x14ac:dyDescent="0.3">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x14ac:dyDescent="0.3">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x14ac:dyDescent="0.3">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x14ac:dyDescent="0.3">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x14ac:dyDescent="0.3">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x14ac:dyDescent="0.3">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x14ac:dyDescent="0.3">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x14ac:dyDescent="0.3">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x14ac:dyDescent="0.3">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x14ac:dyDescent="0.3">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x14ac:dyDescent="0.3">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x14ac:dyDescent="0.3">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x14ac:dyDescent="0.3">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x14ac:dyDescent="0.3">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x14ac:dyDescent="0.3">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x14ac:dyDescent="0.3">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x14ac:dyDescent="0.3">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x14ac:dyDescent="0.3">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x14ac:dyDescent="0.3">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x14ac:dyDescent="0.3">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x14ac:dyDescent="0.3">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x14ac:dyDescent="0.3">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x14ac:dyDescent="0.3">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x14ac:dyDescent="0.3">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x14ac:dyDescent="0.3">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x14ac:dyDescent="0.3">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x14ac:dyDescent="0.3">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x14ac:dyDescent="0.3">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x14ac:dyDescent="0.3">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x14ac:dyDescent="0.3">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x14ac:dyDescent="0.3">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x14ac:dyDescent="0.3">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x14ac:dyDescent="0.3">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x14ac:dyDescent="0.3">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x14ac:dyDescent="0.3">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x14ac:dyDescent="0.3">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x14ac:dyDescent="0.3">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x14ac:dyDescent="0.3">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x14ac:dyDescent="0.3">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x14ac:dyDescent="0.3">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x14ac:dyDescent="0.3">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x14ac:dyDescent="0.3">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x14ac:dyDescent="0.3">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x14ac:dyDescent="0.3">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x14ac:dyDescent="0.3">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x14ac:dyDescent="0.3">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x14ac:dyDescent="0.3">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x14ac:dyDescent="0.3">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x14ac:dyDescent="0.3">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x14ac:dyDescent="0.3">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x14ac:dyDescent="0.3">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x14ac:dyDescent="0.3">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x14ac:dyDescent="0.3">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x14ac:dyDescent="0.3">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x14ac:dyDescent="0.3">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x14ac:dyDescent="0.3">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x14ac:dyDescent="0.3">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x14ac:dyDescent="0.3">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x14ac:dyDescent="0.3">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x14ac:dyDescent="0.3">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x14ac:dyDescent="0.3">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x14ac:dyDescent="0.3">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x14ac:dyDescent="0.3">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x14ac:dyDescent="0.3">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x14ac:dyDescent="0.3">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x14ac:dyDescent="0.3">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x14ac:dyDescent="0.3">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x14ac:dyDescent="0.3">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x14ac:dyDescent="0.3">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x14ac:dyDescent="0.3">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x14ac:dyDescent="0.3">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x14ac:dyDescent="0.3">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x14ac:dyDescent="0.3">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x14ac:dyDescent="0.3">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x14ac:dyDescent="0.3">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x14ac:dyDescent="0.3">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x14ac:dyDescent="0.3">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x14ac:dyDescent="0.3">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x14ac:dyDescent="0.3">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x14ac:dyDescent="0.3">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x14ac:dyDescent="0.3">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x14ac:dyDescent="0.3">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x14ac:dyDescent="0.3">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x14ac:dyDescent="0.3">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x14ac:dyDescent="0.3">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x14ac:dyDescent="0.3">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x14ac:dyDescent="0.3">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x14ac:dyDescent="0.3">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x14ac:dyDescent="0.3">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x14ac:dyDescent="0.3">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x14ac:dyDescent="0.3">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x14ac:dyDescent="0.3">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x14ac:dyDescent="0.3">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x14ac:dyDescent="0.3">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x14ac:dyDescent="0.3">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x14ac:dyDescent="0.3">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x14ac:dyDescent="0.3">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x14ac:dyDescent="0.3">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x14ac:dyDescent="0.3">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x14ac:dyDescent="0.3">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x14ac:dyDescent="0.3">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x14ac:dyDescent="0.3">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x14ac:dyDescent="0.3">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x14ac:dyDescent="0.3">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x14ac:dyDescent="0.3">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x14ac:dyDescent="0.3">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x14ac:dyDescent="0.3">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x14ac:dyDescent="0.3">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x14ac:dyDescent="0.3">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x14ac:dyDescent="0.3">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x14ac:dyDescent="0.3">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x14ac:dyDescent="0.3">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x14ac:dyDescent="0.3">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x14ac:dyDescent="0.3">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x14ac:dyDescent="0.3">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x14ac:dyDescent="0.3">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x14ac:dyDescent="0.3">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x14ac:dyDescent="0.3">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x14ac:dyDescent="0.3">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x14ac:dyDescent="0.3">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x14ac:dyDescent="0.3">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x14ac:dyDescent="0.3">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x14ac:dyDescent="0.3">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x14ac:dyDescent="0.3">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x14ac:dyDescent="0.3">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x14ac:dyDescent="0.3">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x14ac:dyDescent="0.3">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x14ac:dyDescent="0.3">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x14ac:dyDescent="0.3">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x14ac:dyDescent="0.3">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x14ac:dyDescent="0.3">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x14ac:dyDescent="0.3">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x14ac:dyDescent="0.3">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x14ac:dyDescent="0.3">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x14ac:dyDescent="0.3">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x14ac:dyDescent="0.3">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x14ac:dyDescent="0.3">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x14ac:dyDescent="0.3">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x14ac:dyDescent="0.3">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x14ac:dyDescent="0.3">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x14ac:dyDescent="0.3">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x14ac:dyDescent="0.3">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x14ac:dyDescent="0.3">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x14ac:dyDescent="0.3">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x14ac:dyDescent="0.3">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x14ac:dyDescent="0.3">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x14ac:dyDescent="0.3">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x14ac:dyDescent="0.3">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x14ac:dyDescent="0.3">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x14ac:dyDescent="0.3">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x14ac:dyDescent="0.3">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x14ac:dyDescent="0.3">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x14ac:dyDescent="0.3">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x14ac:dyDescent="0.3">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x14ac:dyDescent="0.3">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x14ac:dyDescent="0.3">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x14ac:dyDescent="0.3">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x14ac:dyDescent="0.3">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x14ac:dyDescent="0.3">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x14ac:dyDescent="0.3">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x14ac:dyDescent="0.3">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x14ac:dyDescent="0.3">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x14ac:dyDescent="0.3">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x14ac:dyDescent="0.3">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x14ac:dyDescent="0.3">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x14ac:dyDescent="0.3">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x14ac:dyDescent="0.3">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x14ac:dyDescent="0.3">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x14ac:dyDescent="0.3">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x14ac:dyDescent="0.3">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x14ac:dyDescent="0.3">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x14ac:dyDescent="0.3">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4.5" thickBot="1" x14ac:dyDescent="0.35">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65" customHeight="1" thickBot="1" x14ac:dyDescent="0.35">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x14ac:dyDescent="0.3">
      <c r="V260" s="31" t="str">
        <f>IF(V259&lt;&gt;'D-1 Off Site Habitat Baseline'!T259,"Error - Area of habitat enhancement must match the area from sheet D1 ▲","")</f>
        <v/>
      </c>
    </row>
    <row r="261" spans="1:44" x14ac:dyDescent="0.3"/>
    <row r="262" spans="1:44" x14ac:dyDescent="0.3"/>
    <row r="263" spans="1:44" x14ac:dyDescent="0.3"/>
    <row r="264" spans="1:44" x14ac:dyDescent="0.3"/>
    <row r="265" spans="1:44" x14ac:dyDescent="0.3"/>
    <row r="266" spans="1:44" x14ac:dyDescent="0.3"/>
    <row r="267" spans="1:44" x14ac:dyDescent="0.3"/>
    <row r="268" spans="1:44" x14ac:dyDescent="0.3"/>
    <row r="269" spans="1:44" x14ac:dyDescent="0.3"/>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E2:G2"/>
    <mergeCell ref="E3:G4"/>
    <mergeCell ref="AN10:AO10"/>
    <mergeCell ref="F10:O10"/>
    <mergeCell ref="Q9:AO9"/>
    <mergeCell ref="Q10:R10"/>
    <mergeCell ref="AD5:AI6"/>
    <mergeCell ref="AD2:AI3"/>
    <mergeCell ref="AQ10:AR10"/>
    <mergeCell ref="T10:U10"/>
    <mergeCell ref="AA10:AC10"/>
    <mergeCell ref="Z10:Z11"/>
    <mergeCell ref="Y10:Y11"/>
    <mergeCell ref="X10:X11"/>
    <mergeCell ref="W10:W11"/>
    <mergeCell ref="V10:V11"/>
    <mergeCell ref="AD10:AI10"/>
    <mergeCell ref="AJ10:AM10"/>
    <mergeCell ref="AP10:AP11"/>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zoomScaleNormal="100" workbookViewId="0">
      <pane ySplit="9" topLeftCell="A10" activePane="bottomLeft" state="frozen"/>
      <selection activeCell="S28" sqref="S28"/>
      <selection pane="bottomLeft"/>
    </sheetView>
  </sheetViews>
  <sheetFormatPr defaultColWidth="8.81640625" defaultRowHeight="0" customHeight="1" zeroHeight="1" x14ac:dyDescent="0.3"/>
  <cols>
    <col min="1" max="1" width="3" style="31" customWidth="1"/>
    <col min="2" max="2" width="11.81640625" style="31" customWidth="1"/>
    <col min="3" max="3" width="12.7265625" style="31" customWidth="1"/>
    <col min="4" max="4" width="62.54296875" style="31" customWidth="1"/>
    <col min="5" max="5" width="10.7265625" style="31" customWidth="1"/>
    <col min="6" max="6" width="19.1796875" style="31" customWidth="1"/>
    <col min="7" max="7" width="8.7265625" style="31" customWidth="1"/>
    <col min="8" max="8" width="14.26953125" style="31" bestFit="1" customWidth="1"/>
    <col min="9" max="9" width="8.453125" style="31" customWidth="1"/>
    <col min="10" max="10" width="41.7265625" style="31" customWidth="1"/>
    <col min="11" max="11" width="21.453125" style="31" customWidth="1"/>
    <col min="12" max="12" width="13.1796875" style="31" customWidth="1"/>
    <col min="13" max="13" width="20.7265625" style="31" customWidth="1"/>
    <col min="14" max="14" width="13.26953125" style="31" customWidth="1"/>
    <col min="15" max="15" width="3.7265625" style="31" customWidth="1"/>
    <col min="16" max="17" width="12" style="31" customWidth="1"/>
    <col min="18" max="18" width="10.1796875" style="31" customWidth="1"/>
    <col min="19" max="19" width="12" style="31" customWidth="1"/>
    <col min="20" max="21" width="8.7265625" style="31" customWidth="1"/>
    <col min="22" max="23" width="50.1796875" style="31" customWidth="1"/>
    <col min="24" max="28" width="8.81640625" style="31" customWidth="1"/>
    <col min="29" max="30" width="8.81640625" style="31"/>
    <col min="31" max="31" width="9" style="31" hidden="1" customWidth="1"/>
    <col min="32" max="32" width="9.54296875" style="31" hidden="1" customWidth="1"/>
    <col min="33" max="33" width="0" style="31" hidden="1" customWidth="1"/>
    <col min="34" max="34" width="11.81640625" style="31" hidden="1" customWidth="1"/>
    <col min="35" max="35" width="0" style="31" hidden="1" customWidth="1"/>
    <col min="36" max="36" width="9" style="31" hidden="1" customWidth="1"/>
    <col min="37" max="37" width="9.54296875" style="31" hidden="1" customWidth="1"/>
    <col min="38" max="38" width="15.81640625" style="31" hidden="1" customWidth="1"/>
    <col min="39" max="16384" width="8.81640625" style="31"/>
  </cols>
  <sheetData>
    <row r="1" spans="2:38" ht="15.75" customHeight="1" thickBot="1" x14ac:dyDescent="0.35"/>
    <row r="2" spans="2:38" ht="20.25" customHeight="1" thickBot="1" x14ac:dyDescent="0.35">
      <c r="B2" s="743" t="str">
        <f>IF([1]Start!$F$12="","",[1]Start!$F$12)</f>
        <v/>
      </c>
      <c r="C2" s="744"/>
      <c r="D2" s="745"/>
    </row>
    <row r="3" spans="2:38" ht="20.5" customHeight="1" x14ac:dyDescent="0.3">
      <c r="B3" s="974" t="str">
        <f ca="1">MID(CELL("filename",A1),FIND("]",CELL("filename",A1))+1,256)</f>
        <v>B-1 Site Hedge Baseline</v>
      </c>
      <c r="C3" s="975"/>
      <c r="D3" s="976"/>
    </row>
    <row r="4" spans="2:38" ht="10.9" customHeight="1" thickBot="1" x14ac:dyDescent="0.35">
      <c r="B4" s="977"/>
      <c r="C4" s="978"/>
      <c r="D4" s="979"/>
    </row>
    <row r="5" spans="2:38" ht="15.75" customHeight="1" x14ac:dyDescent="0.3"/>
    <row r="6" spans="2:38" ht="20.5" customHeight="1" x14ac:dyDescent="0.3"/>
    <row r="7" spans="2:38" ht="45" customHeight="1" thickBot="1" x14ac:dyDescent="0.35">
      <c r="B7" s="132"/>
      <c r="C7" s="132"/>
      <c r="E7" s="131"/>
    </row>
    <row r="8" spans="2:38" s="42" customFormat="1" ht="28.5" customHeight="1" thickBot="1" x14ac:dyDescent="0.35">
      <c r="B8" s="40"/>
      <c r="C8" s="966" t="s">
        <v>292</v>
      </c>
      <c r="D8" s="967"/>
      <c r="E8" s="968"/>
      <c r="F8" s="939" t="s">
        <v>272</v>
      </c>
      <c r="G8" s="939"/>
      <c r="H8" s="939" t="s">
        <v>273</v>
      </c>
      <c r="I8" s="939"/>
      <c r="J8" s="939" t="s">
        <v>191</v>
      </c>
      <c r="K8" s="939"/>
      <c r="L8" s="939"/>
      <c r="M8" s="969" t="s">
        <v>192</v>
      </c>
      <c r="N8" s="167" t="s">
        <v>193</v>
      </c>
      <c r="O8" s="31"/>
      <c r="P8" s="966" t="s">
        <v>194</v>
      </c>
      <c r="Q8" s="967"/>
      <c r="R8" s="967"/>
      <c r="S8" s="967"/>
      <c r="T8" s="967"/>
      <c r="U8" s="968"/>
      <c r="V8" s="966" t="s">
        <v>196</v>
      </c>
      <c r="W8" s="968"/>
    </row>
    <row r="9" spans="2:38" ht="45.75" customHeight="1" thickBot="1" x14ac:dyDescent="0.35">
      <c r="B9" s="135" t="s">
        <v>254</v>
      </c>
      <c r="C9" s="200" t="s">
        <v>293</v>
      </c>
      <c r="D9" s="200" t="s">
        <v>99</v>
      </c>
      <c r="E9" s="201" t="s">
        <v>294</v>
      </c>
      <c r="F9" s="367" t="s">
        <v>189</v>
      </c>
      <c r="G9" s="201" t="s">
        <v>206</v>
      </c>
      <c r="H9" s="367" t="s">
        <v>190</v>
      </c>
      <c r="I9" s="201" t="s">
        <v>206</v>
      </c>
      <c r="J9" s="367" t="s">
        <v>191</v>
      </c>
      <c r="K9" s="200" t="s">
        <v>191</v>
      </c>
      <c r="L9" s="201" t="s">
        <v>231</v>
      </c>
      <c r="M9" s="970"/>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14" x14ac:dyDescent="0.3">
      <c r="B10" s="141">
        <v>1</v>
      </c>
      <c r="C10" s="202"/>
      <c r="D10" s="82"/>
      <c r="E10" s="172"/>
      <c r="F10" s="552" t="str">
        <f>IF(D10="","",VLOOKUP(D10,'G-6 Hedgerow Data'!$B$2:$AG$15,2,FALSE))</f>
        <v/>
      </c>
      <c r="G10" s="498" t="str">
        <f>IF(D10="","",VLOOKUP(D10,'G-6 Hedgerow Data'!$B$2:$AG$15,3,FALSE))</f>
        <v/>
      </c>
      <c r="H10" s="145"/>
      <c r="I10" s="498" t="str">
        <f>IFERROR(VLOOKUP(H10,'G-1 All Habitats'!$Z$2:$AA$9,2,FALSE),"")</f>
        <v/>
      </c>
      <c r="J10" s="145"/>
      <c r="K10" s="519" t="str">
        <f>IF(J10="","",IF(VLOOKUP(J10,'G-3 Multipliers'!$L$3:$N$6,2,FALSE)=0,"Spatial Data Missing",VLOOKUP(J10,'G-3 Multipliers'!$L$3:$N$6,2,FALSE)))</f>
        <v/>
      </c>
      <c r="L10" s="504" t="str">
        <f>IF(J10="","",IF(VLOOKUP(J10,'G-3 Multipliers'!$L$3:$N$6,3,FALSE)=0,"Spatial Data Missing ⚠",VLOOKUP(J10,'G-3 Multipliers'!$L$3:$N$6,3,FALSE)))</f>
        <v/>
      </c>
      <c r="M10" s="505" t="str">
        <f>IF(D10="","",VLOOKUP(D10,'G-6 Hedgerow Data'!$B$1:$AH$15,33,FALSE))</f>
        <v/>
      </c>
      <c r="N10" s="512" t="str">
        <f>IFERROR(E10*G10*I10*L10,"")</f>
        <v/>
      </c>
      <c r="O10" s="40"/>
      <c r="P10" s="154"/>
      <c r="Q10" s="154"/>
      <c r="R10" s="531" t="str">
        <f>IFERROR(P10*G10*I10*L10,"")</f>
        <v/>
      </c>
      <c r="S10" s="531" t="str">
        <f>IFERROR(Q10*G10*I10*L10,"")</f>
        <v/>
      </c>
      <c r="T10" s="531" t="str">
        <f>IF(D10="","",IF(E10-P10-Q10=0&lt;0,"Error in lengths ▲",IF(P10+Q10&gt;E10,"Error in Lengths ▲",E10-P10-Q10)))</f>
        <v/>
      </c>
      <c r="U10" s="556" t="str">
        <f>IF(OR(E10="",N10=""),"",IF(E10-P10-Q10=0&lt;0,"Error in Lengths ▲",IF(P10+Q10&gt;E10,"Error in Lengths ▲",N10-R10-S10)))</f>
        <v/>
      </c>
      <c r="V10" s="169"/>
      <c r="W10" s="170"/>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
      </c>
    </row>
    <row r="11" spans="2:38" ht="14" x14ac:dyDescent="0.3">
      <c r="B11" s="141">
        <v>2</v>
      </c>
      <c r="C11" s="202"/>
      <c r="D11" s="82"/>
      <c r="E11" s="172"/>
      <c r="F11" s="552" t="str">
        <f>IF(D11="","",VLOOKUP(D11,'G-6 Hedgerow Data'!$B$2:$AG$15,2,FALSE))</f>
        <v/>
      </c>
      <c r="G11" s="498" t="str">
        <f>IF(D11="","",VLOOKUP(D11,'G-6 Hedgerow Data'!$B$2:$AG$15,3,FALSE))</f>
        <v/>
      </c>
      <c r="H11" s="145"/>
      <c r="I11" s="498" t="str">
        <f>IFERROR(VLOOKUP(H11,'G-1 All Habitats'!$Z$2:$AA$9,2,FALSE),"")</f>
        <v/>
      </c>
      <c r="J11" s="145"/>
      <c r="K11" s="506" t="str">
        <f>IF(J11="","",IF(VLOOKUP(J11,'G-3 Multipliers'!$L$3:$N$6,2,FALSE)=0,"Spatial Data Missing",VLOOKUP(J11,'G-3 Multipliers'!$L$3:$N$6,2,FALSE)))</f>
        <v/>
      </c>
      <c r="L11" s="504"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31" t="str">
        <f t="shared" ref="R11:R74" si="3">IFERROR(P11*G11*I11*L11,"")</f>
        <v/>
      </c>
      <c r="S11" s="531" t="str">
        <f t="shared" ref="S11:S74" si="4">IFERROR(Q11*G11*I11*L11,"")</f>
        <v/>
      </c>
      <c r="T11" s="531" t="str">
        <f t="shared" ref="T11:T74" si="5">IF(D11="","",IF(E11-P11-Q11=0&lt;0,"Error in lengths ▲",IF(P11+Q11&gt;E11,"Error in Lengths ▲",E11-P11-Q11)))</f>
        <v/>
      </c>
      <c r="U11" s="556"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4" x14ac:dyDescent="0.3">
      <c r="B12" s="141">
        <v>3</v>
      </c>
      <c r="C12" s="202"/>
      <c r="D12" s="82"/>
      <c r="E12" s="172"/>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Missing",VLOOKUP(J12,'G-3 Multipliers'!$L$3:$N$6,2,FALSE)))</f>
        <v/>
      </c>
      <c r="L12" s="504" t="str">
        <f>IF(J12="","",IF(VLOOKUP(J12,'G-3 Multipliers'!$L$3:$N$6,3,FALSE)=0,"Spatial Data Missing ⚠",VLOOKUP(J12,'G-3 Multipliers'!$L$3:$N$6,3,FALSE)))</f>
        <v/>
      </c>
      <c r="M12" s="505" t="str">
        <f>IF(D12="","",VLOOKUP(D12,'G-6 Hedgerow Data'!$B$1:$AH$15,33,FALSE))</f>
        <v/>
      </c>
      <c r="N12" s="512" t="str">
        <f t="shared" si="2"/>
        <v/>
      </c>
      <c r="O12" s="40"/>
      <c r="P12" s="154"/>
      <c r="Q12" s="154"/>
      <c r="R12" s="531" t="str">
        <f t="shared" si="3"/>
        <v/>
      </c>
      <c r="S12" s="531" t="str">
        <f t="shared" si="4"/>
        <v/>
      </c>
      <c r="T12" s="531" t="str">
        <f t="shared" si="5"/>
        <v/>
      </c>
      <c r="U12" s="556"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4" x14ac:dyDescent="0.3">
      <c r="B13" s="141">
        <v>4</v>
      </c>
      <c r="C13" s="202"/>
      <c r="D13" s="82"/>
      <c r="E13" s="172"/>
      <c r="F13" s="552" t="str">
        <f>IF(D13="","",VLOOKUP(D13,'G-6 Hedgerow Data'!$B$2:$AG$15,2,FALSE))</f>
        <v/>
      </c>
      <c r="G13" s="498" t="str">
        <f>IF(D13="","",VLOOKUP(D13,'G-6 Hedgerow Data'!$B$2:$AG$15,3,FALSE))</f>
        <v/>
      </c>
      <c r="H13" s="145"/>
      <c r="I13" s="498" t="str">
        <f>IFERROR(VLOOKUP(H13,'G-1 All Habitats'!$Z$2:$AA$9,2,FALSE),"")</f>
        <v/>
      </c>
      <c r="J13" s="145"/>
      <c r="K13" s="506" t="str">
        <f>IF(J13="","",IF(VLOOKUP(J13,'G-3 Multipliers'!$L$3:$N$6,2,FALSE)=0,"Spatial Data Missing",VLOOKUP(J13,'G-3 Multipliers'!$L$3:$N$6,2,FALSE)))</f>
        <v/>
      </c>
      <c r="L13" s="504" t="str">
        <f>IF(J13="","",IF(VLOOKUP(J13,'G-3 Multipliers'!$L$3:$N$6,3,FALSE)=0,"Spatial Data Missing ⚠",VLOOKUP(J13,'G-3 Multipliers'!$L$3:$N$6,3,FALSE)))</f>
        <v/>
      </c>
      <c r="M13" s="505" t="str">
        <f>IF(D13="","",VLOOKUP(D13,'G-6 Hedgerow Data'!$B$1:$AH$15,33,FALSE))</f>
        <v/>
      </c>
      <c r="N13" s="512" t="str">
        <f t="shared" si="2"/>
        <v/>
      </c>
      <c r="O13" s="40"/>
      <c r="P13" s="154"/>
      <c r="Q13" s="154"/>
      <c r="R13" s="531" t="str">
        <f t="shared" si="3"/>
        <v/>
      </c>
      <c r="S13" s="531" t="str">
        <f t="shared" si="4"/>
        <v/>
      </c>
      <c r="T13" s="531" t="str">
        <f t="shared" si="5"/>
        <v/>
      </c>
      <c r="U13" s="556"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4" x14ac:dyDescent="0.3">
      <c r="B14" s="141">
        <v>5</v>
      </c>
      <c r="C14" s="202"/>
      <c r="D14" s="195"/>
      <c r="E14" s="70"/>
      <c r="F14" s="552" t="str">
        <f>IF(D14="","",VLOOKUP(D14,'G-6 Hedgerow Data'!$B$2:$AG$15,2,FALSE))</f>
        <v/>
      </c>
      <c r="G14" s="498" t="str">
        <f>IF(D14="","",VLOOKUP(D14,'G-6 Hedgerow Data'!$B$2:$AG$15,3,FALSE))</f>
        <v/>
      </c>
      <c r="H14" s="145"/>
      <c r="I14" s="498" t="str">
        <f>IFERROR(VLOOKUP(H14,'G-1 All Habitats'!$Z$2:$AA$9,2,FALSE),"")</f>
        <v/>
      </c>
      <c r="J14" s="145"/>
      <c r="K14" s="506" t="str">
        <f>IF(J14="","",IF(VLOOKUP(J14,'G-3 Multipliers'!$L$3:$N$6,2,FALSE)=0,"Spatial Data Missing",VLOOKUP(J14,'G-3 Multipliers'!$L$3:$N$6,2,FALSE)))</f>
        <v/>
      </c>
      <c r="L14" s="504" t="str">
        <f>IF(J14="","",IF(VLOOKUP(J14,'G-3 Multipliers'!$L$3:$N$6,3,FALSE)=0,"Spatial Data Missing ⚠",VLOOKUP(J14,'G-3 Multipliers'!$L$3:$N$6,3,FALSE)))</f>
        <v/>
      </c>
      <c r="M14" s="505" t="str">
        <f>IF(D14="","",VLOOKUP(D14,'G-6 Hedgerow Data'!$B$1:$AH$15,33,FALSE))</f>
        <v/>
      </c>
      <c r="N14" s="512" t="str">
        <f t="shared" si="2"/>
        <v/>
      </c>
      <c r="O14" s="40"/>
      <c r="P14" s="154"/>
      <c r="Q14" s="154"/>
      <c r="R14" s="531" t="str">
        <f t="shared" si="3"/>
        <v/>
      </c>
      <c r="S14" s="531" t="str">
        <f t="shared" si="4"/>
        <v/>
      </c>
      <c r="T14" s="531" t="str">
        <f t="shared" si="5"/>
        <v/>
      </c>
      <c r="U14" s="556"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4" x14ac:dyDescent="0.3">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4" x14ac:dyDescent="0.3">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4" x14ac:dyDescent="0.3">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4" x14ac:dyDescent="0.3">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4" x14ac:dyDescent="0.3">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4" x14ac:dyDescent="0.3">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4" x14ac:dyDescent="0.3">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4" x14ac:dyDescent="0.3">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4" x14ac:dyDescent="0.3">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4" x14ac:dyDescent="0.3">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4" x14ac:dyDescent="0.3">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4" x14ac:dyDescent="0.3">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4" x14ac:dyDescent="0.3">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4" x14ac:dyDescent="0.3">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4" x14ac:dyDescent="0.3">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4" x14ac:dyDescent="0.3">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4" x14ac:dyDescent="0.3">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4" x14ac:dyDescent="0.3">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4" x14ac:dyDescent="0.3">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4" x14ac:dyDescent="0.3">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4" x14ac:dyDescent="0.3">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4" x14ac:dyDescent="0.3">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4" x14ac:dyDescent="0.3">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4" x14ac:dyDescent="0.3">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4" x14ac:dyDescent="0.3">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4" x14ac:dyDescent="0.3">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4" x14ac:dyDescent="0.3">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4" x14ac:dyDescent="0.3">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4" x14ac:dyDescent="0.3">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4" x14ac:dyDescent="0.3">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4" x14ac:dyDescent="0.3">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4" x14ac:dyDescent="0.3">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4" x14ac:dyDescent="0.3">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4" x14ac:dyDescent="0.3">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4" x14ac:dyDescent="0.3">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4" x14ac:dyDescent="0.3">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4" x14ac:dyDescent="0.3">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4" x14ac:dyDescent="0.3">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4" x14ac:dyDescent="0.3">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4" x14ac:dyDescent="0.3">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4" x14ac:dyDescent="0.3">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4" x14ac:dyDescent="0.3">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4" x14ac:dyDescent="0.3">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4" x14ac:dyDescent="0.3">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4" x14ac:dyDescent="0.3">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4" x14ac:dyDescent="0.3">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4" x14ac:dyDescent="0.3">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4" x14ac:dyDescent="0.3">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4" x14ac:dyDescent="0.3">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4" x14ac:dyDescent="0.3">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4" x14ac:dyDescent="0.3">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4" x14ac:dyDescent="0.3">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4" x14ac:dyDescent="0.3">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4" x14ac:dyDescent="0.3">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4" x14ac:dyDescent="0.3">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4" x14ac:dyDescent="0.3">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4" x14ac:dyDescent="0.3">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4" x14ac:dyDescent="0.3">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4" x14ac:dyDescent="0.3">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4" x14ac:dyDescent="0.3">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4" x14ac:dyDescent="0.3">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4" x14ac:dyDescent="0.3">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4" x14ac:dyDescent="0.3">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4" x14ac:dyDescent="0.3">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4" x14ac:dyDescent="0.3">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4" x14ac:dyDescent="0.3">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4" x14ac:dyDescent="0.3">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4" x14ac:dyDescent="0.3">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4" x14ac:dyDescent="0.3">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4" x14ac:dyDescent="0.3">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4" x14ac:dyDescent="0.3">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4" x14ac:dyDescent="0.3">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4" x14ac:dyDescent="0.3">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4" x14ac:dyDescent="0.3">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4" x14ac:dyDescent="0.3">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4" x14ac:dyDescent="0.3">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4" x14ac:dyDescent="0.3">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4" x14ac:dyDescent="0.3">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4" x14ac:dyDescent="0.3">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4" x14ac:dyDescent="0.3">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4" x14ac:dyDescent="0.3">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4" x14ac:dyDescent="0.3">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4" x14ac:dyDescent="0.3">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4" x14ac:dyDescent="0.3">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4" x14ac:dyDescent="0.3">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4" x14ac:dyDescent="0.3">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4" x14ac:dyDescent="0.3">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4" x14ac:dyDescent="0.3">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4" x14ac:dyDescent="0.3">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4" x14ac:dyDescent="0.3">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4" x14ac:dyDescent="0.3">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4" x14ac:dyDescent="0.3">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4" x14ac:dyDescent="0.3">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4" x14ac:dyDescent="0.3">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4" x14ac:dyDescent="0.3">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4" x14ac:dyDescent="0.3">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4" x14ac:dyDescent="0.3">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4" x14ac:dyDescent="0.3">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4" x14ac:dyDescent="0.3">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4" x14ac:dyDescent="0.3">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4" x14ac:dyDescent="0.3">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4" x14ac:dyDescent="0.3">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4" x14ac:dyDescent="0.3">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4" x14ac:dyDescent="0.3">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4" x14ac:dyDescent="0.3">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4" x14ac:dyDescent="0.3">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4" x14ac:dyDescent="0.3">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4" x14ac:dyDescent="0.3">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4" x14ac:dyDescent="0.3">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4" x14ac:dyDescent="0.3">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4" x14ac:dyDescent="0.3">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4" x14ac:dyDescent="0.3">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4" x14ac:dyDescent="0.3">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4" x14ac:dyDescent="0.3">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4" x14ac:dyDescent="0.3">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4" x14ac:dyDescent="0.3">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4" x14ac:dyDescent="0.3">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4" x14ac:dyDescent="0.3">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4" x14ac:dyDescent="0.3">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4" x14ac:dyDescent="0.3">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4" x14ac:dyDescent="0.3">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4" x14ac:dyDescent="0.3">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4" x14ac:dyDescent="0.3">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4" x14ac:dyDescent="0.3">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4" x14ac:dyDescent="0.3">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4" x14ac:dyDescent="0.3">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4" x14ac:dyDescent="0.3">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4" x14ac:dyDescent="0.3">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4" x14ac:dyDescent="0.3">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4" x14ac:dyDescent="0.3">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4" x14ac:dyDescent="0.3">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4" x14ac:dyDescent="0.3">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4" x14ac:dyDescent="0.3">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4" x14ac:dyDescent="0.3">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4" x14ac:dyDescent="0.3">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4" x14ac:dyDescent="0.3">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4" x14ac:dyDescent="0.3">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4" x14ac:dyDescent="0.3">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4" x14ac:dyDescent="0.3">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4" x14ac:dyDescent="0.3">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4" x14ac:dyDescent="0.3">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4" x14ac:dyDescent="0.3">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4" x14ac:dyDescent="0.3">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4" x14ac:dyDescent="0.3">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4" x14ac:dyDescent="0.3">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4" x14ac:dyDescent="0.3">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4" x14ac:dyDescent="0.3">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4" x14ac:dyDescent="0.3">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4" x14ac:dyDescent="0.3">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4" x14ac:dyDescent="0.3">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4" x14ac:dyDescent="0.3">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4" x14ac:dyDescent="0.3">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4" x14ac:dyDescent="0.3">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4" x14ac:dyDescent="0.3">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4" x14ac:dyDescent="0.3">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4" x14ac:dyDescent="0.3">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4" x14ac:dyDescent="0.3">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4" x14ac:dyDescent="0.3">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4" x14ac:dyDescent="0.3">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4" x14ac:dyDescent="0.3">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4" x14ac:dyDescent="0.3">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4" x14ac:dyDescent="0.3">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4" x14ac:dyDescent="0.3">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4" x14ac:dyDescent="0.3">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4" x14ac:dyDescent="0.3">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4" x14ac:dyDescent="0.3">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4" x14ac:dyDescent="0.3">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4" x14ac:dyDescent="0.3">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4" x14ac:dyDescent="0.3">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4" x14ac:dyDescent="0.3">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4" x14ac:dyDescent="0.3">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4" x14ac:dyDescent="0.3">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4" x14ac:dyDescent="0.3">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4" x14ac:dyDescent="0.3">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4" x14ac:dyDescent="0.3">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4" x14ac:dyDescent="0.3">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4" x14ac:dyDescent="0.3">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4" x14ac:dyDescent="0.3">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4" x14ac:dyDescent="0.3">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4" x14ac:dyDescent="0.3">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4" x14ac:dyDescent="0.3">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4" x14ac:dyDescent="0.3">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4" x14ac:dyDescent="0.3">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4" x14ac:dyDescent="0.3">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4" x14ac:dyDescent="0.3">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4" x14ac:dyDescent="0.3">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4" x14ac:dyDescent="0.3">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4" x14ac:dyDescent="0.3">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4" x14ac:dyDescent="0.3">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4" x14ac:dyDescent="0.3">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4" x14ac:dyDescent="0.3">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4" x14ac:dyDescent="0.3">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4" x14ac:dyDescent="0.3">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4" x14ac:dyDescent="0.3">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4" x14ac:dyDescent="0.3">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4" x14ac:dyDescent="0.3">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4" x14ac:dyDescent="0.3">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4" x14ac:dyDescent="0.3">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4" x14ac:dyDescent="0.3">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4" x14ac:dyDescent="0.3">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4" x14ac:dyDescent="0.3">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4" x14ac:dyDescent="0.3">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4" x14ac:dyDescent="0.3">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4" x14ac:dyDescent="0.3">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4" x14ac:dyDescent="0.3">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4" x14ac:dyDescent="0.3">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4" x14ac:dyDescent="0.3">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4" x14ac:dyDescent="0.3">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4" x14ac:dyDescent="0.3">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4" x14ac:dyDescent="0.3">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4" x14ac:dyDescent="0.3">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4" x14ac:dyDescent="0.3">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4" x14ac:dyDescent="0.3">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4" x14ac:dyDescent="0.3">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4" x14ac:dyDescent="0.3">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4" x14ac:dyDescent="0.3">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4" x14ac:dyDescent="0.3">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4" x14ac:dyDescent="0.3">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4" x14ac:dyDescent="0.3">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4" x14ac:dyDescent="0.3">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4" x14ac:dyDescent="0.3">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4" x14ac:dyDescent="0.3">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4" x14ac:dyDescent="0.3">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4" x14ac:dyDescent="0.3">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4" x14ac:dyDescent="0.3">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4" x14ac:dyDescent="0.3">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4" x14ac:dyDescent="0.3">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4" x14ac:dyDescent="0.3">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4" x14ac:dyDescent="0.3">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4" x14ac:dyDescent="0.3">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4" x14ac:dyDescent="0.3">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4" x14ac:dyDescent="0.3">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4" x14ac:dyDescent="0.3">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4" x14ac:dyDescent="0.3">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4" x14ac:dyDescent="0.3">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4" x14ac:dyDescent="0.3">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4" x14ac:dyDescent="0.3">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4" x14ac:dyDescent="0.3">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4" x14ac:dyDescent="0.3">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4" x14ac:dyDescent="0.3">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4" x14ac:dyDescent="0.3">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4" x14ac:dyDescent="0.3">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4.5" thickBot="1" x14ac:dyDescent="0.35">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4.5" thickBot="1" x14ac:dyDescent="0.35">
      <c r="D258" s="442"/>
      <c r="E258" s="553">
        <f>SUM(E10:E257)</f>
        <v>0</v>
      </c>
      <c r="M258" s="442"/>
      <c r="N258" s="555">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8" ht="14" x14ac:dyDescent="0.3">
      <c r="O259" s="166"/>
      <c r="P259" s="166"/>
      <c r="Q259" s="166"/>
      <c r="R259" s="166"/>
      <c r="S259" s="166"/>
      <c r="T259" s="166"/>
      <c r="U259" s="166"/>
    </row>
    <row r="260" spans="2:38" ht="14" x14ac:dyDescent="0.3">
      <c r="B260" s="132"/>
      <c r="C260" s="132"/>
    </row>
    <row r="261" spans="2:38" ht="14" x14ac:dyDescent="0.3">
      <c r="B261" s="132"/>
      <c r="C261" s="132"/>
    </row>
    <row r="262" spans="2:38" ht="14" x14ac:dyDescent="0.3">
      <c r="B262" s="132"/>
      <c r="C262" s="132"/>
    </row>
    <row r="263" spans="2:38" ht="14" x14ac:dyDescent="0.3">
      <c r="B263" s="132"/>
      <c r="C263" s="132"/>
    </row>
    <row r="264" spans="2:38" ht="14" x14ac:dyDescent="0.3">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Normal="100" workbookViewId="0">
      <pane ySplit="11" topLeftCell="A12" activePane="bottomLeft" state="frozen"/>
      <selection activeCell="S28" sqref="S28"/>
      <selection pane="bottomLeft" activeCell="G6" sqref="G6"/>
    </sheetView>
  </sheetViews>
  <sheetFormatPr defaultColWidth="0" defaultRowHeight="0" customHeight="1" zeroHeight="1" x14ac:dyDescent="0.3"/>
  <cols>
    <col min="1" max="1" width="2.81640625" style="31" customWidth="1"/>
    <col min="2" max="2" width="12.7265625" style="31" customWidth="1"/>
    <col min="3" max="3" width="10.54296875" style="31" customWidth="1"/>
    <col min="4" max="4" width="62.7265625" style="31" customWidth="1"/>
    <col min="5" max="5" width="10.453125" style="31" customWidth="1"/>
    <col min="6" max="6" width="18.81640625" style="31" customWidth="1"/>
    <col min="7" max="7" width="13.1796875" style="31" customWidth="1"/>
    <col min="8" max="8" width="12.54296875" style="31" bestFit="1" customWidth="1"/>
    <col min="9" max="9" width="12.54296875" style="31" customWidth="1"/>
    <col min="10" max="10" width="41.7265625" style="31" customWidth="1"/>
    <col min="11" max="11" width="18.54296875" style="31" customWidth="1"/>
    <col min="12" max="12" width="12.26953125" style="31" customWidth="1"/>
    <col min="13" max="13" width="19.1796875" style="31" customWidth="1"/>
    <col min="14" max="14" width="20" style="31" customWidth="1"/>
    <col min="15" max="15" width="17.7265625" style="31" customWidth="1"/>
    <col min="16" max="16" width="33.26953125" style="31" customWidth="1"/>
    <col min="17" max="17" width="19.1796875" style="31" customWidth="1"/>
    <col min="18" max="18" width="15.26953125" style="31" customWidth="1"/>
    <col min="19" max="19" width="13.453125" style="31" customWidth="1"/>
    <col min="20" max="20" width="18.453125" style="31" customWidth="1"/>
    <col min="21" max="21" width="13.7265625" style="31" customWidth="1"/>
    <col min="22" max="22" width="11.81640625" style="31" customWidth="1"/>
    <col min="23" max="23" width="12.7265625" style="31" customWidth="1"/>
    <col min="24" max="24" width="42.453125" style="31" customWidth="1"/>
    <col min="25" max="25" width="43.1796875" style="31" customWidth="1"/>
    <col min="26" max="31" width="8.81640625" style="31" customWidth="1"/>
    <col min="32" max="32" width="8.81640625" style="31" hidden="1" customWidth="1"/>
    <col min="33" max="33" width="15.81640625" style="31" hidden="1" customWidth="1"/>
    <col min="34" max="16384" width="8.81640625" style="31" hidden="1"/>
  </cols>
  <sheetData>
    <row r="1" spans="2:33" ht="15.75" customHeight="1" thickBot="1" x14ac:dyDescent="0.35"/>
    <row r="2" spans="2:33" ht="21.65" customHeight="1" thickBot="1" x14ac:dyDescent="0.35">
      <c r="B2" s="832" t="str">
        <f>IF([1]Start!F12="","",[1]Start!F12)</f>
        <v/>
      </c>
      <c r="C2" s="833"/>
      <c r="D2" s="834"/>
    </row>
    <row r="3" spans="2:33" ht="15" customHeight="1" x14ac:dyDescent="0.3">
      <c r="B3" s="940" t="str">
        <f ca="1">MID(CELL("filename",A1),FIND("]",CELL("filename",A1))+1,256)</f>
        <v>B-2 Site Hedge Creation</v>
      </c>
      <c r="C3" s="941"/>
      <c r="D3" s="942"/>
      <c r="M3" s="907" t="str">
        <f>IF(OR(COUNTIF($M$12:M259,"*30+*")&gt;0,COUNTIF($Q$12:Q259,"*30+*")&gt;0),"Note; Habitat selected has a time to target condition greater than 30 years. Non standard agreement may be required. ⚠","")</f>
        <v/>
      </c>
      <c r="N3" s="907"/>
      <c r="O3" s="907"/>
      <c r="P3" s="907"/>
      <c r="Q3" s="907"/>
      <c r="R3" s="907"/>
    </row>
    <row r="4" spans="2:33" ht="15.75" customHeight="1" thickBot="1" x14ac:dyDescent="0.35">
      <c r="B4" s="943"/>
      <c r="C4" s="944"/>
      <c r="D4" s="945"/>
      <c r="M4" s="907"/>
      <c r="N4" s="907"/>
      <c r="O4" s="907"/>
      <c r="P4" s="907"/>
      <c r="Q4" s="907"/>
      <c r="R4" s="907"/>
    </row>
    <row r="5" spans="2:33" ht="15.75" customHeight="1" x14ac:dyDescent="0.3">
      <c r="M5" s="907"/>
      <c r="N5" s="907"/>
      <c r="O5" s="907"/>
      <c r="P5" s="907"/>
      <c r="Q5" s="907"/>
      <c r="R5" s="907"/>
    </row>
    <row r="6" spans="2:33" ht="15.75" customHeight="1" x14ac:dyDescent="0.3">
      <c r="M6" s="402"/>
      <c r="N6" s="402"/>
      <c r="O6" s="402"/>
      <c r="P6" s="402"/>
      <c r="Q6" s="402"/>
    </row>
    <row r="7" spans="2:33" ht="15.75" customHeight="1" x14ac:dyDescent="0.3">
      <c r="B7" s="132"/>
      <c r="C7" s="132"/>
      <c r="M7" s="402"/>
      <c r="N7" s="402"/>
      <c r="O7" s="402"/>
      <c r="P7" s="402"/>
      <c r="Q7" s="402"/>
    </row>
    <row r="8" spans="2:33" ht="14" x14ac:dyDescent="0.3"/>
    <row r="9" spans="2:33" ht="19.899999999999999" customHeight="1" thickBot="1" x14ac:dyDescent="0.35"/>
    <row r="10" spans="2:33" ht="31.5" customHeight="1" thickBot="1" x14ac:dyDescent="0.35">
      <c r="B10" s="132"/>
      <c r="C10" s="132"/>
      <c r="D10" s="966" t="s">
        <v>301</v>
      </c>
      <c r="E10" s="968"/>
      <c r="F10" s="966" t="s">
        <v>272</v>
      </c>
      <c r="G10" s="968"/>
      <c r="H10" s="966" t="s">
        <v>273</v>
      </c>
      <c r="I10" s="968"/>
      <c r="J10" s="966" t="s">
        <v>191</v>
      </c>
      <c r="K10" s="967"/>
      <c r="L10" s="968"/>
      <c r="M10" s="966" t="s">
        <v>228</v>
      </c>
      <c r="N10" s="967"/>
      <c r="O10" s="967"/>
      <c r="P10" s="967"/>
      <c r="Q10" s="967"/>
      <c r="R10" s="968"/>
      <c r="S10" s="966" t="s">
        <v>252</v>
      </c>
      <c r="T10" s="967"/>
      <c r="U10" s="967"/>
      <c r="V10" s="968"/>
      <c r="W10" s="969" t="s">
        <v>302</v>
      </c>
      <c r="X10" s="957" t="s">
        <v>196</v>
      </c>
      <c r="Y10" s="958"/>
    </row>
    <row r="11" spans="2:33" ht="42" x14ac:dyDescent="0.3">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28" x14ac:dyDescent="0.3">
      <c r="B12" s="367">
        <v>1</v>
      </c>
      <c r="C12" s="203"/>
      <c r="D12" s="82" t="s">
        <v>116</v>
      </c>
      <c r="E12" s="70">
        <v>2.5000000000000001E-2</v>
      </c>
      <c r="F12" s="552" t="str">
        <f>IF(D12="","",VLOOKUP(D12,'G-6 Hedgerow Data'!$B$2:$AG$15,2,FALSE))</f>
        <v>Low</v>
      </c>
      <c r="G12" s="498">
        <f>IF(D12="","",VLOOKUP(D12,'G-6 Hedgerow Data'!$B$2:$AG$15,3,FALSE))</f>
        <v>2</v>
      </c>
      <c r="H12" s="145" t="s">
        <v>242</v>
      </c>
      <c r="I12" s="498">
        <f>IFERROR(VLOOKUP(H12,'G-1 All Habitats'!$Z$2:$AA$9,2,FALSE),"")</f>
        <v>1</v>
      </c>
      <c r="J12" s="145" t="s">
        <v>921</v>
      </c>
      <c r="K12" s="506" t="str">
        <f>IF(J12="","",IF(VLOOKUP(J12,'G-3 Multipliers'!$L$3:$N$6,2,FALSE)=0,"Spatial Data Missing ⚠",VLOOKUP(J12,'G-3 Multipliers'!$L$3:$N$6,2,FALSE)))</f>
        <v>Low Strategic Significance</v>
      </c>
      <c r="L12" s="504">
        <f>IF(J12="","",IF(VLOOKUP(J12,'G-3 Multipliers'!$L$3:$N$6,3,FALSE)=0,"Spatial Data Missing ⚠",VLOOKUP(J12,'G-3 Multipliers'!$L$3:$N$6,3,FALSE)))</f>
        <v>1</v>
      </c>
      <c r="M12" s="497">
        <f>IF(OR(D12="",H12=""),"",(INDEX('G-6 Hedgerow Data'!$E$3:$I$15,MATCH(D12,'G-6 Hedgerow Data'!$B$3:$B$15,0),MATCH(H12,'G-6 Hedgerow Data'!$E$2:$I$2,0))))</f>
        <v>1</v>
      </c>
      <c r="N12" s="195">
        <v>0</v>
      </c>
      <c r="O12" s="195">
        <v>2</v>
      </c>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Check details- Delay in starting habitat in required condition? ⚠</v>
      </c>
      <c r="Q12" s="520">
        <f>IF(M12="","",IF(LEFT(P12,5)="Error ▲","Check Data ⚠",IF(OR(N12="30+",N12="Habitat already in target condition"),0,IF(O12="30+","30+",IF(AND(M12="30+",OR(N12="",N12=0)),"30+",IF(AND(M12="30+",N12&gt;0),32-N12,IF(M12+O12&gt;30,"30+",IF(M12+O12-N12&gt;0,M12+O12-N12,IF(M12-N12&lt;0,0,M12+O12-N12)))))))))</f>
        <v>3</v>
      </c>
      <c r="R12" s="521">
        <f>IF(M12="","",IF(LEFT(P12,5)="Error ▲","Check Data ⚠",VLOOKUP(Q12,TemporalMultipliers,3,FALSE)))</f>
        <v>0.898632125</v>
      </c>
      <c r="S12" s="497" t="str">
        <f>IF(D12="","",VLOOKUP(D12,'G-6 Hedgerow Data'!$B$3:$AG$15,31,FALSE))</f>
        <v>Low</v>
      </c>
      <c r="T12" s="506" t="str">
        <f>IF(D12="","",IF(Q12="Check Data ⚠","Check Data ⚠",IF(H12="","",IF($P12="Check details - Is there evidence that habitat has reached target condition? ⚠","Low Difficulty - only applicable if all habitat created before losses ⚠","Standard difficulty applied"))))</f>
        <v>Standard difficulty applied</v>
      </c>
      <c r="U12" s="506" t="str">
        <f>(IF(AND(T12="Standard difficulty applied",M12&gt;N12),S12,IF(AND(T12="Low Difficulty - only applicable if all habitat created before losses ⚠",Q12&lt;=0),"Low",S12)))</f>
        <v>Low</v>
      </c>
      <c r="V12" s="498">
        <f>IF(D12="","",VLOOKUP(S12,'G-3 Multipliers'!$P$3:$Q$6,2,FALSE))</f>
        <v>1</v>
      </c>
      <c r="W12" s="528">
        <f>IFERROR(E12*G12*I12*L12*R12*V12,"")</f>
        <v>4.4931606250000006E-2</v>
      </c>
      <c r="X12" s="149"/>
      <c r="Y12" s="150"/>
      <c r="AG12" s="31" t="str">
        <f>IFERROR(INDEX('G-6 Hedgerow Data'!$BJ$3:$BJ$15,MATCH(D12,'G-6 Hedgerow Data'!$B$3:$B$15,0)),"")</f>
        <v>Hedgecond1</v>
      </c>
    </row>
    <row r="13" spans="2:33" ht="14" x14ac:dyDescent="0.3">
      <c r="B13" s="141">
        <v>2</v>
      </c>
      <c r="C13" s="203"/>
      <c r="D13" s="82"/>
      <c r="E13" s="70"/>
      <c r="F13" s="552" t="str">
        <f>IF(D13="","",VLOOKUP(D13,'G-6 Hedgerow Data'!$B$2:$AG$15,2,FALSE))</f>
        <v/>
      </c>
      <c r="G13" s="498" t="str">
        <f>IF(D13="","",VLOOKUP(D13,'G-6 Hedgerow Data'!$B$2:$AG$15,3,FALSE))</f>
        <v/>
      </c>
      <c r="H13" s="145"/>
      <c r="I13" s="498" t="str">
        <f>IFERROR(VLOOKUP(H13,'G-1 All Habitats'!$Z$2:$AA$9,2,FALSE),"")</f>
        <v/>
      </c>
      <c r="J13" s="145"/>
      <c r="K13" s="519" t="str">
        <f>IF(J13="","",IF(VLOOKUP(J13,'G-3 Multipliers'!$L$3:$N$6,2,FALSE)=0,"Spatial Data Missing ⚠",VLOOKUP(J13,'G-3 Multipliers'!$L$3:$N$6,2,FALSE)))</f>
        <v/>
      </c>
      <c r="L13" s="504" t="str">
        <f>IF(J13="","",IF(VLOOKUP(J13,'G-3 Multipliers'!$L$3:$N$6,3,FALSE)=0,"Spatial Data Missing ⚠",VLOOKUP(J13,'G-3 Multipliers'!$L$3:$N$6,3,FALSE)))</f>
        <v/>
      </c>
      <c r="M13" s="497" t="str">
        <f>IF(OR(D13="",H13=""),"",(INDEX('G-6 Hedgerow Data'!$E$3:$I$15,MATCH(D13,'G-6 Hedgerow Data'!$B$3:$B$15,0),MATCH(H13,'G-6 Hedgerow Data'!$E$2:$I$2,0))))</f>
        <v/>
      </c>
      <c r="N13" s="195"/>
      <c r="O13" s="195"/>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520" t="str">
        <f t="shared" ref="Q13:Q76" si="1">IF(M13="","",IF(LEFT(P13,5)="Error ▲","Check Data ⚠",IF(OR(N13="30+",N13="Habitat already in target condition"),0,IF(O13="30+","30+",IF(AND(M13="30+",OR(N13="",N13=0)),"30+",IF(AND(M13="30+",N13&gt;0),32-N13,IF(M13+O13&gt;30,"30+",IF(M13+O13-N13&gt;0,M13+O13-N13,IF(M13-N13&lt;0,0,M13+O13-N13)))))))))</f>
        <v/>
      </c>
      <c r="R13" s="521" t="str">
        <f t="shared" ref="R13:R75" si="2">IF(M13="","",IF(LEFT(P13,5)="Error ▲","Check Data ⚠",VLOOKUP(Q13,TemporalMultipliers,3,FALSE)))</f>
        <v/>
      </c>
      <c r="S13" s="536" t="str">
        <f>IF(D13="","",VLOOKUP(D13,'G-6 Hedgerow Data'!$B$3:$AG$15,31,FALSE))</f>
        <v/>
      </c>
      <c r="T13" s="506" t="str">
        <f t="shared" ref="T13:T76" si="3">IF(D13="","",IF(Q13="Check Data ⚠","Check Data ⚠",IF(H13="","",IF($P13="Check details - Is there evidence that habitat has reached target condition? ⚠","Low Difficulty - only applicable if all habitat created before losses ⚠","Standard difficulty applied"))))</f>
        <v/>
      </c>
      <c r="U13" s="506" t="str">
        <f t="shared" ref="U13:U76" si="4">(IF(AND(T13="Standard difficulty applied",M13&gt;N13),S13,IF(AND(T13="Low Difficulty - only applicable if all habitat created before losses ⚠",Q13&lt;=0),"Low",S13)))</f>
        <v/>
      </c>
      <c r="V13" s="523" t="str">
        <f>IF(D13="","",VLOOKUP(S13,'G-3 Multipliers'!$P$3:$Q$6,2,FALSE))</f>
        <v/>
      </c>
      <c r="W13" s="528" t="str">
        <f t="shared" ref="W13:W76" si="5">IFERROR(E13*G13*I13*L13*R13*V13,"")</f>
        <v/>
      </c>
      <c r="X13" s="149"/>
      <c r="Y13" s="150"/>
      <c r="AG13" s="31" t="str">
        <f>IFERROR(INDEX('G-6 Hedgerow Data'!$BJ$3:$BJ$15,MATCH(D13,'G-6 Hedgerow Data'!$B$3:$B$15,0)),"")</f>
        <v/>
      </c>
    </row>
    <row r="14" spans="2:33" ht="14" x14ac:dyDescent="0.3">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4" x14ac:dyDescent="0.3">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4" x14ac:dyDescent="0.3">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4" x14ac:dyDescent="0.3">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4" x14ac:dyDescent="0.3">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4" x14ac:dyDescent="0.3">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4" x14ac:dyDescent="0.3">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4" x14ac:dyDescent="0.3">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4" x14ac:dyDescent="0.3">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4" x14ac:dyDescent="0.3">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4" x14ac:dyDescent="0.3">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4" x14ac:dyDescent="0.3">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4" x14ac:dyDescent="0.3">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4" x14ac:dyDescent="0.3">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4" x14ac:dyDescent="0.3">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4" x14ac:dyDescent="0.3">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4" x14ac:dyDescent="0.3">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4" x14ac:dyDescent="0.3">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4" x14ac:dyDescent="0.3">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4" x14ac:dyDescent="0.3">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4" x14ac:dyDescent="0.3">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4" x14ac:dyDescent="0.3">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4" x14ac:dyDescent="0.3">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4" x14ac:dyDescent="0.3">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4" x14ac:dyDescent="0.3">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4" x14ac:dyDescent="0.3">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4" x14ac:dyDescent="0.3">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4" x14ac:dyDescent="0.3">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4" x14ac:dyDescent="0.3">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4" x14ac:dyDescent="0.3">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4" x14ac:dyDescent="0.3">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4" x14ac:dyDescent="0.3">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4" x14ac:dyDescent="0.3">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4" x14ac:dyDescent="0.3">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4" x14ac:dyDescent="0.3">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4" x14ac:dyDescent="0.3">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4" x14ac:dyDescent="0.3">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4" x14ac:dyDescent="0.3">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4" x14ac:dyDescent="0.3">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4" x14ac:dyDescent="0.3">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4" x14ac:dyDescent="0.3">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4" x14ac:dyDescent="0.3">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4" x14ac:dyDescent="0.3">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4" x14ac:dyDescent="0.3">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4" x14ac:dyDescent="0.3">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4" x14ac:dyDescent="0.3">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4" x14ac:dyDescent="0.3">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4" x14ac:dyDescent="0.3">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4" x14ac:dyDescent="0.3">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4" x14ac:dyDescent="0.3">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4" x14ac:dyDescent="0.3">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4" x14ac:dyDescent="0.3">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4" x14ac:dyDescent="0.3">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4" x14ac:dyDescent="0.3">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4" x14ac:dyDescent="0.3">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4" x14ac:dyDescent="0.3">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4" x14ac:dyDescent="0.3">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4" x14ac:dyDescent="0.3">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4" x14ac:dyDescent="0.3">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4" x14ac:dyDescent="0.3">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4" x14ac:dyDescent="0.3">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4" x14ac:dyDescent="0.3">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4" x14ac:dyDescent="0.3">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4" x14ac:dyDescent="0.3">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4" x14ac:dyDescent="0.3">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4" x14ac:dyDescent="0.3">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4" x14ac:dyDescent="0.3">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4" x14ac:dyDescent="0.3">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4" x14ac:dyDescent="0.3">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4" x14ac:dyDescent="0.3">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4" x14ac:dyDescent="0.3">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4" x14ac:dyDescent="0.3">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4" x14ac:dyDescent="0.3">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4" x14ac:dyDescent="0.3">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4" x14ac:dyDescent="0.3">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4" x14ac:dyDescent="0.3">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4" x14ac:dyDescent="0.3">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4" x14ac:dyDescent="0.3">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4" x14ac:dyDescent="0.3">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4" x14ac:dyDescent="0.3">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4" x14ac:dyDescent="0.3">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4" x14ac:dyDescent="0.3">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4" x14ac:dyDescent="0.3">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4" x14ac:dyDescent="0.3">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4" x14ac:dyDescent="0.3">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4" x14ac:dyDescent="0.3">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4" x14ac:dyDescent="0.3">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4" x14ac:dyDescent="0.3">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4" x14ac:dyDescent="0.3">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4" x14ac:dyDescent="0.3">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4" x14ac:dyDescent="0.3">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4" x14ac:dyDescent="0.3">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4" x14ac:dyDescent="0.3">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4" x14ac:dyDescent="0.3">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4" x14ac:dyDescent="0.3">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4" x14ac:dyDescent="0.3">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4" x14ac:dyDescent="0.3">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4" x14ac:dyDescent="0.3">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4" x14ac:dyDescent="0.3">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4" x14ac:dyDescent="0.3">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4" x14ac:dyDescent="0.3">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4" x14ac:dyDescent="0.3">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4" x14ac:dyDescent="0.3">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4" x14ac:dyDescent="0.3">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4" x14ac:dyDescent="0.3">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4" x14ac:dyDescent="0.3">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4" x14ac:dyDescent="0.3">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4" x14ac:dyDescent="0.3">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4" x14ac:dyDescent="0.3">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4" x14ac:dyDescent="0.3">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4" x14ac:dyDescent="0.3">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4" x14ac:dyDescent="0.3">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4" x14ac:dyDescent="0.3">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4" x14ac:dyDescent="0.3">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4" x14ac:dyDescent="0.3">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4" x14ac:dyDescent="0.3">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4" x14ac:dyDescent="0.3">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4" x14ac:dyDescent="0.3">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4" x14ac:dyDescent="0.3">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4" x14ac:dyDescent="0.3">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4" x14ac:dyDescent="0.3">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4" x14ac:dyDescent="0.3">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4" x14ac:dyDescent="0.3">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4" x14ac:dyDescent="0.3">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4" x14ac:dyDescent="0.3">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4" x14ac:dyDescent="0.3">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4" x14ac:dyDescent="0.3">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4" x14ac:dyDescent="0.3">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4" x14ac:dyDescent="0.3">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4" x14ac:dyDescent="0.3">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4" x14ac:dyDescent="0.3">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4" x14ac:dyDescent="0.3">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4" x14ac:dyDescent="0.3">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4" x14ac:dyDescent="0.3">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4" x14ac:dyDescent="0.3">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4" x14ac:dyDescent="0.3">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4" x14ac:dyDescent="0.3">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4" x14ac:dyDescent="0.3">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4" x14ac:dyDescent="0.3">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4" x14ac:dyDescent="0.3">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4" x14ac:dyDescent="0.3">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4" x14ac:dyDescent="0.3">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4" x14ac:dyDescent="0.3">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4" x14ac:dyDescent="0.3">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4" x14ac:dyDescent="0.3">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4" x14ac:dyDescent="0.3">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4" x14ac:dyDescent="0.3">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4" x14ac:dyDescent="0.3">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4" x14ac:dyDescent="0.3">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4" x14ac:dyDescent="0.3">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4" x14ac:dyDescent="0.3">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4" x14ac:dyDescent="0.3">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4" x14ac:dyDescent="0.3">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4" x14ac:dyDescent="0.3">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4" x14ac:dyDescent="0.3">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4" x14ac:dyDescent="0.3">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4" x14ac:dyDescent="0.3">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4" x14ac:dyDescent="0.3">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4" x14ac:dyDescent="0.3">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4" x14ac:dyDescent="0.3">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4" x14ac:dyDescent="0.3">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4" x14ac:dyDescent="0.3">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4" x14ac:dyDescent="0.3">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4" x14ac:dyDescent="0.3">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4" x14ac:dyDescent="0.3">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4" x14ac:dyDescent="0.3">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4" x14ac:dyDescent="0.3">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4" x14ac:dyDescent="0.3">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4" x14ac:dyDescent="0.3">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4" x14ac:dyDescent="0.3">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4" x14ac:dyDescent="0.3">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4" x14ac:dyDescent="0.3">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4" x14ac:dyDescent="0.3">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4" x14ac:dyDescent="0.3">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4" x14ac:dyDescent="0.3">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4" x14ac:dyDescent="0.3">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4" x14ac:dyDescent="0.3">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4" x14ac:dyDescent="0.3">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4" x14ac:dyDescent="0.3">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4" x14ac:dyDescent="0.3">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4" x14ac:dyDescent="0.3">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4" x14ac:dyDescent="0.3">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4" x14ac:dyDescent="0.3">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4" x14ac:dyDescent="0.3">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4" x14ac:dyDescent="0.3">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4" x14ac:dyDescent="0.3">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4" x14ac:dyDescent="0.3">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4" x14ac:dyDescent="0.3">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4" x14ac:dyDescent="0.3">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4" x14ac:dyDescent="0.3">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4" x14ac:dyDescent="0.3">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4" x14ac:dyDescent="0.3">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4" x14ac:dyDescent="0.3">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4" x14ac:dyDescent="0.3">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4" x14ac:dyDescent="0.3">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4" x14ac:dyDescent="0.3">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4" x14ac:dyDescent="0.3">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4" x14ac:dyDescent="0.3">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4" x14ac:dyDescent="0.3">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4" x14ac:dyDescent="0.3">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4" x14ac:dyDescent="0.3">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4" x14ac:dyDescent="0.3">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4" x14ac:dyDescent="0.3">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4" x14ac:dyDescent="0.3">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4" x14ac:dyDescent="0.3">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4" x14ac:dyDescent="0.3">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4" x14ac:dyDescent="0.3">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4" x14ac:dyDescent="0.3">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4" x14ac:dyDescent="0.3">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4" x14ac:dyDescent="0.3">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4" x14ac:dyDescent="0.3">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4" x14ac:dyDescent="0.3">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4" x14ac:dyDescent="0.3">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4" x14ac:dyDescent="0.3">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4" x14ac:dyDescent="0.3">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4" x14ac:dyDescent="0.3">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4" x14ac:dyDescent="0.3">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4" x14ac:dyDescent="0.3">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4" x14ac:dyDescent="0.3">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4" x14ac:dyDescent="0.3">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4" x14ac:dyDescent="0.3">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4" x14ac:dyDescent="0.3">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4" x14ac:dyDescent="0.3">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4" x14ac:dyDescent="0.3">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4" x14ac:dyDescent="0.3">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4" x14ac:dyDescent="0.3">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4" x14ac:dyDescent="0.3">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4" x14ac:dyDescent="0.3">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4" x14ac:dyDescent="0.3">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4" x14ac:dyDescent="0.3">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4" x14ac:dyDescent="0.3">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4" x14ac:dyDescent="0.3">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4" x14ac:dyDescent="0.3">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4" x14ac:dyDescent="0.3">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4" x14ac:dyDescent="0.3">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4" x14ac:dyDescent="0.3">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4" x14ac:dyDescent="0.3">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4" x14ac:dyDescent="0.3">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4" x14ac:dyDescent="0.3">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4" x14ac:dyDescent="0.3">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4" x14ac:dyDescent="0.3">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4" x14ac:dyDescent="0.3">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4" x14ac:dyDescent="0.3">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4" x14ac:dyDescent="0.3">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4" x14ac:dyDescent="0.3">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4.5" thickBot="1" x14ac:dyDescent="0.35">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x14ac:dyDescent="0.35">
      <c r="B260" s="46"/>
      <c r="C260" s="46"/>
      <c r="D260" s="276"/>
      <c r="E260" s="502">
        <f>SUM(E12:E259)</f>
        <v>2.5000000000000001E-2</v>
      </c>
      <c r="F260" s="46"/>
      <c r="G260" s="46"/>
      <c r="H260" s="46"/>
      <c r="I260" s="46"/>
      <c r="J260" s="46"/>
      <c r="K260" s="46"/>
      <c r="L260" s="46"/>
      <c r="M260" s="46"/>
      <c r="N260" s="46"/>
      <c r="O260" s="46"/>
      <c r="P260" s="46"/>
      <c r="Q260" s="46"/>
      <c r="R260" s="46"/>
      <c r="S260" s="46"/>
      <c r="T260" s="46"/>
      <c r="U260" s="982"/>
      <c r="V260" s="983"/>
      <c r="W260" s="502">
        <f>SUM(W12:W259)</f>
        <v>4.4931606250000006E-2</v>
      </c>
      <c r="X260" s="46"/>
      <c r="Y260" s="46"/>
    </row>
    <row r="261" spans="2:33" ht="28.9" customHeight="1" x14ac:dyDescent="0.3">
      <c r="E261" s="980"/>
      <c r="F261" s="980"/>
      <c r="G261" s="980"/>
      <c r="H261" s="980"/>
      <c r="I261" s="980"/>
      <c r="J261" s="980"/>
    </row>
    <row r="262" spans="2:33" ht="27" customHeight="1" x14ac:dyDescent="0.3"/>
    <row r="263" spans="2:33" ht="14" x14ac:dyDescent="0.3"/>
    <row r="264" spans="2:33" ht="14" x14ac:dyDescent="0.3"/>
    <row r="265" spans="2:33" ht="14" x14ac:dyDescent="0.3"/>
    <row r="266" spans="2:33" ht="14" x14ac:dyDescent="0.3"/>
    <row r="267" spans="2:33" ht="14" x14ac:dyDescent="0.3"/>
    <row r="268" spans="2:33" ht="14" x14ac:dyDescent="0.3"/>
  </sheetData>
  <sheetProtection algorithmName="SHA-512" hashValue="ZoqQj324z1+ZdWCoojD0vyCiMDpZOMUwh2Lr3BZTFDmUOmjNNHm6PYnCsmoHycSfR0rge3XswTnBwye/+uMT7g==" saltValue="cwsqvDoQ1sxSZEAjdmnFx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 style="31" customWidth="1"/>
    <col min="3" max="3" width="53.26953125" style="31" customWidth="1"/>
    <col min="4" max="4" width="9" style="31" customWidth="1"/>
    <col min="5" max="5" width="18.7265625" style="31" customWidth="1"/>
    <col min="6" max="6" width="17.54296875" style="31" customWidth="1"/>
    <col min="7" max="7" width="18.1796875" style="31" customWidth="1"/>
    <col min="8" max="11" width="19.26953125" style="31" customWidth="1"/>
    <col min="12" max="12" width="33.453125" style="31" customWidth="1"/>
    <col min="13" max="13" width="68.7265625" style="31" customWidth="1"/>
    <col min="14" max="15" width="34.26953125" style="31" customWidth="1"/>
    <col min="16" max="16" width="10.26953125" style="31" customWidth="1"/>
    <col min="17" max="17" width="17.54296875" style="31" customWidth="1"/>
    <col min="18" max="18" width="13.1796875" style="31" customWidth="1"/>
    <col min="19" max="19" width="12.54296875" style="31" bestFit="1" customWidth="1"/>
    <col min="20" max="20" width="12.54296875" style="31" customWidth="1"/>
    <col min="21" max="21" width="41.7265625" style="31" customWidth="1"/>
    <col min="22" max="22" width="15.453125" style="31" customWidth="1"/>
    <col min="23" max="23" width="12.26953125" style="31" customWidth="1"/>
    <col min="24" max="24" width="18.81640625" style="31" customWidth="1"/>
    <col min="25" max="25" width="21.7265625" style="31" customWidth="1"/>
    <col min="26" max="26" width="22.81640625" style="31" customWidth="1"/>
    <col min="27" max="27" width="33.54296875" style="31" customWidth="1"/>
    <col min="28" max="28" width="18.81640625" style="31" customWidth="1"/>
    <col min="29" max="29" width="15.26953125" style="31" customWidth="1"/>
    <col min="30" max="30" width="15.7265625" style="31" customWidth="1"/>
    <col min="31" max="31" width="24" style="31" customWidth="1"/>
    <col min="32" max="32" width="22.1796875" style="31" customWidth="1"/>
    <col min="33" max="33" width="13.453125" style="31" customWidth="1"/>
    <col min="34" max="34" width="12.7265625" style="31" customWidth="1"/>
    <col min="35" max="36" width="34.81640625" style="31" customWidth="1"/>
    <col min="37" max="45" width="8.81640625" style="31" customWidth="1"/>
    <col min="46" max="46" width="15.7265625" style="31" hidden="1" customWidth="1"/>
    <col min="47" max="16384" width="8.81640625" style="31" hidden="1"/>
  </cols>
  <sheetData>
    <row r="1" spans="2:46" ht="15.75" customHeight="1" thickBot="1" x14ac:dyDescent="0.35"/>
    <row r="2" spans="2:46" ht="19.899999999999999" customHeight="1" thickBot="1" x14ac:dyDescent="0.35">
      <c r="B2" s="986" t="str">
        <f>IF(Start!F12="","",Start!F12)</f>
        <v/>
      </c>
      <c r="C2" s="987"/>
      <c r="D2" s="988"/>
      <c r="O2" s="132"/>
      <c r="X2" s="907" t="str">
        <f>IF(OR(COUNTIF($X$12:X257,"*30+*")&gt;0,COUNTIF($AB$12:AB257,"*30+*")&gt;0),"Note; Habitat selected has a time to target condition greater than 30 years. Non standard agreement may be required.","")</f>
        <v/>
      </c>
      <c r="Y2" s="907"/>
      <c r="Z2" s="907"/>
      <c r="AA2" s="907"/>
      <c r="AB2" s="907"/>
      <c r="AC2" s="907"/>
    </row>
    <row r="3" spans="2:46" ht="21" customHeight="1" x14ac:dyDescent="0.3">
      <c r="B3" s="940" t="str">
        <f ca="1">MID(CELL("filename",A1),FIND("]",CELL("filename",A1))+1,256)</f>
        <v>B-3 Site Hedge Enhancement</v>
      </c>
      <c r="C3" s="941"/>
      <c r="D3" s="942"/>
      <c r="X3" s="907"/>
      <c r="Y3" s="907"/>
      <c r="Z3" s="907"/>
      <c r="AA3" s="907"/>
      <c r="AB3" s="907"/>
      <c r="AC3" s="907"/>
    </row>
    <row r="4" spans="2:46" ht="15.75" customHeight="1" thickBot="1" x14ac:dyDescent="0.35">
      <c r="B4" s="943"/>
      <c r="C4" s="944"/>
      <c r="D4" s="945"/>
      <c r="V4" s="33"/>
      <c r="W4" s="193"/>
      <c r="X4" s="907"/>
      <c r="Y4" s="907"/>
      <c r="Z4" s="907"/>
      <c r="AA4" s="907"/>
      <c r="AB4" s="907"/>
      <c r="AC4" s="907"/>
      <c r="AD4" s="193"/>
      <c r="AE4" s="193"/>
      <c r="AF4" s="193"/>
      <c r="AG4" s="193"/>
      <c r="AH4" s="193"/>
      <c r="AI4" s="193"/>
      <c r="AJ4" s="193"/>
    </row>
    <row r="5" spans="2:46" ht="15.75" customHeight="1" x14ac:dyDescent="0.3">
      <c r="X5" s="402"/>
      <c r="Y5" s="402"/>
      <c r="Z5" s="402"/>
      <c r="AA5" s="402"/>
      <c r="AB5" s="402"/>
    </row>
    <row r="6" spans="2:46" ht="15.75" customHeight="1" x14ac:dyDescent="0.3">
      <c r="X6" s="402"/>
      <c r="Y6" s="402"/>
      <c r="Z6" s="402"/>
      <c r="AA6" s="402"/>
      <c r="AB6" s="402"/>
    </row>
    <row r="7" spans="2:46" ht="14" x14ac:dyDescent="0.3">
      <c r="B7" s="132"/>
      <c r="C7" s="132"/>
      <c r="M7" s="131"/>
    </row>
    <row r="8" spans="2:46" ht="19.899999999999999" customHeight="1" thickBot="1" x14ac:dyDescent="0.35"/>
    <row r="9" spans="2:46" ht="14.5" thickBot="1" x14ac:dyDescent="0.35">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15" customHeight="1" thickBot="1" x14ac:dyDescent="0.35">
      <c r="B10" s="197"/>
      <c r="C10" s="985" t="s">
        <v>306</v>
      </c>
      <c r="D10" s="985"/>
      <c r="E10" s="985"/>
      <c r="F10" s="985"/>
      <c r="G10" s="985"/>
      <c r="H10" s="985"/>
      <c r="I10" s="985"/>
      <c r="J10" s="985"/>
      <c r="K10" s="985"/>
      <c r="L10" s="985"/>
      <c r="M10" s="938" t="s">
        <v>307</v>
      </c>
      <c r="N10" s="992" t="s">
        <v>308</v>
      </c>
      <c r="O10" s="992"/>
      <c r="P10" s="938" t="s">
        <v>294</v>
      </c>
      <c r="Q10" s="879" t="s">
        <v>189</v>
      </c>
      <c r="R10" s="877"/>
      <c r="S10" s="955" t="s">
        <v>190</v>
      </c>
      <c r="T10" s="877"/>
      <c r="U10" s="949" t="s">
        <v>191</v>
      </c>
      <c r="V10" s="949"/>
      <c r="W10" s="949"/>
      <c r="X10" s="966" t="s">
        <v>228</v>
      </c>
      <c r="Y10" s="967"/>
      <c r="Z10" s="967"/>
      <c r="AA10" s="967"/>
      <c r="AB10" s="967"/>
      <c r="AC10" s="968"/>
      <c r="AD10" s="939" t="s">
        <v>252</v>
      </c>
      <c r="AE10" s="939"/>
      <c r="AF10" s="939"/>
      <c r="AG10" s="939"/>
      <c r="AH10" s="939" t="s">
        <v>302</v>
      </c>
      <c r="AI10" s="958" t="s">
        <v>196</v>
      </c>
      <c r="AJ10" s="949"/>
    </row>
    <row r="11" spans="2:46" ht="61.5" customHeigh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939"/>
      <c r="N11" s="367" t="s">
        <v>310</v>
      </c>
      <c r="O11" s="201" t="s">
        <v>311</v>
      </c>
      <c r="P11" s="939"/>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4" x14ac:dyDescent="0.3">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4" x14ac:dyDescent="0.3">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4" x14ac:dyDescent="0.3">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4" x14ac:dyDescent="0.3">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4" x14ac:dyDescent="0.3">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4" x14ac:dyDescent="0.3">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4" x14ac:dyDescent="0.3">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4" x14ac:dyDescent="0.3">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4" x14ac:dyDescent="0.3">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4" x14ac:dyDescent="0.3">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4" x14ac:dyDescent="0.3">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4" x14ac:dyDescent="0.3">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4" x14ac:dyDescent="0.3">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4" x14ac:dyDescent="0.3">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4" x14ac:dyDescent="0.3">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4" x14ac:dyDescent="0.3">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4" x14ac:dyDescent="0.3">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4" x14ac:dyDescent="0.3">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4" x14ac:dyDescent="0.3">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4" x14ac:dyDescent="0.3">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4" x14ac:dyDescent="0.3">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4" x14ac:dyDescent="0.3">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4" x14ac:dyDescent="0.3">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4" x14ac:dyDescent="0.3">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4" x14ac:dyDescent="0.3">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4" x14ac:dyDescent="0.3">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4" x14ac:dyDescent="0.3">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4" x14ac:dyDescent="0.3">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4" x14ac:dyDescent="0.3">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4" x14ac:dyDescent="0.3">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4" x14ac:dyDescent="0.3">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4" x14ac:dyDescent="0.3">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4" x14ac:dyDescent="0.3">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4" x14ac:dyDescent="0.3">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4" x14ac:dyDescent="0.3">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4" x14ac:dyDescent="0.3">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4" x14ac:dyDescent="0.3">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4" x14ac:dyDescent="0.3">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4" x14ac:dyDescent="0.3">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4" x14ac:dyDescent="0.3">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4" x14ac:dyDescent="0.3">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4" x14ac:dyDescent="0.3">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4" x14ac:dyDescent="0.3">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4" x14ac:dyDescent="0.3">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4" x14ac:dyDescent="0.3">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4" x14ac:dyDescent="0.3">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4" x14ac:dyDescent="0.3">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4" x14ac:dyDescent="0.3">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4" x14ac:dyDescent="0.3">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4" x14ac:dyDescent="0.3">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4" x14ac:dyDescent="0.3">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4" x14ac:dyDescent="0.3">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4" x14ac:dyDescent="0.3">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4" x14ac:dyDescent="0.3">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4" x14ac:dyDescent="0.3">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4" x14ac:dyDescent="0.3">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4" x14ac:dyDescent="0.3">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4" x14ac:dyDescent="0.3">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4" x14ac:dyDescent="0.3">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4" x14ac:dyDescent="0.3">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4" x14ac:dyDescent="0.3">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4" x14ac:dyDescent="0.3">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4" x14ac:dyDescent="0.3">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4" x14ac:dyDescent="0.3">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4" x14ac:dyDescent="0.3">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4" x14ac:dyDescent="0.3">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4" x14ac:dyDescent="0.3">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4" x14ac:dyDescent="0.3">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4" x14ac:dyDescent="0.3">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4" x14ac:dyDescent="0.3">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4" x14ac:dyDescent="0.3">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4" x14ac:dyDescent="0.3">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4" x14ac:dyDescent="0.3">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4" x14ac:dyDescent="0.3">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4" x14ac:dyDescent="0.3">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4" x14ac:dyDescent="0.3">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4" x14ac:dyDescent="0.3">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4" x14ac:dyDescent="0.3">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4" x14ac:dyDescent="0.3">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4" x14ac:dyDescent="0.3">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4" x14ac:dyDescent="0.3">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4" x14ac:dyDescent="0.3">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4" x14ac:dyDescent="0.3">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4" x14ac:dyDescent="0.3">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4" x14ac:dyDescent="0.3">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4" x14ac:dyDescent="0.3">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4" x14ac:dyDescent="0.3">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4" x14ac:dyDescent="0.3">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4" x14ac:dyDescent="0.3">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4" x14ac:dyDescent="0.3">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4" x14ac:dyDescent="0.3">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4" x14ac:dyDescent="0.3">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4" x14ac:dyDescent="0.3">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4" x14ac:dyDescent="0.3">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4" x14ac:dyDescent="0.3">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4" x14ac:dyDescent="0.3">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4" x14ac:dyDescent="0.3">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4" x14ac:dyDescent="0.3">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4" x14ac:dyDescent="0.3">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4" x14ac:dyDescent="0.3">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4" x14ac:dyDescent="0.3">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4" x14ac:dyDescent="0.3">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4" x14ac:dyDescent="0.3">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4" x14ac:dyDescent="0.3">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4" x14ac:dyDescent="0.3">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4" x14ac:dyDescent="0.3">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4" x14ac:dyDescent="0.3">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4" x14ac:dyDescent="0.3">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4" x14ac:dyDescent="0.3">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4" x14ac:dyDescent="0.3">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4" x14ac:dyDescent="0.3">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4" x14ac:dyDescent="0.3">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4" x14ac:dyDescent="0.3">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4" x14ac:dyDescent="0.3">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4" x14ac:dyDescent="0.3">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4" x14ac:dyDescent="0.3">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4" x14ac:dyDescent="0.3">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4" x14ac:dyDescent="0.3">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4" x14ac:dyDescent="0.3">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4" x14ac:dyDescent="0.3">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4" x14ac:dyDescent="0.3">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4" x14ac:dyDescent="0.3">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4" x14ac:dyDescent="0.3">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4" x14ac:dyDescent="0.3">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4" x14ac:dyDescent="0.3">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4" x14ac:dyDescent="0.3">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4" x14ac:dyDescent="0.3">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4" x14ac:dyDescent="0.3">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4" x14ac:dyDescent="0.3">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4" x14ac:dyDescent="0.3">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4" x14ac:dyDescent="0.3">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4" x14ac:dyDescent="0.3">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4" x14ac:dyDescent="0.3">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4" x14ac:dyDescent="0.3">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4" x14ac:dyDescent="0.3">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4" x14ac:dyDescent="0.3">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4" x14ac:dyDescent="0.3">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4" x14ac:dyDescent="0.3">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4" x14ac:dyDescent="0.3">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4" x14ac:dyDescent="0.3">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4" x14ac:dyDescent="0.3">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4" x14ac:dyDescent="0.3">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4" x14ac:dyDescent="0.3">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4" x14ac:dyDescent="0.3">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4" x14ac:dyDescent="0.3">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4" x14ac:dyDescent="0.3">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4" x14ac:dyDescent="0.3">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4" x14ac:dyDescent="0.3">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4" x14ac:dyDescent="0.3">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4" x14ac:dyDescent="0.3">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4" x14ac:dyDescent="0.3">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4" x14ac:dyDescent="0.3">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4" x14ac:dyDescent="0.3">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4" x14ac:dyDescent="0.3">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4" x14ac:dyDescent="0.3">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4" x14ac:dyDescent="0.3">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4" x14ac:dyDescent="0.3">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4" x14ac:dyDescent="0.3">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4" x14ac:dyDescent="0.3">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4" x14ac:dyDescent="0.3">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4" x14ac:dyDescent="0.3">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4" x14ac:dyDescent="0.3">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4" x14ac:dyDescent="0.3">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4" x14ac:dyDescent="0.3">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4" x14ac:dyDescent="0.3">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4" x14ac:dyDescent="0.3">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4" x14ac:dyDescent="0.3">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4" x14ac:dyDescent="0.3">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4" x14ac:dyDescent="0.3">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4" x14ac:dyDescent="0.3">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4" x14ac:dyDescent="0.3">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4" x14ac:dyDescent="0.3">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4" x14ac:dyDescent="0.3">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4" x14ac:dyDescent="0.3">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4" x14ac:dyDescent="0.3">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4" x14ac:dyDescent="0.3">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4" x14ac:dyDescent="0.3">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4" x14ac:dyDescent="0.3">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4" x14ac:dyDescent="0.3">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4" x14ac:dyDescent="0.3">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4" x14ac:dyDescent="0.3">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4" x14ac:dyDescent="0.3">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4" x14ac:dyDescent="0.3">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4" x14ac:dyDescent="0.3">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4" x14ac:dyDescent="0.3">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4" x14ac:dyDescent="0.3">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4" x14ac:dyDescent="0.3">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4" x14ac:dyDescent="0.3">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4" x14ac:dyDescent="0.3">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4" x14ac:dyDescent="0.3">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4" x14ac:dyDescent="0.3">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4" x14ac:dyDescent="0.3">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4" x14ac:dyDescent="0.3">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4" x14ac:dyDescent="0.3">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4" x14ac:dyDescent="0.3">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4" x14ac:dyDescent="0.3">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4" x14ac:dyDescent="0.3">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4" x14ac:dyDescent="0.3">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4" x14ac:dyDescent="0.3">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4" x14ac:dyDescent="0.3">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4" x14ac:dyDescent="0.3">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4" x14ac:dyDescent="0.3">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4" x14ac:dyDescent="0.3">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4" x14ac:dyDescent="0.3">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4" x14ac:dyDescent="0.3">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4" x14ac:dyDescent="0.3">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4" x14ac:dyDescent="0.3">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4" x14ac:dyDescent="0.3">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4" x14ac:dyDescent="0.3">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4" x14ac:dyDescent="0.3">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4" x14ac:dyDescent="0.3">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4" x14ac:dyDescent="0.3">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4" x14ac:dyDescent="0.3">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4" x14ac:dyDescent="0.3">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4" x14ac:dyDescent="0.3">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4" x14ac:dyDescent="0.3">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4" x14ac:dyDescent="0.3">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4" x14ac:dyDescent="0.3">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4" x14ac:dyDescent="0.3">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4" x14ac:dyDescent="0.3">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4" x14ac:dyDescent="0.3">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4" x14ac:dyDescent="0.3">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4" x14ac:dyDescent="0.3">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4" x14ac:dyDescent="0.3">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4" x14ac:dyDescent="0.3">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4" x14ac:dyDescent="0.3">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4" x14ac:dyDescent="0.3">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4" x14ac:dyDescent="0.3">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4" x14ac:dyDescent="0.3">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4" x14ac:dyDescent="0.3">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4" x14ac:dyDescent="0.3">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4" x14ac:dyDescent="0.3">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4" x14ac:dyDescent="0.3">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4" x14ac:dyDescent="0.3">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4" x14ac:dyDescent="0.3">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4" x14ac:dyDescent="0.3">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4" x14ac:dyDescent="0.3">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4" x14ac:dyDescent="0.3">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4" x14ac:dyDescent="0.3">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4" x14ac:dyDescent="0.3">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4" x14ac:dyDescent="0.3">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4" x14ac:dyDescent="0.3">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4" x14ac:dyDescent="0.3">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4" x14ac:dyDescent="0.3">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4" x14ac:dyDescent="0.3">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4.5" thickBot="1" x14ac:dyDescent="0.35">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4.5" thickBot="1" x14ac:dyDescent="0.35">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4" x14ac:dyDescent="0.3"/>
    <row r="260" spans="2:46" ht="14" x14ac:dyDescent="0.3"/>
    <row r="261" spans="2:46" ht="14" x14ac:dyDescent="0.3"/>
    <row r="262" spans="2:46" ht="14" x14ac:dyDescent="0.3"/>
    <row r="263" spans="2:46" ht="14" x14ac:dyDescent="0.3"/>
    <row r="264" spans="2:46" ht="14" x14ac:dyDescent="0.3"/>
    <row r="265" spans="2:46" ht="14" x14ac:dyDescent="0.3"/>
    <row r="266" spans="2:46" ht="14" x14ac:dyDescent="0.3"/>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5" style="31" customWidth="1"/>
    <col min="2" max="2" width="11.453125" style="31" customWidth="1"/>
    <col min="3" max="3" width="9.54296875" style="31" bestFit="1" customWidth="1"/>
    <col min="4" max="4" width="53.7265625" style="31" bestFit="1" customWidth="1"/>
    <col min="5" max="5" width="8.81640625" style="31" customWidth="1"/>
    <col min="6" max="6" width="17.54296875" style="31" customWidth="1"/>
    <col min="7" max="7" width="8.453125" style="31" customWidth="1"/>
    <col min="8" max="8" width="11.7265625" style="31" bestFit="1" customWidth="1"/>
    <col min="9" max="9" width="8.7265625" style="31" customWidth="1"/>
    <col min="10" max="10" width="41.7265625" style="31" customWidth="1"/>
    <col min="11" max="11" width="14.54296875" style="31" customWidth="1"/>
    <col min="12" max="12" width="11.81640625" style="31" customWidth="1"/>
    <col min="13" max="13" width="21.1796875" style="31" bestFit="1" customWidth="1"/>
    <col min="14" max="14" width="13.1796875" style="31" customWidth="1"/>
    <col min="15" max="15" width="3.7265625" style="31" customWidth="1"/>
    <col min="16" max="16" width="10.26953125" style="31" bestFit="1" customWidth="1"/>
    <col min="17" max="17" width="11.7265625" style="31" customWidth="1"/>
    <col min="18" max="18" width="10.54296875" style="31" customWidth="1"/>
    <col min="19" max="19" width="11.7265625" style="31" customWidth="1"/>
    <col min="20" max="20" width="13.54296875" style="31" customWidth="1"/>
    <col min="21" max="21" width="8.26953125" style="31" customWidth="1"/>
    <col min="22" max="22" width="23.1796875" style="31" bestFit="1" customWidth="1"/>
    <col min="23" max="23" width="23.453125" style="31" bestFit="1" customWidth="1"/>
    <col min="24" max="27" width="8.81640625" style="31" customWidth="1"/>
    <col min="28" max="28" width="19.54296875" style="31" hidden="1" customWidth="1"/>
    <col min="29" max="30" width="8.81640625" style="31" hidden="1"/>
    <col min="31" max="31" width="9.26953125" style="31" hidden="1" customWidth="1"/>
    <col min="32" max="32" width="10.453125" style="31" hidden="1" customWidth="1"/>
    <col min="33" max="33" width="8.81640625" style="31" hidden="1"/>
    <col min="34" max="34" width="12.453125" style="31" hidden="1" customWidth="1"/>
    <col min="35" max="35" width="8.81640625" style="31" hidden="1"/>
    <col min="36" max="36" width="9.26953125" style="31" hidden="1" customWidth="1"/>
    <col min="37" max="37" width="10.453125" style="31" hidden="1" customWidth="1"/>
    <col min="38" max="16384" width="8.81640625" style="31" hidden="1"/>
  </cols>
  <sheetData>
    <row r="1" spans="2:37" ht="15.75" customHeight="1" thickBot="1" x14ac:dyDescent="0.35"/>
    <row r="2" spans="2:37" ht="15.75" customHeight="1" thickBot="1" x14ac:dyDescent="0.35">
      <c r="B2" s="743" t="str">
        <f>IF(Start!$F$12="","",Start!$F$12)</f>
        <v/>
      </c>
      <c r="C2" s="744"/>
      <c r="D2" s="745"/>
    </row>
    <row r="3" spans="2:37" ht="15.75" customHeight="1" x14ac:dyDescent="0.3">
      <c r="B3" s="974" t="str">
        <f ca="1">MID(CELL("filename",A1),FIND("]",CELL("filename",A1))+1,256)</f>
        <v>E-1 Off Site Hedge Baseline</v>
      </c>
      <c r="C3" s="975"/>
      <c r="D3" s="976"/>
    </row>
    <row r="4" spans="2:37" ht="15.75" customHeight="1" thickBot="1" x14ac:dyDescent="0.35">
      <c r="B4" s="977"/>
      <c r="C4" s="978"/>
      <c r="D4" s="979"/>
    </row>
    <row r="5" spans="2:37" ht="37.9" customHeight="1" x14ac:dyDescent="0.3"/>
    <row r="6" spans="2:37" ht="28.9" customHeight="1" x14ac:dyDescent="0.3"/>
    <row r="7" spans="2:37" ht="15.75" customHeight="1" thickBot="1" x14ac:dyDescent="0.35">
      <c r="B7" s="132"/>
      <c r="C7" s="132"/>
      <c r="D7" s="131"/>
    </row>
    <row r="8" spans="2:37" s="42" customFormat="1" ht="28.5" thickBot="1" x14ac:dyDescent="0.35">
      <c r="B8" s="40"/>
      <c r="C8" s="966" t="s">
        <v>315</v>
      </c>
      <c r="D8" s="967"/>
      <c r="E8" s="968"/>
      <c r="F8" s="966" t="s">
        <v>272</v>
      </c>
      <c r="G8" s="968"/>
      <c r="H8" s="966" t="s">
        <v>273</v>
      </c>
      <c r="I8" s="968"/>
      <c r="J8" s="966" t="s">
        <v>191</v>
      </c>
      <c r="K8" s="967"/>
      <c r="L8" s="968"/>
      <c r="M8" s="969" t="s">
        <v>309</v>
      </c>
      <c r="N8" s="167" t="s">
        <v>193</v>
      </c>
      <c r="O8" s="138"/>
      <c r="P8" s="993" t="s">
        <v>194</v>
      </c>
      <c r="Q8" s="995"/>
      <c r="R8" s="995"/>
      <c r="S8" s="995"/>
      <c r="T8" s="995"/>
      <c r="U8" s="994"/>
      <c r="V8" s="993" t="s">
        <v>196</v>
      </c>
      <c r="W8" s="994"/>
    </row>
    <row r="9" spans="2:37" ht="42.5" thickBot="1" x14ac:dyDescent="0.35">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4" x14ac:dyDescent="0.3">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4" x14ac:dyDescent="0.3">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4" x14ac:dyDescent="0.3">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4" x14ac:dyDescent="0.3">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4" x14ac:dyDescent="0.3">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4" x14ac:dyDescent="0.3">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4" x14ac:dyDescent="0.3">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4" x14ac:dyDescent="0.3">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4" x14ac:dyDescent="0.3">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4" x14ac:dyDescent="0.3">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4" x14ac:dyDescent="0.3">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4" x14ac:dyDescent="0.3">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4" x14ac:dyDescent="0.3">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4" x14ac:dyDescent="0.3">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4" x14ac:dyDescent="0.3">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4" x14ac:dyDescent="0.3">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4" x14ac:dyDescent="0.3">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4" x14ac:dyDescent="0.3">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4" x14ac:dyDescent="0.3">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4" x14ac:dyDescent="0.3">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4" x14ac:dyDescent="0.3">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4" x14ac:dyDescent="0.3">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4" x14ac:dyDescent="0.3">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4" x14ac:dyDescent="0.3">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4" x14ac:dyDescent="0.3">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4" x14ac:dyDescent="0.3">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4" x14ac:dyDescent="0.3">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4" x14ac:dyDescent="0.3">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4" x14ac:dyDescent="0.3">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4" x14ac:dyDescent="0.3">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4" x14ac:dyDescent="0.3">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4" x14ac:dyDescent="0.3">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4" x14ac:dyDescent="0.3">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4" x14ac:dyDescent="0.3">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4" x14ac:dyDescent="0.3">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4" x14ac:dyDescent="0.3">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4" x14ac:dyDescent="0.3">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4" x14ac:dyDescent="0.3">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4" x14ac:dyDescent="0.3">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4" x14ac:dyDescent="0.3">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4" x14ac:dyDescent="0.3">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4" x14ac:dyDescent="0.3">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4" x14ac:dyDescent="0.3">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4" x14ac:dyDescent="0.3">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4" x14ac:dyDescent="0.3">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4" x14ac:dyDescent="0.3">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4" x14ac:dyDescent="0.3">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4" x14ac:dyDescent="0.3">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4" x14ac:dyDescent="0.3">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4" x14ac:dyDescent="0.3">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4" x14ac:dyDescent="0.3">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4" x14ac:dyDescent="0.3">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4" x14ac:dyDescent="0.3">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4" x14ac:dyDescent="0.3">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4" x14ac:dyDescent="0.3">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4" x14ac:dyDescent="0.3">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4" x14ac:dyDescent="0.3">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4" x14ac:dyDescent="0.3">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4" x14ac:dyDescent="0.3">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4" x14ac:dyDescent="0.3">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4" x14ac:dyDescent="0.3">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4" x14ac:dyDescent="0.3">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4" x14ac:dyDescent="0.3">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4" x14ac:dyDescent="0.3">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4" x14ac:dyDescent="0.3">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4" x14ac:dyDescent="0.3">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4" x14ac:dyDescent="0.3">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4" x14ac:dyDescent="0.3">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4" x14ac:dyDescent="0.3">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4" x14ac:dyDescent="0.3">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4" x14ac:dyDescent="0.3">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4" x14ac:dyDescent="0.3">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4" x14ac:dyDescent="0.3">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4" x14ac:dyDescent="0.3">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4" x14ac:dyDescent="0.3">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4" x14ac:dyDescent="0.3">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4" x14ac:dyDescent="0.3">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4" x14ac:dyDescent="0.3">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4" x14ac:dyDescent="0.3">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4" x14ac:dyDescent="0.3">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4" x14ac:dyDescent="0.3">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4" x14ac:dyDescent="0.3">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4" x14ac:dyDescent="0.3">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4" x14ac:dyDescent="0.3">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4" x14ac:dyDescent="0.3">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4" x14ac:dyDescent="0.3">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4" x14ac:dyDescent="0.3">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4" x14ac:dyDescent="0.3">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4" x14ac:dyDescent="0.3">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4" x14ac:dyDescent="0.3">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4" x14ac:dyDescent="0.3">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4" x14ac:dyDescent="0.3">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4" x14ac:dyDescent="0.3">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4" x14ac:dyDescent="0.3">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4" x14ac:dyDescent="0.3">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4" x14ac:dyDescent="0.3">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4" x14ac:dyDescent="0.3">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4" x14ac:dyDescent="0.3">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4" x14ac:dyDescent="0.3">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4" x14ac:dyDescent="0.3">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4" x14ac:dyDescent="0.3">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4" x14ac:dyDescent="0.3">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4" x14ac:dyDescent="0.3">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4" x14ac:dyDescent="0.3">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4" x14ac:dyDescent="0.3">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4" x14ac:dyDescent="0.3">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4" x14ac:dyDescent="0.3">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4" x14ac:dyDescent="0.3">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4" x14ac:dyDescent="0.3">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4" x14ac:dyDescent="0.3">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4" x14ac:dyDescent="0.3">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4" x14ac:dyDescent="0.3">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4" x14ac:dyDescent="0.3">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4" x14ac:dyDescent="0.3">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4" x14ac:dyDescent="0.3">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4" x14ac:dyDescent="0.3">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4" x14ac:dyDescent="0.3">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4" x14ac:dyDescent="0.3">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4" x14ac:dyDescent="0.3">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4" x14ac:dyDescent="0.3">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4" x14ac:dyDescent="0.3">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4" x14ac:dyDescent="0.3">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4" x14ac:dyDescent="0.3">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4" x14ac:dyDescent="0.3">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4" x14ac:dyDescent="0.3">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4" x14ac:dyDescent="0.3">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4" x14ac:dyDescent="0.3">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4" x14ac:dyDescent="0.3">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4" x14ac:dyDescent="0.3">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4" x14ac:dyDescent="0.3">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4" x14ac:dyDescent="0.3">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4" x14ac:dyDescent="0.3">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4" x14ac:dyDescent="0.3">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4" x14ac:dyDescent="0.3">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4" x14ac:dyDescent="0.3">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4" x14ac:dyDescent="0.3">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4" x14ac:dyDescent="0.3">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4" x14ac:dyDescent="0.3">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4" x14ac:dyDescent="0.3">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4" x14ac:dyDescent="0.3">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4" x14ac:dyDescent="0.3">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4" x14ac:dyDescent="0.3">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4" x14ac:dyDescent="0.3">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4" x14ac:dyDescent="0.3">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4" x14ac:dyDescent="0.3">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4" x14ac:dyDescent="0.3">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4" x14ac:dyDescent="0.3">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4" x14ac:dyDescent="0.3">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4" x14ac:dyDescent="0.3">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4" x14ac:dyDescent="0.3">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4" x14ac:dyDescent="0.3">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4" x14ac:dyDescent="0.3">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4" x14ac:dyDescent="0.3">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4" x14ac:dyDescent="0.3">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4" x14ac:dyDescent="0.3">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4" x14ac:dyDescent="0.3">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4" x14ac:dyDescent="0.3">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4" x14ac:dyDescent="0.3">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4" x14ac:dyDescent="0.3">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4" x14ac:dyDescent="0.3">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4" x14ac:dyDescent="0.3">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4" x14ac:dyDescent="0.3">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4" x14ac:dyDescent="0.3">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4" x14ac:dyDescent="0.3">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4" x14ac:dyDescent="0.3">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4" x14ac:dyDescent="0.3">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4" x14ac:dyDescent="0.3">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4" x14ac:dyDescent="0.3">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4" x14ac:dyDescent="0.3">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4" x14ac:dyDescent="0.3">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4" x14ac:dyDescent="0.3">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4" x14ac:dyDescent="0.3">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4" x14ac:dyDescent="0.3">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4" x14ac:dyDescent="0.3">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4" x14ac:dyDescent="0.3">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4" x14ac:dyDescent="0.3">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4" x14ac:dyDescent="0.3">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4" x14ac:dyDescent="0.3">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4" x14ac:dyDescent="0.3">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4" x14ac:dyDescent="0.3">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4" x14ac:dyDescent="0.3">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4" x14ac:dyDescent="0.3">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4" x14ac:dyDescent="0.3">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4" x14ac:dyDescent="0.3">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4" x14ac:dyDescent="0.3">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4" x14ac:dyDescent="0.3">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4" x14ac:dyDescent="0.3">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4" x14ac:dyDescent="0.3">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4" x14ac:dyDescent="0.3">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4" x14ac:dyDescent="0.3">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4" x14ac:dyDescent="0.3">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4" x14ac:dyDescent="0.3">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4" x14ac:dyDescent="0.3">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4" x14ac:dyDescent="0.3">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4" x14ac:dyDescent="0.3">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4" x14ac:dyDescent="0.3">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4" x14ac:dyDescent="0.3">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4" x14ac:dyDescent="0.3">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4" x14ac:dyDescent="0.3">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4" x14ac:dyDescent="0.3">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4" x14ac:dyDescent="0.3">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4" x14ac:dyDescent="0.3">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4" x14ac:dyDescent="0.3">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4" x14ac:dyDescent="0.3">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4" x14ac:dyDescent="0.3">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4" x14ac:dyDescent="0.3">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4" x14ac:dyDescent="0.3">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4" x14ac:dyDescent="0.3">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4" x14ac:dyDescent="0.3">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4" x14ac:dyDescent="0.3">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4" x14ac:dyDescent="0.3">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4" x14ac:dyDescent="0.3">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4" x14ac:dyDescent="0.3">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4" x14ac:dyDescent="0.3">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4" x14ac:dyDescent="0.3">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4" x14ac:dyDescent="0.3">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4" x14ac:dyDescent="0.3">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4" x14ac:dyDescent="0.3">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4" x14ac:dyDescent="0.3">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4" x14ac:dyDescent="0.3">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4" x14ac:dyDescent="0.3">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4" x14ac:dyDescent="0.3">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4" x14ac:dyDescent="0.3">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4" x14ac:dyDescent="0.3">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4" x14ac:dyDescent="0.3">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4" x14ac:dyDescent="0.3">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4" x14ac:dyDescent="0.3">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4" x14ac:dyDescent="0.3">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4" x14ac:dyDescent="0.3">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4" x14ac:dyDescent="0.3">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4" x14ac:dyDescent="0.3">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4" x14ac:dyDescent="0.3">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4" x14ac:dyDescent="0.3">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4" x14ac:dyDescent="0.3">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4" x14ac:dyDescent="0.3">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4" x14ac:dyDescent="0.3">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4" x14ac:dyDescent="0.3">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4" x14ac:dyDescent="0.3">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4" x14ac:dyDescent="0.3">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4" x14ac:dyDescent="0.3">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4" x14ac:dyDescent="0.3">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4" x14ac:dyDescent="0.3">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4" x14ac:dyDescent="0.3">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4" x14ac:dyDescent="0.3">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4" x14ac:dyDescent="0.3">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4" x14ac:dyDescent="0.3">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4" x14ac:dyDescent="0.3">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4.5" thickBot="1" x14ac:dyDescent="0.35">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4.5" thickBot="1" x14ac:dyDescent="0.35">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4" x14ac:dyDescent="0.3">
      <c r="O259" s="166"/>
      <c r="P259" s="166"/>
      <c r="Q259" s="166"/>
      <c r="R259" s="166"/>
      <c r="S259" s="166"/>
      <c r="T259" s="166"/>
      <c r="U259" s="166"/>
    </row>
    <row r="260" spans="2:37" ht="14" x14ac:dyDescent="0.3">
      <c r="B260" s="132"/>
      <c r="C260" s="132"/>
    </row>
    <row r="261" spans="2:37" ht="14" x14ac:dyDescent="0.3">
      <c r="B261" s="132"/>
      <c r="C261" s="132"/>
    </row>
    <row r="262" spans="2:37" ht="14" x14ac:dyDescent="0.3">
      <c r="B262" s="132"/>
      <c r="C262" s="132"/>
    </row>
    <row r="263" spans="2:37" ht="14" x14ac:dyDescent="0.3">
      <c r="B263" s="132"/>
      <c r="C263" s="132"/>
    </row>
    <row r="264" spans="2:37" ht="14" x14ac:dyDescent="0.3">
      <c r="B264" s="132"/>
      <c r="C264" s="132"/>
    </row>
    <row r="265" spans="2:37" ht="14" x14ac:dyDescent="0.3">
      <c r="B265" s="132"/>
      <c r="C265" s="132"/>
    </row>
    <row r="266" spans="2:37" ht="14" x14ac:dyDescent="0.3">
      <c r="B266" s="132"/>
      <c r="C266" s="132"/>
    </row>
    <row r="267" spans="2:37" ht="14" hidden="1" x14ac:dyDescent="0.3">
      <c r="B267" s="132"/>
      <c r="C267" s="132"/>
    </row>
    <row r="268" spans="2:37" ht="14" hidden="1" x14ac:dyDescent="0.3">
      <c r="B268" s="132"/>
      <c r="C268" s="132"/>
    </row>
    <row r="269" spans="2:37" ht="14" hidden="1" x14ac:dyDescent="0.3">
      <c r="B269" s="132"/>
      <c r="C269" s="132"/>
    </row>
    <row r="270" spans="2:37" ht="14" hidden="1" x14ac:dyDescent="0.3">
      <c r="B270" s="132"/>
      <c r="C270" s="132"/>
    </row>
    <row r="271" spans="2:37" ht="14" hidden="1" x14ac:dyDescent="0.3">
      <c r="B271" s="132"/>
      <c r="C271" s="132"/>
    </row>
    <row r="272" spans="2:37" ht="14" hidden="1" x14ac:dyDescent="0.3">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1.26953125" style="31" customWidth="1"/>
    <col min="3" max="3" width="9.26953125" style="31" customWidth="1"/>
    <col min="4" max="4" width="60.7265625" style="31" customWidth="1"/>
    <col min="5" max="5" width="10.26953125" style="31" customWidth="1"/>
    <col min="6" max="6" width="19.1796875" style="31" customWidth="1"/>
    <col min="7" max="7" width="11.81640625" style="31" customWidth="1"/>
    <col min="8" max="8" width="11.54296875" style="31" customWidth="1"/>
    <col min="9" max="9" width="12.54296875" style="31" customWidth="1"/>
    <col min="10" max="10" width="41.7265625" style="31" customWidth="1"/>
    <col min="11" max="11" width="21.1796875" style="31" customWidth="1"/>
    <col min="12" max="12" width="12.26953125" style="31" customWidth="1"/>
    <col min="13" max="13" width="67.7265625" style="31" customWidth="1"/>
    <col min="14" max="14" width="12.26953125" style="31" customWidth="1"/>
    <col min="15" max="17" width="17.7265625" style="31" customWidth="1"/>
    <col min="18" max="18" width="35.54296875" style="31" customWidth="1"/>
    <col min="19" max="19" width="17.7265625" style="31" customWidth="1"/>
    <col min="20" max="20" width="15.26953125" style="31" customWidth="1"/>
    <col min="21" max="21" width="10.7265625" style="31" customWidth="1"/>
    <col min="22" max="22" width="25.26953125" style="31" customWidth="1"/>
    <col min="23" max="23" width="10.7265625" style="31" customWidth="1"/>
    <col min="24" max="24" width="12.54296875" style="31" customWidth="1"/>
    <col min="25" max="25" width="12.7265625" style="31" customWidth="1"/>
    <col min="26" max="27" width="42.54296875" style="31" customWidth="1"/>
    <col min="28" max="32" width="8.81640625" style="31" customWidth="1"/>
    <col min="33" max="33" width="15.81640625" style="31" hidden="1" customWidth="1"/>
    <col min="34" max="35" width="8.81640625" style="31" hidden="1" customWidth="1"/>
    <col min="36" max="36" width="0" style="31" hidden="1" customWidth="1"/>
    <col min="37" max="16384" width="8.81640625" style="31" hidden="1"/>
  </cols>
  <sheetData>
    <row r="1" spans="2:33" ht="15.75" customHeight="1" thickBot="1" x14ac:dyDescent="0.35"/>
    <row r="2" spans="2:33" ht="15.75" customHeight="1" thickBot="1" x14ac:dyDescent="0.35">
      <c r="B2" s="743" t="str">
        <f>IF(Start!$F$12="","",Start!$F$12)</f>
        <v/>
      </c>
      <c r="C2" s="744"/>
      <c r="D2" s="744"/>
      <c r="E2" s="745"/>
      <c r="O2" s="907" t="str">
        <f>IF(OR(COUNTIF($O$12:O259,"*30+*")&gt;0,COUNTIF($S$12:S259,"*30+*")&gt;0),"Note; Habitat selected has a time to target condition greater than 30 years. Non standard agreement may be required. ⚠","")</f>
        <v/>
      </c>
      <c r="P2" s="907"/>
      <c r="Q2" s="907"/>
      <c r="R2" s="907"/>
      <c r="S2" s="907"/>
      <c r="T2" s="907"/>
    </row>
    <row r="3" spans="2:33" ht="15.75" customHeight="1" thickBot="1" x14ac:dyDescent="0.35">
      <c r="B3" s="999" t="str">
        <f ca="1">MID(CELL("filename",A1),FIND("]",CELL("filename",A1))+1,256)</f>
        <v>E-2 Off Site Hedge Creation</v>
      </c>
      <c r="C3" s="1000"/>
      <c r="D3" s="1000"/>
      <c r="E3" s="1001"/>
      <c r="O3" s="907"/>
      <c r="P3" s="907"/>
      <c r="Q3" s="907"/>
      <c r="R3" s="907"/>
      <c r="S3" s="907"/>
      <c r="T3" s="907"/>
    </row>
    <row r="4" spans="2:33" ht="15.75" customHeight="1" thickBot="1" x14ac:dyDescent="0.35">
      <c r="B4" s="999"/>
      <c r="C4" s="1000"/>
      <c r="D4" s="1000"/>
      <c r="E4" s="1001"/>
      <c r="O4" s="907"/>
      <c r="P4" s="907"/>
      <c r="Q4" s="907"/>
      <c r="R4" s="907"/>
      <c r="S4" s="907"/>
      <c r="T4" s="907"/>
    </row>
    <row r="5" spans="2:33" ht="15.75" customHeight="1" x14ac:dyDescent="0.3">
      <c r="O5" s="907"/>
      <c r="P5" s="907"/>
      <c r="Q5" s="907"/>
      <c r="R5" s="907"/>
      <c r="S5" s="907"/>
      <c r="T5" s="907"/>
    </row>
    <row r="6" spans="2:33" ht="15.75" customHeight="1" x14ac:dyDescent="0.3">
      <c r="O6" s="402"/>
      <c r="P6" s="402"/>
      <c r="Q6" s="402"/>
      <c r="R6" s="402"/>
      <c r="S6" s="402"/>
    </row>
    <row r="7" spans="2:33" ht="15.75" customHeight="1" x14ac:dyDescent="0.3">
      <c r="B7" s="132"/>
      <c r="C7" s="132"/>
    </row>
    <row r="8" spans="2:33" ht="14" x14ac:dyDescent="0.3">
      <c r="J8" s="131"/>
      <c r="K8" s="131"/>
      <c r="L8" s="131"/>
      <c r="M8" s="131"/>
      <c r="N8" s="131"/>
      <c r="O8" s="131"/>
      <c r="P8" s="131"/>
      <c r="Q8" s="131"/>
      <c r="R8" s="131"/>
      <c r="S8" s="131"/>
      <c r="T8" s="131"/>
      <c r="V8" s="131"/>
      <c r="W8" s="131"/>
      <c r="X8" s="131"/>
    </row>
    <row r="9" spans="2:33" ht="15.75" customHeight="1" thickBot="1" x14ac:dyDescent="0.35">
      <c r="J9" s="131"/>
      <c r="K9" s="131"/>
      <c r="L9" s="131"/>
      <c r="M9" s="138"/>
      <c r="N9" s="138"/>
      <c r="O9" s="199"/>
      <c r="P9" s="199"/>
      <c r="Q9" s="199"/>
      <c r="R9" s="199"/>
      <c r="S9" s="199"/>
      <c r="T9" s="199"/>
      <c r="U9" s="199"/>
      <c r="V9" s="199"/>
      <c r="W9" s="199"/>
      <c r="X9" s="199"/>
    </row>
    <row r="10" spans="2:33" s="42" customFormat="1" ht="30" customHeight="1" thickBot="1" x14ac:dyDescent="0.35">
      <c r="B10" s="40"/>
      <c r="C10" s="40"/>
      <c r="D10" s="966" t="s">
        <v>301</v>
      </c>
      <c r="E10" s="968"/>
      <c r="F10" s="966" t="s">
        <v>272</v>
      </c>
      <c r="G10" s="968"/>
      <c r="H10" s="967" t="s">
        <v>273</v>
      </c>
      <c r="I10" s="968"/>
      <c r="J10" s="966" t="s">
        <v>191</v>
      </c>
      <c r="K10" s="967"/>
      <c r="L10" s="968"/>
      <c r="M10" s="966" t="s">
        <v>280</v>
      </c>
      <c r="N10" s="968"/>
      <c r="O10" s="966" t="s">
        <v>228</v>
      </c>
      <c r="P10" s="967"/>
      <c r="Q10" s="967"/>
      <c r="R10" s="967"/>
      <c r="S10" s="967"/>
      <c r="T10" s="968"/>
      <c r="U10" s="966" t="s">
        <v>252</v>
      </c>
      <c r="V10" s="967"/>
      <c r="W10" s="967"/>
      <c r="X10" s="968"/>
      <c r="Y10" s="969" t="s">
        <v>302</v>
      </c>
      <c r="Z10" s="966" t="s">
        <v>196</v>
      </c>
      <c r="AA10" s="968"/>
    </row>
    <row r="11" spans="2:33" ht="56" x14ac:dyDescent="0.3">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998"/>
      <c r="Z11" s="141" t="s">
        <v>215</v>
      </c>
      <c r="AA11" s="358" t="s">
        <v>216</v>
      </c>
      <c r="AG11" s="131" t="s">
        <v>200</v>
      </c>
    </row>
    <row r="12" spans="2:33" ht="14" x14ac:dyDescent="0.3">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4" x14ac:dyDescent="0.3">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4" x14ac:dyDescent="0.3">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4" x14ac:dyDescent="0.3">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4" x14ac:dyDescent="0.3">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4" x14ac:dyDescent="0.3">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4" x14ac:dyDescent="0.3">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4" x14ac:dyDescent="0.3">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4" x14ac:dyDescent="0.3">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4" x14ac:dyDescent="0.3">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4" x14ac:dyDescent="0.3">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4" x14ac:dyDescent="0.3">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4" x14ac:dyDescent="0.3">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4" x14ac:dyDescent="0.3">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4" x14ac:dyDescent="0.3">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4" x14ac:dyDescent="0.3">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4" x14ac:dyDescent="0.3">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4" x14ac:dyDescent="0.3">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4" x14ac:dyDescent="0.3">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4" x14ac:dyDescent="0.3">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4" x14ac:dyDescent="0.3">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4" x14ac:dyDescent="0.3">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4" x14ac:dyDescent="0.3">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4" x14ac:dyDescent="0.3">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4" x14ac:dyDescent="0.3">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4" x14ac:dyDescent="0.3">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4" x14ac:dyDescent="0.3">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4" x14ac:dyDescent="0.3">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4" x14ac:dyDescent="0.3">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4" x14ac:dyDescent="0.3">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4" x14ac:dyDescent="0.3">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4" x14ac:dyDescent="0.3">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4" x14ac:dyDescent="0.3">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4" x14ac:dyDescent="0.3">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4" x14ac:dyDescent="0.3">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4" x14ac:dyDescent="0.3">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4" x14ac:dyDescent="0.3">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4" x14ac:dyDescent="0.3">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4" x14ac:dyDescent="0.3">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4" x14ac:dyDescent="0.3">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4" x14ac:dyDescent="0.3">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4" x14ac:dyDescent="0.3">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4" x14ac:dyDescent="0.3">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4" x14ac:dyDescent="0.3">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4" x14ac:dyDescent="0.3">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4" x14ac:dyDescent="0.3">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4" x14ac:dyDescent="0.3">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4" x14ac:dyDescent="0.3">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4" x14ac:dyDescent="0.3">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4" x14ac:dyDescent="0.3">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4" x14ac:dyDescent="0.3">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4" x14ac:dyDescent="0.3">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4" x14ac:dyDescent="0.3">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4" x14ac:dyDescent="0.3">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4" x14ac:dyDescent="0.3">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4" x14ac:dyDescent="0.3">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4" x14ac:dyDescent="0.3">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4" x14ac:dyDescent="0.3">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4" x14ac:dyDescent="0.3">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4" x14ac:dyDescent="0.3">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4" x14ac:dyDescent="0.3">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4" x14ac:dyDescent="0.3">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4" x14ac:dyDescent="0.3">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4" x14ac:dyDescent="0.3">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4" x14ac:dyDescent="0.3">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4" x14ac:dyDescent="0.3">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4" x14ac:dyDescent="0.3">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4" x14ac:dyDescent="0.3">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4" x14ac:dyDescent="0.3">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4" x14ac:dyDescent="0.3">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4" x14ac:dyDescent="0.3">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4" x14ac:dyDescent="0.3">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4" x14ac:dyDescent="0.3">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4" x14ac:dyDescent="0.3">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4" x14ac:dyDescent="0.3">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4" x14ac:dyDescent="0.3">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4" x14ac:dyDescent="0.3">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4" x14ac:dyDescent="0.3">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4" x14ac:dyDescent="0.3">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4" x14ac:dyDescent="0.3">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4" x14ac:dyDescent="0.3">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4" x14ac:dyDescent="0.3">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4" x14ac:dyDescent="0.3">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4" x14ac:dyDescent="0.3">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4" x14ac:dyDescent="0.3">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4" x14ac:dyDescent="0.3">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4" x14ac:dyDescent="0.3">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4" x14ac:dyDescent="0.3">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4" x14ac:dyDescent="0.3">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4" x14ac:dyDescent="0.3">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4" x14ac:dyDescent="0.3">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4" x14ac:dyDescent="0.3">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4" x14ac:dyDescent="0.3">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4" x14ac:dyDescent="0.3">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4" x14ac:dyDescent="0.3">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4" x14ac:dyDescent="0.3">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4" x14ac:dyDescent="0.3">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4" x14ac:dyDescent="0.3">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4" x14ac:dyDescent="0.3">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4" x14ac:dyDescent="0.3">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4" x14ac:dyDescent="0.3">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4" x14ac:dyDescent="0.3">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4" x14ac:dyDescent="0.3">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4" x14ac:dyDescent="0.3">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4" x14ac:dyDescent="0.3">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4" x14ac:dyDescent="0.3">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4" x14ac:dyDescent="0.3">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4" x14ac:dyDescent="0.3">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4" x14ac:dyDescent="0.3">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4" x14ac:dyDescent="0.3">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4" x14ac:dyDescent="0.3">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4" x14ac:dyDescent="0.3">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4" x14ac:dyDescent="0.3">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4" x14ac:dyDescent="0.3">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4" x14ac:dyDescent="0.3">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4" x14ac:dyDescent="0.3">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4" x14ac:dyDescent="0.3">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4" x14ac:dyDescent="0.3">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4" x14ac:dyDescent="0.3">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4" x14ac:dyDescent="0.3">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4" x14ac:dyDescent="0.3">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4" x14ac:dyDescent="0.3">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4" x14ac:dyDescent="0.3">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4" x14ac:dyDescent="0.3">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4" x14ac:dyDescent="0.3">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4" x14ac:dyDescent="0.3">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4" x14ac:dyDescent="0.3">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4" x14ac:dyDescent="0.3">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4" x14ac:dyDescent="0.3">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4" x14ac:dyDescent="0.3">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4" x14ac:dyDescent="0.3">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4" x14ac:dyDescent="0.3">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4" x14ac:dyDescent="0.3">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4" x14ac:dyDescent="0.3">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4" x14ac:dyDescent="0.3">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4" x14ac:dyDescent="0.3">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4" x14ac:dyDescent="0.3">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4" x14ac:dyDescent="0.3">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4" x14ac:dyDescent="0.3">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4" x14ac:dyDescent="0.3">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4" x14ac:dyDescent="0.3">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4" x14ac:dyDescent="0.3">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4" x14ac:dyDescent="0.3">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4" x14ac:dyDescent="0.3">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4" x14ac:dyDescent="0.3">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4" x14ac:dyDescent="0.3">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4" x14ac:dyDescent="0.3">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4" x14ac:dyDescent="0.3">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4" x14ac:dyDescent="0.3">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4" x14ac:dyDescent="0.3">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4" x14ac:dyDescent="0.3">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4" x14ac:dyDescent="0.3">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4" x14ac:dyDescent="0.3">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4" x14ac:dyDescent="0.3">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4" x14ac:dyDescent="0.3">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4" x14ac:dyDescent="0.3">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4" x14ac:dyDescent="0.3">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4" x14ac:dyDescent="0.3">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4" x14ac:dyDescent="0.3">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4" x14ac:dyDescent="0.3">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4" x14ac:dyDescent="0.3">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4" x14ac:dyDescent="0.3">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4" x14ac:dyDescent="0.3">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4" x14ac:dyDescent="0.3">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4" x14ac:dyDescent="0.3">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4" x14ac:dyDescent="0.3">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4" x14ac:dyDescent="0.3">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4" x14ac:dyDescent="0.3">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4" x14ac:dyDescent="0.3">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4" x14ac:dyDescent="0.3">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4" x14ac:dyDescent="0.3">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4" x14ac:dyDescent="0.3">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4" x14ac:dyDescent="0.3">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4" x14ac:dyDescent="0.3">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4" x14ac:dyDescent="0.3">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4" x14ac:dyDescent="0.3">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4" x14ac:dyDescent="0.3">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4" x14ac:dyDescent="0.3">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4" x14ac:dyDescent="0.3">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4" x14ac:dyDescent="0.3">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4" x14ac:dyDescent="0.3">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4" x14ac:dyDescent="0.3">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4" x14ac:dyDescent="0.3">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4" x14ac:dyDescent="0.3">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4" x14ac:dyDescent="0.3">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4" x14ac:dyDescent="0.3">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4" x14ac:dyDescent="0.3">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4" x14ac:dyDescent="0.3">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4" x14ac:dyDescent="0.3">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4" x14ac:dyDescent="0.3">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4" x14ac:dyDescent="0.3">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4" x14ac:dyDescent="0.3">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4" x14ac:dyDescent="0.3">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4" x14ac:dyDescent="0.3">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4" x14ac:dyDescent="0.3">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4" x14ac:dyDescent="0.3">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4" x14ac:dyDescent="0.3">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4" x14ac:dyDescent="0.3">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4" x14ac:dyDescent="0.3">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4" x14ac:dyDescent="0.3">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4" x14ac:dyDescent="0.3">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4" x14ac:dyDescent="0.3">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4" x14ac:dyDescent="0.3">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4" x14ac:dyDescent="0.3">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4" x14ac:dyDescent="0.3">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4" x14ac:dyDescent="0.3">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4" x14ac:dyDescent="0.3">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4" x14ac:dyDescent="0.3">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4" x14ac:dyDescent="0.3">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4" x14ac:dyDescent="0.3">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4" x14ac:dyDescent="0.3">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4" x14ac:dyDescent="0.3">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4" x14ac:dyDescent="0.3">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4" x14ac:dyDescent="0.3">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4" x14ac:dyDescent="0.3">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4" x14ac:dyDescent="0.3">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4" x14ac:dyDescent="0.3">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4" x14ac:dyDescent="0.3">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4" x14ac:dyDescent="0.3">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4" x14ac:dyDescent="0.3">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4" x14ac:dyDescent="0.3">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4" x14ac:dyDescent="0.3">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4" x14ac:dyDescent="0.3">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4" x14ac:dyDescent="0.3">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4" x14ac:dyDescent="0.3">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4" x14ac:dyDescent="0.3">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4" x14ac:dyDescent="0.3">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4" x14ac:dyDescent="0.3">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4" x14ac:dyDescent="0.3">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4" x14ac:dyDescent="0.3">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4" x14ac:dyDescent="0.3">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4" x14ac:dyDescent="0.3">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4" x14ac:dyDescent="0.3">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4" x14ac:dyDescent="0.3">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4" x14ac:dyDescent="0.3">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4" x14ac:dyDescent="0.3">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4" x14ac:dyDescent="0.3">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4" x14ac:dyDescent="0.3">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4" x14ac:dyDescent="0.3">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4" x14ac:dyDescent="0.3">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4" x14ac:dyDescent="0.3">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4" x14ac:dyDescent="0.3">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4" x14ac:dyDescent="0.3">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4" x14ac:dyDescent="0.3">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4" x14ac:dyDescent="0.3">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4" x14ac:dyDescent="0.3">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4" x14ac:dyDescent="0.3">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4.5" thickBot="1" x14ac:dyDescent="0.35">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4.5" thickBot="1" x14ac:dyDescent="0.35">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997"/>
      <c r="X260" s="997"/>
      <c r="Y260" s="502">
        <f>SUM(Y12:Y259)</f>
        <v>0</v>
      </c>
      <c r="Z260" s="46"/>
      <c r="AA260" s="46"/>
    </row>
    <row r="261" spans="2:33" ht="28.9" customHeight="1" x14ac:dyDescent="0.3">
      <c r="E261" s="980"/>
      <c r="F261" s="980"/>
      <c r="G261" s="980"/>
      <c r="H261" s="980"/>
      <c r="I261" s="980"/>
      <c r="J261" s="980"/>
    </row>
    <row r="262" spans="2:33" ht="27" customHeight="1" x14ac:dyDescent="0.3"/>
    <row r="263" spans="2:33" ht="14" x14ac:dyDescent="0.3"/>
    <row r="264" spans="2:33" ht="14" x14ac:dyDescent="0.3"/>
    <row r="265" spans="2:33" ht="14" x14ac:dyDescent="0.3"/>
    <row r="266" spans="2:33" ht="14" hidden="1" x14ac:dyDescent="0.3"/>
    <row r="267" spans="2:33" ht="14" hidden="1" x14ac:dyDescent="0.3"/>
    <row r="268" spans="2:33" ht="14" hidden="1" x14ac:dyDescent="0.3"/>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B2:E2"/>
    <mergeCell ref="B3:E4"/>
    <mergeCell ref="D10:E10"/>
    <mergeCell ref="M10:N10"/>
    <mergeCell ref="O10:T10"/>
    <mergeCell ref="F10:G10"/>
    <mergeCell ref="H10:I10"/>
    <mergeCell ref="O2:T5"/>
    <mergeCell ref="W260:X260"/>
    <mergeCell ref="E261:J261"/>
    <mergeCell ref="Y10:Y11"/>
    <mergeCell ref="Z10:AA10"/>
    <mergeCell ref="J10:L10"/>
    <mergeCell ref="U10:X10"/>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10" operator="containsText" text="Check">
      <formula>NOT(ISERROR(SEARCH("Check",R12)))</formula>
    </cfRule>
    <cfRule type="containsText" dxfId="401" priority="101" operator="containsText" text="30+">
      <formula>NOT(ISERROR(SEARCH("30+",R12)))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1" style="31" customWidth="1"/>
    <col min="3" max="3" width="52.453125" style="31" customWidth="1"/>
    <col min="4" max="4" width="8.7265625" style="31" customWidth="1"/>
    <col min="5" max="5" width="17.81640625" style="31" customWidth="1"/>
    <col min="6" max="6" width="18.26953125" style="31" customWidth="1"/>
    <col min="7" max="7" width="18.1796875" style="31" customWidth="1"/>
    <col min="8" max="11" width="19.26953125" style="31" customWidth="1"/>
    <col min="12" max="12" width="23" style="31" customWidth="1"/>
    <col min="13" max="13" width="47.453125" style="31" customWidth="1"/>
    <col min="14" max="15" width="34.26953125" style="31" customWidth="1"/>
    <col min="16" max="16" width="10.7265625" style="31" customWidth="1"/>
    <col min="17" max="17" width="18.1796875" style="31" customWidth="1"/>
    <col min="18" max="18" width="13.54296875" style="31" customWidth="1"/>
    <col min="19" max="19" width="14.7265625" style="31" customWidth="1"/>
    <col min="20" max="20" width="13.54296875" style="31" customWidth="1"/>
    <col min="21" max="21" width="41.7265625" style="31" customWidth="1"/>
    <col min="22" max="22" width="15.453125" style="31" customWidth="1"/>
    <col min="23" max="23" width="12.26953125" style="31" customWidth="1"/>
    <col min="24" max="24" width="17.7265625" style="31" customWidth="1"/>
    <col min="25" max="25" width="20.7265625" style="31" customWidth="1"/>
    <col min="26" max="26" width="23" style="31" customWidth="1"/>
    <col min="27" max="27" width="29.54296875" style="31" customWidth="1"/>
    <col min="28" max="28" width="17.7265625" style="31" customWidth="1"/>
    <col min="29" max="29" width="15.26953125" style="31" customWidth="1"/>
    <col min="30" max="30" width="15.54296875" style="31" customWidth="1"/>
    <col min="31" max="31" width="26.26953125" style="31" customWidth="1"/>
    <col min="32" max="32" width="15.26953125" style="31" customWidth="1"/>
    <col min="33" max="33" width="12.7265625" style="31" customWidth="1"/>
    <col min="34" max="34" width="68.1796875" style="31" customWidth="1"/>
    <col min="35" max="35" width="13.453125" style="31" customWidth="1"/>
    <col min="36" max="36" width="12.7265625" style="31" customWidth="1"/>
    <col min="37" max="37" width="39" style="31" customWidth="1"/>
    <col min="38" max="38" width="38.453125" style="31" customWidth="1"/>
    <col min="39" max="41" width="8.81640625" style="31" customWidth="1"/>
    <col min="42" max="42" width="15.81640625" style="31" hidden="1" customWidth="1"/>
    <col min="43" max="16384" width="8.81640625" style="31" hidden="1"/>
  </cols>
  <sheetData>
    <row r="1" spans="2:42" ht="15.75" customHeight="1" x14ac:dyDescent="0.3"/>
    <row r="2" spans="2:42" ht="19.899999999999999" customHeight="1" x14ac:dyDescent="0.3">
      <c r="B2" s="191"/>
      <c r="C2" s="192"/>
      <c r="O2" s="132"/>
      <c r="X2" s="907" t="str">
        <f>IF(OR(COUNTIF($X$12:X257,"*30+*")&gt;0,COUNTIF($AB$12:AB257,"*30+*")&gt;0),"Note; Habitat selected has a time to target condition greater than 30 years. Non standard agreement may be required. ⚠","")</f>
        <v/>
      </c>
      <c r="Y2" s="907"/>
      <c r="Z2" s="907"/>
      <c r="AA2" s="907"/>
      <c r="AB2" s="907"/>
      <c r="AC2" s="907"/>
    </row>
    <row r="3" spans="2:42" ht="19.149999999999999" customHeight="1" x14ac:dyDescent="0.3">
      <c r="B3" s="1006" t="str">
        <f ca="1">MID(CELL("filename",A1),FIND("]",CELL("filename",A1))+1,256)</f>
        <v>E-3 Off Site Hedge Enhancement</v>
      </c>
      <c r="C3" s="1007"/>
      <c r="X3" s="907"/>
      <c r="Y3" s="907"/>
      <c r="Z3" s="907"/>
      <c r="AA3" s="907"/>
      <c r="AB3" s="907"/>
      <c r="AC3" s="907"/>
    </row>
    <row r="4" spans="2:42" ht="15.75" customHeight="1" x14ac:dyDescent="0.3">
      <c r="B4" s="1008"/>
      <c r="C4" s="1009"/>
      <c r="X4" s="907"/>
      <c r="Y4" s="907"/>
      <c r="Z4" s="907"/>
      <c r="AA4" s="907"/>
      <c r="AB4" s="907"/>
      <c r="AC4" s="907"/>
    </row>
    <row r="5" spans="2:42" ht="15.75" customHeight="1" x14ac:dyDescent="0.3">
      <c r="W5" s="193"/>
      <c r="X5" s="193"/>
      <c r="Y5" s="193"/>
      <c r="Z5" s="193"/>
      <c r="AA5" s="193"/>
      <c r="AB5" s="193"/>
      <c r="AC5" s="193"/>
      <c r="AD5" s="193"/>
      <c r="AE5" s="193"/>
      <c r="AF5" s="193"/>
      <c r="AG5" s="193"/>
      <c r="AH5" s="193"/>
    </row>
    <row r="6" spans="2:42" ht="27.65" customHeight="1" x14ac:dyDescent="0.3"/>
    <row r="7" spans="2:42" ht="14.5" thickBot="1" x14ac:dyDescent="0.35">
      <c r="B7" s="132"/>
      <c r="C7" s="132"/>
      <c r="M7" s="131"/>
    </row>
    <row r="8" spans="2:42" ht="14.5" thickBot="1" x14ac:dyDescent="0.35">
      <c r="M8" s="950" t="s">
        <v>317</v>
      </c>
      <c r="N8" s="951"/>
      <c r="O8" s="951"/>
      <c r="P8" s="951"/>
      <c r="Q8" s="951"/>
      <c r="R8" s="951"/>
      <c r="S8" s="951"/>
      <c r="T8" s="951"/>
      <c r="U8" s="951"/>
      <c r="V8" s="951"/>
      <c r="W8" s="951"/>
      <c r="X8" s="951"/>
      <c r="Y8" s="951"/>
      <c r="Z8" s="951"/>
      <c r="AA8" s="951"/>
      <c r="AB8" s="951"/>
      <c r="AC8" s="951"/>
      <c r="AD8" s="951"/>
      <c r="AE8" s="951"/>
      <c r="AF8" s="951"/>
      <c r="AG8" s="951"/>
      <c r="AH8" s="951"/>
      <c r="AI8" s="952"/>
    </row>
    <row r="9" spans="2:42" ht="14.5" thickBot="1" x14ac:dyDescent="0.35">
      <c r="C9" s="131"/>
      <c r="D9" s="131"/>
      <c r="E9" s="131"/>
      <c r="F9" s="131"/>
      <c r="G9" s="131"/>
      <c r="H9" s="131"/>
      <c r="I9" s="131"/>
      <c r="J9" s="131"/>
      <c r="K9" s="131"/>
      <c r="L9" s="131"/>
      <c r="M9" s="1002" t="s">
        <v>249</v>
      </c>
      <c r="N9" s="1003"/>
      <c r="O9" s="1003"/>
      <c r="P9" s="1003"/>
      <c r="Q9" s="1003"/>
      <c r="R9" s="1003"/>
      <c r="S9" s="1003"/>
      <c r="T9" s="1003"/>
      <c r="U9" s="1003"/>
      <c r="V9" s="1003"/>
      <c r="W9" s="1003"/>
      <c r="X9" s="1003"/>
      <c r="Y9" s="1003"/>
      <c r="Z9" s="1003"/>
      <c r="AA9" s="1003"/>
      <c r="AB9" s="1003"/>
      <c r="AC9" s="1003"/>
      <c r="AD9" s="1003"/>
      <c r="AE9" s="1003"/>
      <c r="AF9" s="1003"/>
      <c r="AG9" s="1003"/>
      <c r="AH9" s="1003"/>
      <c r="AI9" s="1004"/>
    </row>
    <row r="10" spans="2:42" s="42" customFormat="1" ht="30" customHeight="1" thickBot="1" x14ac:dyDescent="0.35">
      <c r="C10" s="1005" t="s">
        <v>247</v>
      </c>
      <c r="D10" s="1011"/>
      <c r="E10" s="1011"/>
      <c r="F10" s="1011"/>
      <c r="G10" s="1011"/>
      <c r="H10" s="1011"/>
      <c r="I10" s="1011"/>
      <c r="J10" s="1011"/>
      <c r="K10" s="1011"/>
      <c r="L10" s="1012"/>
      <c r="M10" s="1005" t="s">
        <v>1557</v>
      </c>
      <c r="N10" s="879" t="s">
        <v>308</v>
      </c>
      <c r="O10" s="877"/>
      <c r="P10" s="938" t="s">
        <v>294</v>
      </c>
      <c r="Q10" s="879" t="s">
        <v>189</v>
      </c>
      <c r="R10" s="877"/>
      <c r="S10" s="879" t="s">
        <v>190</v>
      </c>
      <c r="T10" s="877"/>
      <c r="U10" s="966" t="s">
        <v>191</v>
      </c>
      <c r="V10" s="967"/>
      <c r="W10" s="968"/>
      <c r="X10" s="966" t="s">
        <v>228</v>
      </c>
      <c r="Y10" s="967"/>
      <c r="Z10" s="967"/>
      <c r="AA10" s="967"/>
      <c r="AB10" s="967"/>
      <c r="AC10" s="968"/>
      <c r="AD10" s="939" t="s">
        <v>252</v>
      </c>
      <c r="AE10" s="939"/>
      <c r="AF10" s="939"/>
      <c r="AG10" s="939"/>
      <c r="AH10" s="133" t="s">
        <v>280</v>
      </c>
      <c r="AI10" s="969" t="s">
        <v>280</v>
      </c>
      <c r="AJ10" s="969" t="s">
        <v>302</v>
      </c>
      <c r="AK10" s="966" t="s">
        <v>196</v>
      </c>
      <c r="AL10" s="968"/>
    </row>
    <row r="11" spans="2:42" ht="62.25" customHeight="1" thickBot="1" x14ac:dyDescent="0.35">
      <c r="B11" s="135" t="s">
        <v>254</v>
      </c>
      <c r="C11" s="136" t="s">
        <v>255</v>
      </c>
      <c r="D11" s="136" t="s">
        <v>294</v>
      </c>
      <c r="E11" s="136" t="s">
        <v>257</v>
      </c>
      <c r="F11" s="136" t="s">
        <v>258</v>
      </c>
      <c r="G11" s="136" t="s">
        <v>259</v>
      </c>
      <c r="H11" s="136" t="s">
        <v>260</v>
      </c>
      <c r="I11" s="136" t="s">
        <v>261</v>
      </c>
      <c r="J11" s="136" t="s">
        <v>262</v>
      </c>
      <c r="K11" s="136" t="s">
        <v>263</v>
      </c>
      <c r="L11" s="137" t="s">
        <v>309</v>
      </c>
      <c r="M11" s="1005"/>
      <c r="N11" s="141" t="s">
        <v>310</v>
      </c>
      <c r="O11" s="358" t="s">
        <v>311</v>
      </c>
      <c r="P11" s="939"/>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0"/>
      <c r="AJ11" s="996"/>
      <c r="AK11" s="141" t="s">
        <v>215</v>
      </c>
      <c r="AL11" s="358" t="s">
        <v>216</v>
      </c>
      <c r="AP11" s="131" t="s">
        <v>200</v>
      </c>
    </row>
    <row r="12" spans="2:42" ht="14" x14ac:dyDescent="0.3">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4" x14ac:dyDescent="0.3">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4" x14ac:dyDescent="0.3">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4" x14ac:dyDescent="0.3">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4" x14ac:dyDescent="0.3">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4" x14ac:dyDescent="0.3">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4" x14ac:dyDescent="0.3">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4" x14ac:dyDescent="0.3">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4" x14ac:dyDescent="0.3">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4" x14ac:dyDescent="0.3">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4" x14ac:dyDescent="0.3">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4" x14ac:dyDescent="0.3">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4" x14ac:dyDescent="0.3">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4" x14ac:dyDescent="0.3">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4" x14ac:dyDescent="0.3">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4" x14ac:dyDescent="0.3">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4" x14ac:dyDescent="0.3">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4" x14ac:dyDescent="0.3">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4" x14ac:dyDescent="0.3">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4" x14ac:dyDescent="0.3">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4" x14ac:dyDescent="0.3">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4" x14ac:dyDescent="0.3">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4" x14ac:dyDescent="0.3">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4" x14ac:dyDescent="0.3">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4" x14ac:dyDescent="0.3">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4" x14ac:dyDescent="0.3">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4" x14ac:dyDescent="0.3">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4" x14ac:dyDescent="0.3">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4" x14ac:dyDescent="0.3">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4" x14ac:dyDescent="0.3">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4" x14ac:dyDescent="0.3">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4" x14ac:dyDescent="0.3">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4" x14ac:dyDescent="0.3">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4" x14ac:dyDescent="0.3">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4" x14ac:dyDescent="0.3">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4" x14ac:dyDescent="0.3">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4" x14ac:dyDescent="0.3">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4" x14ac:dyDescent="0.3">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4" x14ac:dyDescent="0.3">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4" x14ac:dyDescent="0.3">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4" x14ac:dyDescent="0.3">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4" x14ac:dyDescent="0.3">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4" x14ac:dyDescent="0.3">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4" x14ac:dyDescent="0.3">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4" x14ac:dyDescent="0.3">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4" x14ac:dyDescent="0.3">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4" x14ac:dyDescent="0.3">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4" x14ac:dyDescent="0.3">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4" x14ac:dyDescent="0.3">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4" x14ac:dyDescent="0.3">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4" x14ac:dyDescent="0.3">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4" x14ac:dyDescent="0.3">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4" x14ac:dyDescent="0.3">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4" x14ac:dyDescent="0.3">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4" x14ac:dyDescent="0.3">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4" x14ac:dyDescent="0.3">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4" x14ac:dyDescent="0.3">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4" x14ac:dyDescent="0.3">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4" x14ac:dyDescent="0.3">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4" x14ac:dyDescent="0.3">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4" x14ac:dyDescent="0.3">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4" x14ac:dyDescent="0.3">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4" x14ac:dyDescent="0.3">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4" x14ac:dyDescent="0.3">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4" x14ac:dyDescent="0.3">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4" x14ac:dyDescent="0.3">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4" x14ac:dyDescent="0.3">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4" x14ac:dyDescent="0.3">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4" x14ac:dyDescent="0.3">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4" x14ac:dyDescent="0.3">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4" x14ac:dyDescent="0.3">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4" x14ac:dyDescent="0.3">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4" x14ac:dyDescent="0.3">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4" x14ac:dyDescent="0.3">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4" x14ac:dyDescent="0.3">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4" x14ac:dyDescent="0.3">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4" x14ac:dyDescent="0.3">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4" x14ac:dyDescent="0.3">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4" x14ac:dyDescent="0.3">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4" x14ac:dyDescent="0.3">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4" x14ac:dyDescent="0.3">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4" x14ac:dyDescent="0.3">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4" x14ac:dyDescent="0.3">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4" x14ac:dyDescent="0.3">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4" x14ac:dyDescent="0.3">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4" x14ac:dyDescent="0.3">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4" x14ac:dyDescent="0.3">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4" x14ac:dyDescent="0.3">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4" x14ac:dyDescent="0.3">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4" x14ac:dyDescent="0.3">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4" x14ac:dyDescent="0.3">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4" x14ac:dyDescent="0.3">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4" x14ac:dyDescent="0.3">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4" x14ac:dyDescent="0.3">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4" x14ac:dyDescent="0.3">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4" x14ac:dyDescent="0.3">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4" x14ac:dyDescent="0.3">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4" x14ac:dyDescent="0.3">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4" x14ac:dyDescent="0.3">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4" x14ac:dyDescent="0.3">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4" x14ac:dyDescent="0.3">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4" x14ac:dyDescent="0.3">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4" x14ac:dyDescent="0.3">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4" x14ac:dyDescent="0.3">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4" x14ac:dyDescent="0.3">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4" x14ac:dyDescent="0.3">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4" x14ac:dyDescent="0.3">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4" x14ac:dyDescent="0.3">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4" x14ac:dyDescent="0.3">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4" x14ac:dyDescent="0.3">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4" x14ac:dyDescent="0.3">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4" x14ac:dyDescent="0.3">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4" x14ac:dyDescent="0.3">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4" x14ac:dyDescent="0.3">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4" x14ac:dyDescent="0.3">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4" x14ac:dyDescent="0.3">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4" x14ac:dyDescent="0.3">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4" x14ac:dyDescent="0.3">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4" x14ac:dyDescent="0.3">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4" x14ac:dyDescent="0.3">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4" x14ac:dyDescent="0.3">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4" x14ac:dyDescent="0.3">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4" x14ac:dyDescent="0.3">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4" x14ac:dyDescent="0.3">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4" x14ac:dyDescent="0.3">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4" x14ac:dyDescent="0.3">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4" x14ac:dyDescent="0.3">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4" x14ac:dyDescent="0.3">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4" x14ac:dyDescent="0.3">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4" x14ac:dyDescent="0.3">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4" x14ac:dyDescent="0.3">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4" x14ac:dyDescent="0.3">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4" x14ac:dyDescent="0.3">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4" x14ac:dyDescent="0.3">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4" x14ac:dyDescent="0.3">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4" x14ac:dyDescent="0.3">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4" x14ac:dyDescent="0.3">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4" x14ac:dyDescent="0.3">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4" x14ac:dyDescent="0.3">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4" x14ac:dyDescent="0.3">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4" x14ac:dyDescent="0.3">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4" x14ac:dyDescent="0.3">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4" x14ac:dyDescent="0.3">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4" x14ac:dyDescent="0.3">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4" x14ac:dyDescent="0.3">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4" x14ac:dyDescent="0.3">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4" x14ac:dyDescent="0.3">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4" x14ac:dyDescent="0.3">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4" x14ac:dyDescent="0.3">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4" x14ac:dyDescent="0.3">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4" x14ac:dyDescent="0.3">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4" x14ac:dyDescent="0.3">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4" x14ac:dyDescent="0.3">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4" x14ac:dyDescent="0.3">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4" x14ac:dyDescent="0.3">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4" x14ac:dyDescent="0.3">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4" x14ac:dyDescent="0.3">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4" x14ac:dyDescent="0.3">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4" x14ac:dyDescent="0.3">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4" x14ac:dyDescent="0.3">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4" x14ac:dyDescent="0.3">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4" x14ac:dyDescent="0.3">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4" x14ac:dyDescent="0.3">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4" x14ac:dyDescent="0.3">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4" x14ac:dyDescent="0.3">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4" x14ac:dyDescent="0.3">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4" x14ac:dyDescent="0.3">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4" x14ac:dyDescent="0.3">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4" x14ac:dyDescent="0.3">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4" x14ac:dyDescent="0.3">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4" x14ac:dyDescent="0.3">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4" x14ac:dyDescent="0.3">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4" x14ac:dyDescent="0.3">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4" x14ac:dyDescent="0.3">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4" x14ac:dyDescent="0.3">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4" x14ac:dyDescent="0.3">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4" x14ac:dyDescent="0.3">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4" x14ac:dyDescent="0.3">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4" x14ac:dyDescent="0.3">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4" x14ac:dyDescent="0.3">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4" x14ac:dyDescent="0.3">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4" x14ac:dyDescent="0.3">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4" x14ac:dyDescent="0.3">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4" x14ac:dyDescent="0.3">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4" x14ac:dyDescent="0.3">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4" x14ac:dyDescent="0.3">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4" x14ac:dyDescent="0.3">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4" x14ac:dyDescent="0.3">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4" x14ac:dyDescent="0.3">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4" x14ac:dyDescent="0.3">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4" x14ac:dyDescent="0.3">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4" x14ac:dyDescent="0.3">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4" x14ac:dyDescent="0.3">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4" x14ac:dyDescent="0.3">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4" x14ac:dyDescent="0.3">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4" x14ac:dyDescent="0.3">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4" x14ac:dyDescent="0.3">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4" x14ac:dyDescent="0.3">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4" x14ac:dyDescent="0.3">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4" x14ac:dyDescent="0.3">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4" x14ac:dyDescent="0.3">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4" x14ac:dyDescent="0.3">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4" x14ac:dyDescent="0.3">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4" x14ac:dyDescent="0.3">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4" x14ac:dyDescent="0.3">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4" x14ac:dyDescent="0.3">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4" x14ac:dyDescent="0.3">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4" x14ac:dyDescent="0.3">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4" x14ac:dyDescent="0.3">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4" x14ac:dyDescent="0.3">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4" x14ac:dyDescent="0.3">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4" x14ac:dyDescent="0.3">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4" x14ac:dyDescent="0.3">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4" x14ac:dyDescent="0.3">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4" x14ac:dyDescent="0.3">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4" x14ac:dyDescent="0.3">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4" x14ac:dyDescent="0.3">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4" x14ac:dyDescent="0.3">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4" x14ac:dyDescent="0.3">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4" x14ac:dyDescent="0.3">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4" x14ac:dyDescent="0.3">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4" x14ac:dyDescent="0.3">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4" x14ac:dyDescent="0.3">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4" x14ac:dyDescent="0.3">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4" x14ac:dyDescent="0.3">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4" x14ac:dyDescent="0.3">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4" x14ac:dyDescent="0.3">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4" x14ac:dyDescent="0.3">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4" x14ac:dyDescent="0.3">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4" x14ac:dyDescent="0.3">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4" x14ac:dyDescent="0.3">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4" x14ac:dyDescent="0.3">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4" x14ac:dyDescent="0.3">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4" x14ac:dyDescent="0.3">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4" x14ac:dyDescent="0.3">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4" x14ac:dyDescent="0.3">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4" x14ac:dyDescent="0.3">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4" x14ac:dyDescent="0.3">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4" x14ac:dyDescent="0.3">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4" x14ac:dyDescent="0.3">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4" x14ac:dyDescent="0.3">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4" x14ac:dyDescent="0.3">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4" x14ac:dyDescent="0.3">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4" x14ac:dyDescent="0.3">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4" x14ac:dyDescent="0.3">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4.5" thickBot="1" x14ac:dyDescent="0.35">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4.5" thickBot="1" x14ac:dyDescent="0.35">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4" x14ac:dyDescent="0.3"/>
    <row r="260" spans="2:42" ht="14" x14ac:dyDescent="0.3"/>
    <row r="261" spans="2:42" ht="14" x14ac:dyDescent="0.3"/>
    <row r="262" spans="2:42" ht="14" x14ac:dyDescent="0.3"/>
    <row r="263" spans="2:42" ht="14" x14ac:dyDescent="0.3"/>
    <row r="264" spans="2:42" ht="14" x14ac:dyDescent="0.3"/>
    <row r="265" spans="2:42" ht="14" x14ac:dyDescent="0.3"/>
    <row r="266" spans="2:42" ht="14" x14ac:dyDescent="0.3"/>
    <row r="267" spans="2:42" ht="15" hidden="1" customHeight="1" x14ac:dyDescent="0.3"/>
    <row r="268" spans="2:42" ht="15" hidden="1" customHeight="1" x14ac:dyDescent="0.3"/>
    <row r="269" spans="2:42" ht="15" hidden="1" customHeight="1" x14ac:dyDescent="0.3"/>
    <row r="270" spans="2:42" ht="15" hidden="1" customHeight="1" x14ac:dyDescent="0.3"/>
    <row r="271" spans="2:42" ht="15" hidden="1" customHeight="1" x14ac:dyDescent="0.3"/>
    <row r="272" spans="2:42" ht="15" hidden="1" customHeight="1" x14ac:dyDescent="0.3"/>
    <row r="273" ht="15" hidden="1" customHeight="1" x14ac:dyDescent="0.3"/>
    <row r="274" ht="15" hidden="1" customHeight="1" x14ac:dyDescent="0.3"/>
    <row r="275" ht="15" hidden="1" customHeight="1" x14ac:dyDescent="0.3"/>
    <row r="276" ht="15" hidden="1" customHeight="1" x14ac:dyDescent="0.3"/>
    <row r="277" ht="15" hidden="1" customHeight="1" x14ac:dyDescent="0.3"/>
    <row r="278" ht="15" hidden="1" customHeight="1" x14ac:dyDescent="0.3"/>
    <row r="279" ht="15" hidden="1" customHeight="1" x14ac:dyDescent="0.3"/>
    <row r="280" ht="15" hidden="1" customHeight="1" x14ac:dyDescent="0.3"/>
    <row r="281" ht="15" hidden="1" customHeight="1" x14ac:dyDescent="0.3"/>
    <row r="282" ht="15" hidden="1" customHeight="1" x14ac:dyDescent="0.3"/>
    <row r="283" ht="15" hidden="1" customHeight="1" x14ac:dyDescent="0.3"/>
    <row r="284" ht="15" hidden="1" customHeight="1" x14ac:dyDescent="0.3"/>
    <row r="285" ht="15" hidden="1" customHeight="1" x14ac:dyDescent="0.3"/>
    <row r="286" ht="15" hidden="1" customHeight="1" x14ac:dyDescent="0.3"/>
    <row r="287" ht="15" hidden="1" customHeight="1" x14ac:dyDescent="0.3"/>
    <row r="288" ht="15" hidden="1" customHeight="1" x14ac:dyDescent="0.3"/>
    <row r="289" ht="15" hidden="1" customHeight="1" x14ac:dyDescent="0.3"/>
    <row r="290" ht="15" hidden="1" customHeight="1" x14ac:dyDescent="0.3"/>
    <row r="291" ht="15" hidden="1" customHeight="1" x14ac:dyDescent="0.3"/>
    <row r="292" ht="15" hidden="1" customHeight="1" x14ac:dyDescent="0.3"/>
    <row r="293" ht="15" hidden="1" customHeight="1" x14ac:dyDescent="0.3"/>
    <row r="294" ht="15" hidden="1" customHeight="1" x14ac:dyDescent="0.3"/>
    <row r="295" ht="15" hidden="1" customHeight="1" x14ac:dyDescent="0.3"/>
    <row r="296" ht="15" hidden="1" customHeight="1" x14ac:dyDescent="0.3"/>
    <row r="297" ht="15" hidden="1" customHeight="1" x14ac:dyDescent="0.3"/>
    <row r="298" ht="15" hidden="1" customHeight="1" x14ac:dyDescent="0.3"/>
    <row r="299" ht="15" hidden="1" customHeight="1" x14ac:dyDescent="0.3"/>
    <row r="300" ht="15" hidden="1" customHeight="1" x14ac:dyDescent="0.3"/>
    <row r="301" ht="15" hidden="1" customHeight="1" x14ac:dyDescent="0.3"/>
    <row r="302" ht="15" hidden="1" customHeight="1" x14ac:dyDescent="0.3"/>
    <row r="303" ht="15" hidden="1" customHeight="1" x14ac:dyDescent="0.3"/>
    <row r="304" ht="15" hidden="1" customHeight="1" x14ac:dyDescent="0.3"/>
    <row r="305" ht="15" hidden="1" customHeight="1" x14ac:dyDescent="0.3"/>
    <row r="306" ht="15" hidden="1" customHeight="1" x14ac:dyDescent="0.3"/>
    <row r="307" ht="15" hidden="1" customHeight="1" x14ac:dyDescent="0.3"/>
    <row r="308" ht="15" hidden="1" customHeight="1" x14ac:dyDescent="0.3"/>
    <row r="309" ht="15" hidden="1" customHeight="1" x14ac:dyDescent="0.3"/>
    <row r="310" ht="15" hidden="1" customHeight="1" x14ac:dyDescent="0.3"/>
    <row r="311" ht="15" hidden="1" customHeight="1" x14ac:dyDescent="0.3"/>
    <row r="312" ht="15" hidden="1" customHeight="1" x14ac:dyDescent="0.3"/>
    <row r="313" ht="15" hidden="1" customHeight="1" x14ac:dyDescent="0.3"/>
    <row r="314" ht="15" hidden="1" customHeight="1" x14ac:dyDescent="0.3"/>
    <row r="315" ht="15" hidden="1" customHeight="1" x14ac:dyDescent="0.3"/>
    <row r="316" ht="15" hidden="1" customHeight="1" x14ac:dyDescent="0.3"/>
    <row r="317" ht="15" hidden="1" customHeight="1" x14ac:dyDescent="0.3"/>
    <row r="318" ht="15" hidden="1" customHeight="1" x14ac:dyDescent="0.3"/>
    <row r="319" ht="15" hidden="1" customHeight="1" x14ac:dyDescent="0.3"/>
    <row r="320" ht="15" hidden="1" customHeight="1" x14ac:dyDescent="0.3"/>
    <row r="321" ht="15" hidden="1" customHeight="1" x14ac:dyDescent="0.3"/>
    <row r="322" ht="15" hidden="1" customHeight="1" x14ac:dyDescent="0.3"/>
    <row r="323" ht="15" hidden="1" customHeight="1" x14ac:dyDescent="0.3"/>
    <row r="324" ht="15" hidden="1" customHeight="1" x14ac:dyDescent="0.3"/>
    <row r="325" ht="15" hidden="1" customHeight="1" x14ac:dyDescent="0.3"/>
    <row r="326" ht="15" hidden="1" customHeight="1" x14ac:dyDescent="0.3"/>
    <row r="327" ht="15" hidden="1" customHeight="1" x14ac:dyDescent="0.3"/>
    <row r="328" ht="15" hidden="1" customHeight="1" x14ac:dyDescent="0.3"/>
    <row r="329" ht="15" hidden="1" customHeight="1" x14ac:dyDescent="0.3"/>
    <row r="330" ht="15" hidden="1" customHeight="1" x14ac:dyDescent="0.3"/>
    <row r="331" ht="15" hidden="1" customHeight="1" x14ac:dyDescent="0.3"/>
    <row r="332" ht="15" hidden="1" customHeight="1" x14ac:dyDescent="0.3"/>
    <row r="333" ht="15" hidden="1" customHeight="1" x14ac:dyDescent="0.3"/>
    <row r="334" ht="15" hidden="1" customHeight="1" x14ac:dyDescent="0.3"/>
    <row r="335" ht="15" hidden="1" customHeight="1" x14ac:dyDescent="0.3"/>
    <row r="336" ht="15" hidden="1" customHeight="1" x14ac:dyDescent="0.3"/>
    <row r="337" ht="15" hidden="1" customHeight="1" x14ac:dyDescent="0.3"/>
    <row r="338" ht="15" hidden="1" customHeight="1" x14ac:dyDescent="0.3"/>
    <row r="339" ht="15" hidden="1" customHeight="1" x14ac:dyDescent="0.3"/>
    <row r="340" ht="15" hidden="1" customHeight="1" x14ac:dyDescent="0.3"/>
    <row r="341" ht="15" hidden="1" customHeight="1" x14ac:dyDescent="0.3"/>
    <row r="342" ht="15" hidden="1" customHeight="1" x14ac:dyDescent="0.3"/>
    <row r="343" ht="15" hidden="1" customHeight="1" x14ac:dyDescent="0.3"/>
    <row r="344" ht="15" hidden="1" customHeight="1" x14ac:dyDescent="0.3"/>
    <row r="345" ht="15" hidden="1" customHeight="1" x14ac:dyDescent="0.3"/>
    <row r="346" ht="15" hidden="1" customHeight="1" x14ac:dyDescent="0.3"/>
    <row r="347" ht="15" hidden="1" customHeight="1" x14ac:dyDescent="0.3"/>
    <row r="348" ht="15" hidden="1" customHeight="1" x14ac:dyDescent="0.3"/>
    <row r="349" ht="15" hidden="1" customHeight="1" x14ac:dyDescent="0.3"/>
    <row r="350" ht="15" hidden="1" customHeight="1" x14ac:dyDescent="0.3"/>
    <row r="351" ht="15" hidden="1" customHeight="1" x14ac:dyDescent="0.3"/>
    <row r="352" ht="15" hidden="1" customHeight="1" x14ac:dyDescent="0.3"/>
    <row r="353" ht="15" hidden="1" customHeight="1" x14ac:dyDescent="0.3"/>
    <row r="354" ht="15" hidden="1" customHeight="1" x14ac:dyDescent="0.3"/>
    <row r="355" ht="15" hidden="1" customHeight="1" x14ac:dyDescent="0.3"/>
    <row r="356" ht="15" hidden="1" customHeight="1" x14ac:dyDescent="0.3"/>
    <row r="357" ht="15" hidden="1" customHeight="1" x14ac:dyDescent="0.3"/>
    <row r="358" ht="15" hidden="1" customHeight="1" x14ac:dyDescent="0.3"/>
    <row r="359" ht="15" hidden="1" customHeight="1" x14ac:dyDescent="0.3"/>
    <row r="360" ht="15" hidden="1" customHeight="1" x14ac:dyDescent="0.3"/>
    <row r="361" ht="15" hidden="1" customHeight="1" x14ac:dyDescent="0.3"/>
    <row r="362" ht="15" hidden="1" customHeight="1" x14ac:dyDescent="0.3"/>
    <row r="363" ht="15" hidden="1" customHeight="1" x14ac:dyDescent="0.3"/>
    <row r="364" ht="15" hidden="1" customHeight="1" x14ac:dyDescent="0.3"/>
    <row r="365" ht="15" hidden="1" customHeight="1" x14ac:dyDescent="0.3"/>
    <row r="366" ht="15" hidden="1" customHeight="1" x14ac:dyDescent="0.3"/>
    <row r="367" ht="15" hidden="1" customHeight="1" x14ac:dyDescent="0.3"/>
    <row r="368" ht="15" hidden="1" customHeight="1" x14ac:dyDescent="0.3"/>
    <row r="369" ht="15" hidden="1" customHeight="1" x14ac:dyDescent="0.3"/>
    <row r="370" ht="15" hidden="1" customHeight="1" x14ac:dyDescent="0.3"/>
    <row r="371" ht="15" hidden="1" customHeight="1" x14ac:dyDescent="0.3"/>
    <row r="372" ht="15" hidden="1" customHeight="1" x14ac:dyDescent="0.3"/>
    <row r="373" ht="15" hidden="1" customHeight="1" x14ac:dyDescent="0.3"/>
    <row r="374" ht="15" hidden="1" customHeight="1" x14ac:dyDescent="0.3"/>
    <row r="375" ht="15" hidden="1" customHeight="1" x14ac:dyDescent="0.3"/>
    <row r="376" ht="15" hidden="1" customHeight="1" x14ac:dyDescent="0.3"/>
    <row r="377" ht="15" hidden="1" customHeight="1" x14ac:dyDescent="0.3"/>
    <row r="378" ht="15" hidden="1" customHeight="1" x14ac:dyDescent="0.3"/>
    <row r="379" ht="15" hidden="1" customHeight="1" x14ac:dyDescent="0.3"/>
    <row r="380" ht="15" hidden="1" customHeight="1" x14ac:dyDescent="0.3"/>
    <row r="381" ht="15" hidden="1" customHeight="1" x14ac:dyDescent="0.3"/>
    <row r="382" ht="15" hidden="1" customHeight="1" x14ac:dyDescent="0.3"/>
    <row r="383" ht="15" hidden="1" customHeight="1" x14ac:dyDescent="0.3"/>
    <row r="384" ht="15" hidden="1" customHeight="1" x14ac:dyDescent="0.3"/>
    <row r="385" ht="15" hidden="1" customHeight="1" x14ac:dyDescent="0.3"/>
    <row r="386" ht="15" hidden="1" customHeight="1" x14ac:dyDescent="0.3"/>
    <row r="387" ht="15" hidden="1" customHeight="1" x14ac:dyDescent="0.3"/>
    <row r="388" ht="15" hidden="1" customHeight="1" x14ac:dyDescent="0.3"/>
    <row r="389" ht="15" hidden="1" customHeight="1" x14ac:dyDescent="0.3"/>
    <row r="390" ht="15" hidden="1" customHeight="1" x14ac:dyDescent="0.3"/>
    <row r="391" ht="15" hidden="1" customHeight="1" x14ac:dyDescent="0.3"/>
    <row r="392" ht="15" hidden="1" customHeight="1" x14ac:dyDescent="0.3"/>
    <row r="393" ht="15" hidden="1" customHeight="1" x14ac:dyDescent="0.3"/>
    <row r="394" ht="15" hidden="1" customHeight="1" x14ac:dyDescent="0.3"/>
    <row r="395" ht="15" hidden="1" customHeight="1" x14ac:dyDescent="0.3"/>
    <row r="396" ht="15" hidden="1" customHeight="1" x14ac:dyDescent="0.3"/>
    <row r="397" ht="15" hidden="1" customHeight="1" x14ac:dyDescent="0.3"/>
    <row r="398" ht="15" hidden="1" customHeight="1" x14ac:dyDescent="0.3"/>
    <row r="399" ht="15" hidden="1" customHeight="1" x14ac:dyDescent="0.3"/>
    <row r="400" ht="15" hidden="1" customHeight="1" x14ac:dyDescent="0.3"/>
    <row r="401" ht="15" hidden="1" customHeight="1" x14ac:dyDescent="0.3"/>
    <row r="402" ht="15" hidden="1" customHeight="1" x14ac:dyDescent="0.3"/>
    <row r="403" ht="15" hidden="1" customHeight="1" x14ac:dyDescent="0.3"/>
    <row r="404" ht="15" hidden="1" customHeight="1" x14ac:dyDescent="0.3"/>
    <row r="405" ht="15" hidden="1" customHeight="1" x14ac:dyDescent="0.3"/>
    <row r="406" ht="15" hidden="1" customHeight="1" x14ac:dyDescent="0.3"/>
    <row r="407" ht="15" hidden="1" customHeight="1" x14ac:dyDescent="0.3"/>
    <row r="408" ht="15" hidden="1" customHeight="1" x14ac:dyDescent="0.3"/>
    <row r="409" ht="15" hidden="1" customHeight="1" x14ac:dyDescent="0.3"/>
    <row r="410" ht="15" hidden="1" customHeight="1" x14ac:dyDescent="0.3"/>
    <row r="411" ht="15" hidden="1" customHeight="1" x14ac:dyDescent="0.3"/>
    <row r="412" ht="15" hidden="1" customHeight="1" x14ac:dyDescent="0.3"/>
    <row r="413" ht="15" hidden="1" customHeight="1" x14ac:dyDescent="0.3"/>
    <row r="414" ht="15" hidden="1" customHeight="1" x14ac:dyDescent="0.3"/>
    <row r="415" ht="15" hidden="1" customHeight="1" x14ac:dyDescent="0.3"/>
    <row r="416" ht="15" hidden="1" customHeight="1" x14ac:dyDescent="0.3"/>
    <row r="417" ht="15" hidden="1" customHeight="1" x14ac:dyDescent="0.3"/>
    <row r="418" ht="15" hidden="1" customHeight="1" x14ac:dyDescent="0.3"/>
    <row r="419" ht="15" hidden="1" customHeight="1" x14ac:dyDescent="0.3"/>
    <row r="420" ht="15" hidden="1" customHeight="1" x14ac:dyDescent="0.3"/>
    <row r="421" ht="15" hidden="1" customHeight="1" x14ac:dyDescent="0.3"/>
    <row r="422" ht="15" hidden="1" customHeight="1" x14ac:dyDescent="0.3"/>
    <row r="423" ht="15" hidden="1" customHeight="1" x14ac:dyDescent="0.3"/>
    <row r="424" ht="15" hidden="1" customHeight="1" x14ac:dyDescent="0.3"/>
    <row r="425" ht="15" hidden="1" customHeight="1" x14ac:dyDescent="0.3"/>
    <row r="426" ht="15" hidden="1" customHeight="1" x14ac:dyDescent="0.3"/>
    <row r="427" ht="15" hidden="1" customHeight="1" x14ac:dyDescent="0.3"/>
    <row r="428" ht="15" hidden="1" customHeight="1" x14ac:dyDescent="0.3"/>
    <row r="429" ht="15" hidden="1" customHeight="1" x14ac:dyDescent="0.3"/>
    <row r="430" ht="15" hidden="1" customHeight="1" x14ac:dyDescent="0.3"/>
    <row r="431" ht="15" hidden="1" customHeight="1" x14ac:dyDescent="0.3"/>
    <row r="432" ht="15" hidden="1" customHeight="1" x14ac:dyDescent="0.3"/>
    <row r="433" ht="15" hidden="1" customHeight="1" x14ac:dyDescent="0.3"/>
    <row r="434" ht="15" hidden="1" customHeight="1" x14ac:dyDescent="0.3"/>
    <row r="435" ht="15" hidden="1" customHeight="1" x14ac:dyDescent="0.3"/>
    <row r="436" ht="15" hidden="1" customHeight="1" x14ac:dyDescent="0.3"/>
    <row r="437" ht="15" hidden="1" customHeight="1" x14ac:dyDescent="0.3"/>
    <row r="438" ht="15" hidden="1" customHeight="1" x14ac:dyDescent="0.3"/>
    <row r="439" ht="15" hidden="1" customHeight="1" x14ac:dyDescent="0.3"/>
    <row r="440" ht="15" hidden="1" customHeight="1" x14ac:dyDescent="0.3"/>
    <row r="441" ht="15" hidden="1" customHeight="1" x14ac:dyDescent="0.3"/>
    <row r="442" ht="15" hidden="1" customHeight="1" x14ac:dyDescent="0.3"/>
    <row r="443" ht="15" hidden="1" customHeight="1" x14ac:dyDescent="0.3"/>
    <row r="444" ht="15" hidden="1" customHeight="1" x14ac:dyDescent="0.3"/>
    <row r="445" ht="15" hidden="1" customHeight="1" x14ac:dyDescent="0.3"/>
    <row r="446" ht="15" hidden="1" customHeight="1" x14ac:dyDescent="0.3"/>
    <row r="447" ht="15" hidden="1" customHeight="1" x14ac:dyDescent="0.3"/>
    <row r="448" ht="15" hidden="1" customHeight="1" x14ac:dyDescent="0.3"/>
    <row r="449" ht="15" hidden="1" customHeight="1" x14ac:dyDescent="0.3"/>
    <row r="450" ht="15" hidden="1" customHeight="1" x14ac:dyDescent="0.3"/>
    <row r="451" ht="15" hidden="1" customHeight="1" x14ac:dyDescent="0.3"/>
    <row r="452" ht="15" hidden="1" customHeight="1" x14ac:dyDescent="0.3"/>
    <row r="453" ht="15" hidden="1" customHeight="1" x14ac:dyDescent="0.3"/>
    <row r="454" ht="15" hidden="1" customHeight="1" x14ac:dyDescent="0.3"/>
    <row r="455" ht="15" hidden="1" customHeight="1" x14ac:dyDescent="0.3"/>
    <row r="456" ht="15" hidden="1" customHeight="1" x14ac:dyDescent="0.3"/>
    <row r="457" ht="15" hidden="1" customHeight="1" x14ac:dyDescent="0.3"/>
    <row r="458" ht="15" hidden="1" customHeight="1" x14ac:dyDescent="0.3"/>
    <row r="459" ht="15" hidden="1" customHeight="1" x14ac:dyDescent="0.3"/>
    <row r="460" ht="15" hidden="1" customHeight="1" x14ac:dyDescent="0.3"/>
    <row r="461" ht="15" hidden="1" customHeight="1" x14ac:dyDescent="0.3"/>
    <row r="462" ht="15" hidden="1" customHeight="1" x14ac:dyDescent="0.3"/>
    <row r="463" ht="15" hidden="1" customHeight="1" x14ac:dyDescent="0.3"/>
    <row r="464" ht="15" hidden="1" customHeight="1" x14ac:dyDescent="0.3"/>
    <row r="465" ht="15" hidden="1" customHeight="1" x14ac:dyDescent="0.3"/>
    <row r="466" ht="15" hidden="1" customHeight="1" x14ac:dyDescent="0.3"/>
    <row r="467" ht="15" hidden="1" customHeight="1" x14ac:dyDescent="0.3"/>
    <row r="468" ht="15" hidden="1" customHeight="1" x14ac:dyDescent="0.3"/>
    <row r="469" ht="15" hidden="1" customHeight="1" x14ac:dyDescent="0.3"/>
    <row r="470" ht="15" hidden="1" customHeight="1" x14ac:dyDescent="0.3"/>
    <row r="471" ht="15" hidden="1" customHeight="1" x14ac:dyDescent="0.3"/>
    <row r="472" ht="15" hidden="1" customHeight="1" x14ac:dyDescent="0.3"/>
    <row r="473" ht="15" hidden="1" customHeight="1" x14ac:dyDescent="0.3"/>
    <row r="474" ht="15" hidden="1" customHeight="1" x14ac:dyDescent="0.3"/>
    <row r="475" ht="15" hidden="1" customHeight="1" x14ac:dyDescent="0.3"/>
    <row r="476" ht="15" hidden="1" customHeight="1" x14ac:dyDescent="0.3"/>
    <row r="477" ht="15" hidden="1" customHeight="1" x14ac:dyDescent="0.3"/>
    <row r="478" ht="15" hidden="1" customHeight="1" x14ac:dyDescent="0.3"/>
    <row r="479" ht="15" hidden="1" customHeight="1" x14ac:dyDescent="0.3"/>
    <row r="480" ht="15" hidden="1" customHeight="1" x14ac:dyDescent="0.3"/>
    <row r="481" ht="15" hidden="1" customHeight="1" x14ac:dyDescent="0.3"/>
    <row r="482" ht="15" hidden="1" customHeight="1" x14ac:dyDescent="0.3"/>
    <row r="483" ht="15" hidden="1" customHeight="1" x14ac:dyDescent="0.3"/>
    <row r="484" ht="15" hidden="1" customHeight="1" x14ac:dyDescent="0.3"/>
    <row r="485" ht="15" hidden="1" customHeight="1" x14ac:dyDescent="0.3"/>
    <row r="486" ht="15" hidden="1" customHeight="1" x14ac:dyDescent="0.3"/>
    <row r="487" ht="15" hidden="1" customHeight="1" x14ac:dyDescent="0.3"/>
    <row r="488" ht="15" hidden="1" customHeight="1" x14ac:dyDescent="0.3"/>
    <row r="489" ht="15" hidden="1" customHeight="1" x14ac:dyDescent="0.3"/>
    <row r="490" ht="15" hidden="1" customHeight="1" x14ac:dyDescent="0.3"/>
    <row r="491" ht="15" hidden="1" customHeight="1" x14ac:dyDescent="0.3"/>
    <row r="492" ht="15" hidden="1" customHeight="1" x14ac:dyDescent="0.3"/>
    <row r="493" ht="15" hidden="1" customHeight="1" x14ac:dyDescent="0.3"/>
    <row r="494" ht="15" hidden="1" customHeight="1" x14ac:dyDescent="0.3"/>
    <row r="495" ht="15" hidden="1" customHeight="1" x14ac:dyDescent="0.3"/>
    <row r="496" ht="15" hidden="1" customHeight="1" x14ac:dyDescent="0.3"/>
    <row r="497" ht="15" hidden="1" customHeight="1" x14ac:dyDescent="0.3"/>
    <row r="498" ht="15" hidden="1" customHeight="1" x14ac:dyDescent="0.3"/>
    <row r="499" ht="15" hidden="1" customHeight="1" x14ac:dyDescent="0.3"/>
    <row r="500" ht="15" hidden="1" customHeight="1" x14ac:dyDescent="0.3"/>
    <row r="501" ht="15" hidden="1" customHeight="1" x14ac:dyDescent="0.3"/>
    <row r="502" ht="15" hidden="1" customHeight="1" x14ac:dyDescent="0.3"/>
    <row r="503" ht="15" hidden="1" customHeight="1" x14ac:dyDescent="0.3"/>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AJ10:AJ11"/>
    <mergeCell ref="AK10:AL10"/>
    <mergeCell ref="C10:L10"/>
    <mergeCell ref="U10:W10"/>
    <mergeCell ref="P10:P11"/>
    <mergeCell ref="M8:AI8"/>
    <mergeCell ref="M9:AI9"/>
    <mergeCell ref="M10:M11"/>
    <mergeCell ref="B3:C4"/>
    <mergeCell ref="X10:AC10"/>
    <mergeCell ref="AD10:AG10"/>
    <mergeCell ref="AI10:AI11"/>
    <mergeCell ref="N10:O10"/>
    <mergeCell ref="Q10:R10"/>
    <mergeCell ref="S10:T10"/>
    <mergeCell ref="X2:AC4"/>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3" style="31" customWidth="1"/>
    <col min="2" max="2" width="3.26953125" style="132" customWidth="1"/>
    <col min="3" max="3" width="12.7265625" style="132" customWidth="1"/>
    <col min="4" max="4" width="55" style="31" customWidth="1"/>
    <col min="5" max="5" width="8.54296875" style="31" customWidth="1"/>
    <col min="6" max="6" width="17.7265625" style="31" customWidth="1"/>
    <col min="7" max="7" width="8.7265625" style="31" customWidth="1"/>
    <col min="8" max="8" width="14.26953125" style="31" bestFit="1" customWidth="1"/>
    <col min="9" max="9" width="13.1796875" style="31" customWidth="1"/>
    <col min="10" max="10" width="33.7265625" style="31" customWidth="1"/>
    <col min="11" max="11" width="14.81640625" style="31" customWidth="1"/>
    <col min="12" max="12" width="13.1796875" style="31" customWidth="1"/>
    <col min="13" max="13" width="17.26953125" style="31" customWidth="1"/>
    <col min="14" max="14" width="13.54296875" style="31" customWidth="1"/>
    <col min="15" max="15" width="16.26953125" style="31" customWidth="1"/>
    <col min="16" max="16" width="14.453125" style="31" customWidth="1"/>
    <col min="17" max="17" width="14.26953125" style="31" customWidth="1"/>
    <col min="18" max="18" width="15" style="31" customWidth="1"/>
    <col min="19" max="19" width="3.7265625" style="31" customWidth="1"/>
    <col min="20" max="21" width="12.26953125" style="31" customWidth="1"/>
    <col min="22" max="22" width="13.453125" style="31" customWidth="1"/>
    <col min="23" max="23" width="12.1796875" style="31" customWidth="1"/>
    <col min="24" max="24" width="10.453125" style="31" customWidth="1"/>
    <col min="25" max="25" width="11" style="31" customWidth="1"/>
    <col min="26" max="27" width="50.1796875" style="31" customWidth="1"/>
    <col min="28" max="30" width="8.81640625" style="31" customWidth="1"/>
    <col min="31" max="36" width="8.81640625" style="31" hidden="1" customWidth="1"/>
    <col min="37" max="37" width="11.81640625" style="31" hidden="1" customWidth="1"/>
    <col min="38" max="41" width="8.81640625" style="31" hidden="1" customWidth="1"/>
    <col min="42" max="42" width="19.54296875" style="31" hidden="1" customWidth="1"/>
    <col min="43" max="43" width="35" style="31" hidden="1" customWidth="1"/>
    <col min="44" max="16384" width="8.81640625" style="31" hidden="1"/>
  </cols>
  <sheetData>
    <row r="1" spans="2:42" ht="12.75" customHeight="1" thickBot="1" x14ac:dyDescent="0.35">
      <c r="B1" s="31"/>
      <c r="C1" s="31"/>
    </row>
    <row r="2" spans="2:42" ht="19.5" customHeight="1" thickBot="1" x14ac:dyDescent="0.35">
      <c r="B2" s="986" t="str">
        <f>IF([2]Start!F12="","",[2]Start!F12)</f>
        <v/>
      </c>
      <c r="C2" s="987"/>
      <c r="D2" s="988"/>
    </row>
    <row r="3" spans="2:42" ht="15" customHeight="1" x14ac:dyDescent="0.3">
      <c r="B3" s="1015" t="str">
        <f ca="1">MID(CELL("filename",A1),FIND("]",CELL("filename",A1))+1,256)</f>
        <v>C-1 Site River Baseline</v>
      </c>
      <c r="C3" s="1016"/>
      <c r="D3" s="1017"/>
    </row>
    <row r="4" spans="2:42" ht="19.899999999999999" customHeight="1" thickBot="1" x14ac:dyDescent="0.35">
      <c r="B4" s="943"/>
      <c r="C4" s="944"/>
      <c r="D4" s="945"/>
    </row>
    <row r="5" spans="2:42" ht="19.149999999999999" customHeight="1" x14ac:dyDescent="0.3">
      <c r="B5" s="31"/>
      <c r="C5" s="31"/>
      <c r="F5" s="131"/>
      <c r="T5" s="1018" t="str">
        <f>IF(SUM(AG10:AG257)&gt;0,"Check Lengths ⚠","")</f>
        <v/>
      </c>
      <c r="U5" s="1018"/>
      <c r="V5" s="1018"/>
      <c r="W5" s="1018"/>
      <c r="X5" s="1018"/>
      <c r="Y5" s="1018"/>
    </row>
    <row r="6" spans="2:42" ht="15.75" customHeight="1" x14ac:dyDescent="0.3">
      <c r="B6" s="31"/>
      <c r="C6" s="31"/>
      <c r="T6" s="1018"/>
      <c r="U6" s="1018"/>
      <c r="V6" s="1018"/>
      <c r="W6" s="1018"/>
      <c r="X6" s="1018"/>
      <c r="Y6" s="1018"/>
    </row>
    <row r="7" spans="2:42" ht="46.15" customHeight="1" thickBot="1" x14ac:dyDescent="0.35"/>
    <row r="8" spans="2:42" ht="28.5" thickBot="1" x14ac:dyDescent="0.35">
      <c r="C8" s="949" t="s">
        <v>318</v>
      </c>
      <c r="D8" s="949"/>
      <c r="E8" s="949"/>
      <c r="F8" s="939" t="s">
        <v>272</v>
      </c>
      <c r="G8" s="939"/>
      <c r="H8" s="939" t="s">
        <v>273</v>
      </c>
      <c r="I8" s="939"/>
      <c r="J8" s="949" t="s">
        <v>191</v>
      </c>
      <c r="K8" s="949"/>
      <c r="L8" s="949"/>
      <c r="M8" s="939" t="s">
        <v>319</v>
      </c>
      <c r="N8" s="939"/>
      <c r="O8" s="939" t="s">
        <v>320</v>
      </c>
      <c r="P8" s="939"/>
      <c r="Q8" s="938" t="s">
        <v>309</v>
      </c>
      <c r="R8" s="167" t="s">
        <v>193</v>
      </c>
      <c r="S8" s="134"/>
      <c r="T8" s="949" t="s">
        <v>194</v>
      </c>
      <c r="U8" s="949"/>
      <c r="V8" s="949"/>
      <c r="W8" s="949"/>
      <c r="X8" s="949"/>
      <c r="Y8" s="949"/>
      <c r="Z8" s="985" t="s">
        <v>196</v>
      </c>
      <c r="AA8" s="985"/>
    </row>
    <row r="9" spans="2:42" ht="42.5" thickBot="1" x14ac:dyDescent="0.35">
      <c r="C9" s="367" t="s">
        <v>254</v>
      </c>
      <c r="D9" s="200" t="s">
        <v>138</v>
      </c>
      <c r="E9" s="201" t="s">
        <v>294</v>
      </c>
      <c r="F9" s="367" t="s">
        <v>189</v>
      </c>
      <c r="G9" s="201" t="s">
        <v>206</v>
      </c>
      <c r="H9" s="367" t="s">
        <v>190</v>
      </c>
      <c r="I9" s="201" t="s">
        <v>206</v>
      </c>
      <c r="J9" s="367" t="s">
        <v>191</v>
      </c>
      <c r="K9" s="200" t="s">
        <v>191</v>
      </c>
      <c r="L9" s="201" t="s">
        <v>321</v>
      </c>
      <c r="M9" s="367" t="s">
        <v>322</v>
      </c>
      <c r="N9" s="201" t="s">
        <v>323</v>
      </c>
      <c r="O9" s="367" t="s">
        <v>322</v>
      </c>
      <c r="P9" s="201" t="s">
        <v>323</v>
      </c>
      <c r="Q9" s="939"/>
      <c r="R9" s="420" t="s">
        <v>324</v>
      </c>
      <c r="S9" s="138"/>
      <c r="T9" s="367" t="s">
        <v>296</v>
      </c>
      <c r="U9" s="200" t="s">
        <v>297</v>
      </c>
      <c r="V9" s="200" t="s">
        <v>298</v>
      </c>
      <c r="W9" s="200" t="s">
        <v>299</v>
      </c>
      <c r="X9" s="200" t="s">
        <v>325</v>
      </c>
      <c r="Y9" s="201" t="s">
        <v>326</v>
      </c>
      <c r="Z9" s="133" t="s">
        <v>327</v>
      </c>
      <c r="AA9" s="133" t="s">
        <v>216</v>
      </c>
      <c r="AG9" s="42" t="s">
        <v>328</v>
      </c>
      <c r="AH9" s="156" t="s">
        <v>219</v>
      </c>
      <c r="AI9" s="156" t="s">
        <v>220</v>
      </c>
      <c r="AK9" s="156" t="s">
        <v>222</v>
      </c>
      <c r="AM9" s="156" t="s">
        <v>219</v>
      </c>
      <c r="AN9" s="156" t="s">
        <v>220</v>
      </c>
      <c r="AP9" s="131" t="s">
        <v>200</v>
      </c>
    </row>
    <row r="10" spans="2:42" ht="14" x14ac:dyDescent="0.3">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4" x14ac:dyDescent="0.3">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4" x14ac:dyDescent="0.3">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4" x14ac:dyDescent="0.3">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4" x14ac:dyDescent="0.3">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4" x14ac:dyDescent="0.3">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5" customHeight="1" x14ac:dyDescent="0.3">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4" x14ac:dyDescent="0.3">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4" x14ac:dyDescent="0.3">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3">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4" x14ac:dyDescent="0.3">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4" x14ac:dyDescent="0.3">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4" x14ac:dyDescent="0.3">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4" x14ac:dyDescent="0.3">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4" x14ac:dyDescent="0.3">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4" x14ac:dyDescent="0.3">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4" x14ac:dyDescent="0.3">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4" x14ac:dyDescent="0.3">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4" x14ac:dyDescent="0.3">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4" x14ac:dyDescent="0.3">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4" x14ac:dyDescent="0.3">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4" x14ac:dyDescent="0.3">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4" x14ac:dyDescent="0.3">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4" x14ac:dyDescent="0.3">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4" x14ac:dyDescent="0.3">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4" x14ac:dyDescent="0.3">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4" x14ac:dyDescent="0.3">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4" x14ac:dyDescent="0.3">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4" x14ac:dyDescent="0.3">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4" x14ac:dyDescent="0.3">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4" x14ac:dyDescent="0.3">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4" x14ac:dyDescent="0.3">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4" x14ac:dyDescent="0.3">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4" x14ac:dyDescent="0.3">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4" x14ac:dyDescent="0.3">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4" x14ac:dyDescent="0.3">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4" x14ac:dyDescent="0.3">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4" x14ac:dyDescent="0.3">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4" x14ac:dyDescent="0.3">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4" x14ac:dyDescent="0.3">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4" x14ac:dyDescent="0.3">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4" x14ac:dyDescent="0.3">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4" x14ac:dyDescent="0.3">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4" x14ac:dyDescent="0.3">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4" x14ac:dyDescent="0.3">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4" x14ac:dyDescent="0.3">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4" x14ac:dyDescent="0.3">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4" x14ac:dyDescent="0.3">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4" x14ac:dyDescent="0.3">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4" x14ac:dyDescent="0.3">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4" x14ac:dyDescent="0.3">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4" x14ac:dyDescent="0.3">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4" x14ac:dyDescent="0.3">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4" x14ac:dyDescent="0.3">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4" x14ac:dyDescent="0.3">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4" x14ac:dyDescent="0.3">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4" x14ac:dyDescent="0.3">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4" x14ac:dyDescent="0.3">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4" x14ac:dyDescent="0.3">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4" x14ac:dyDescent="0.3">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4" x14ac:dyDescent="0.3">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4" x14ac:dyDescent="0.3">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4" x14ac:dyDescent="0.3">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4" x14ac:dyDescent="0.3">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4" x14ac:dyDescent="0.3">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4" x14ac:dyDescent="0.3">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4" x14ac:dyDescent="0.3">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4" x14ac:dyDescent="0.3">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4" x14ac:dyDescent="0.3">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4" x14ac:dyDescent="0.3">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4" x14ac:dyDescent="0.3">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4" x14ac:dyDescent="0.3">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4" x14ac:dyDescent="0.3">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4" x14ac:dyDescent="0.3">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4" x14ac:dyDescent="0.3">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4" x14ac:dyDescent="0.3">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4" x14ac:dyDescent="0.3">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4" x14ac:dyDescent="0.3">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4" x14ac:dyDescent="0.3">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4" x14ac:dyDescent="0.3">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4" x14ac:dyDescent="0.3">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4" x14ac:dyDescent="0.3">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4" x14ac:dyDescent="0.3">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4" x14ac:dyDescent="0.3">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4" x14ac:dyDescent="0.3">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4" x14ac:dyDescent="0.3">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4" x14ac:dyDescent="0.3">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4" x14ac:dyDescent="0.3">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4" x14ac:dyDescent="0.3">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4" x14ac:dyDescent="0.3">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4" x14ac:dyDescent="0.3">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4" x14ac:dyDescent="0.3">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4" x14ac:dyDescent="0.3">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4" x14ac:dyDescent="0.3">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4" x14ac:dyDescent="0.3">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4" x14ac:dyDescent="0.3">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4" x14ac:dyDescent="0.3">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4" x14ac:dyDescent="0.3">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4" x14ac:dyDescent="0.3">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4" x14ac:dyDescent="0.3">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4" x14ac:dyDescent="0.3">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4" x14ac:dyDescent="0.3">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4" x14ac:dyDescent="0.3">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4" x14ac:dyDescent="0.3">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4" x14ac:dyDescent="0.3">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4" x14ac:dyDescent="0.3">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4" x14ac:dyDescent="0.3">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4" x14ac:dyDescent="0.3">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4" x14ac:dyDescent="0.3">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4" x14ac:dyDescent="0.3">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4" x14ac:dyDescent="0.3">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4" x14ac:dyDescent="0.3">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4" x14ac:dyDescent="0.3">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4" x14ac:dyDescent="0.3">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4" x14ac:dyDescent="0.3">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4" x14ac:dyDescent="0.3">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4" x14ac:dyDescent="0.3">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4" x14ac:dyDescent="0.3">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4" x14ac:dyDescent="0.3">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4" x14ac:dyDescent="0.3">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4" x14ac:dyDescent="0.3">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4" x14ac:dyDescent="0.3">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4" x14ac:dyDescent="0.3">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4" x14ac:dyDescent="0.3">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4" x14ac:dyDescent="0.3">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4" x14ac:dyDescent="0.3">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4" x14ac:dyDescent="0.3">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4" x14ac:dyDescent="0.3">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4" x14ac:dyDescent="0.3">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4" x14ac:dyDescent="0.3">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4" x14ac:dyDescent="0.3">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4" x14ac:dyDescent="0.3">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4" x14ac:dyDescent="0.3">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4" x14ac:dyDescent="0.3">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4" x14ac:dyDescent="0.3">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4" x14ac:dyDescent="0.3">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4" x14ac:dyDescent="0.3">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4" x14ac:dyDescent="0.3">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4" x14ac:dyDescent="0.3">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4" x14ac:dyDescent="0.3">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4" x14ac:dyDescent="0.3">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4" x14ac:dyDescent="0.3">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4" x14ac:dyDescent="0.3">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4" x14ac:dyDescent="0.3">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4" x14ac:dyDescent="0.3">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4" x14ac:dyDescent="0.3">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4" x14ac:dyDescent="0.3">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4" x14ac:dyDescent="0.3">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4" x14ac:dyDescent="0.3">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4" x14ac:dyDescent="0.3">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4" x14ac:dyDescent="0.3">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4" x14ac:dyDescent="0.3">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4" x14ac:dyDescent="0.3">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4" x14ac:dyDescent="0.3">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4" x14ac:dyDescent="0.3">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4" x14ac:dyDescent="0.3">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4" x14ac:dyDescent="0.3">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4" x14ac:dyDescent="0.3">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4" x14ac:dyDescent="0.3">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4" x14ac:dyDescent="0.3">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4" x14ac:dyDescent="0.3">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4" x14ac:dyDescent="0.3">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4" x14ac:dyDescent="0.3">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4" x14ac:dyDescent="0.3">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4" x14ac:dyDescent="0.3">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4" x14ac:dyDescent="0.3">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4" x14ac:dyDescent="0.3">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4" x14ac:dyDescent="0.3">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4" x14ac:dyDescent="0.3">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4" x14ac:dyDescent="0.3">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4" x14ac:dyDescent="0.3">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4" x14ac:dyDescent="0.3">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4" x14ac:dyDescent="0.3">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4" x14ac:dyDescent="0.3">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4" x14ac:dyDescent="0.3">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4" x14ac:dyDescent="0.3">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4" x14ac:dyDescent="0.3">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4" x14ac:dyDescent="0.3">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4" x14ac:dyDescent="0.3">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4" x14ac:dyDescent="0.3">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4" x14ac:dyDescent="0.3">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4" x14ac:dyDescent="0.3">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4" x14ac:dyDescent="0.3">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4" x14ac:dyDescent="0.3">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4" x14ac:dyDescent="0.3">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4" x14ac:dyDescent="0.3">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4" x14ac:dyDescent="0.3">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4" x14ac:dyDescent="0.3">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4" x14ac:dyDescent="0.3">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4" x14ac:dyDescent="0.3">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4" x14ac:dyDescent="0.3">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4" x14ac:dyDescent="0.3">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4" x14ac:dyDescent="0.3">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4" x14ac:dyDescent="0.3">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4" x14ac:dyDescent="0.3">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4" x14ac:dyDescent="0.3">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4" x14ac:dyDescent="0.3">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4" x14ac:dyDescent="0.3">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4" x14ac:dyDescent="0.3">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4" x14ac:dyDescent="0.3">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4" x14ac:dyDescent="0.3">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4" x14ac:dyDescent="0.3">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4" x14ac:dyDescent="0.3">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4" x14ac:dyDescent="0.3">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4" x14ac:dyDescent="0.3">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4" x14ac:dyDescent="0.3">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4" x14ac:dyDescent="0.3">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4" x14ac:dyDescent="0.3">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4" x14ac:dyDescent="0.3">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4" x14ac:dyDescent="0.3">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4" x14ac:dyDescent="0.3">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4" x14ac:dyDescent="0.3">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4" x14ac:dyDescent="0.3">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4" x14ac:dyDescent="0.3">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4" x14ac:dyDescent="0.3">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4" x14ac:dyDescent="0.3">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4" x14ac:dyDescent="0.3">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4" x14ac:dyDescent="0.3">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4" x14ac:dyDescent="0.3">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4" x14ac:dyDescent="0.3">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4" x14ac:dyDescent="0.3">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4" x14ac:dyDescent="0.3">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4" x14ac:dyDescent="0.3">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4" x14ac:dyDescent="0.3">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4" x14ac:dyDescent="0.3">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4" x14ac:dyDescent="0.3">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4" x14ac:dyDescent="0.3">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4" x14ac:dyDescent="0.3">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4" x14ac:dyDescent="0.3">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4" x14ac:dyDescent="0.3">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4" x14ac:dyDescent="0.3">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4" x14ac:dyDescent="0.3">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4" x14ac:dyDescent="0.3">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4" x14ac:dyDescent="0.3">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4" x14ac:dyDescent="0.3">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4" x14ac:dyDescent="0.3">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4" x14ac:dyDescent="0.3">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4" x14ac:dyDescent="0.3">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4" x14ac:dyDescent="0.3">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4" x14ac:dyDescent="0.3">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4" x14ac:dyDescent="0.3">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4" x14ac:dyDescent="0.3">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4" x14ac:dyDescent="0.3">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4" x14ac:dyDescent="0.3">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4" x14ac:dyDescent="0.3">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4" x14ac:dyDescent="0.3">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 customHeight="1" x14ac:dyDescent="0.3">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 customHeight="1" thickBot="1" x14ac:dyDescent="0.35">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 customHeight="1" thickBot="1" x14ac:dyDescent="0.35">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4" x14ac:dyDescent="0.3">
      <c r="B259" s="31"/>
      <c r="C259" s="31"/>
      <c r="S259" s="166"/>
      <c r="T259" s="166"/>
      <c r="U259" s="166"/>
      <c r="V259" s="166"/>
      <c r="W259" s="166"/>
      <c r="X259" s="166"/>
      <c r="Y259" s="166"/>
    </row>
    <row r="260" spans="2:42" ht="14" x14ac:dyDescent="0.3"/>
    <row r="261" spans="2:42" ht="14" x14ac:dyDescent="0.3"/>
    <row r="262" spans="2:42" ht="14" x14ac:dyDescent="0.3"/>
    <row r="263" spans="2:42" ht="14" x14ac:dyDescent="0.3"/>
    <row r="264" spans="2:42" ht="14" x14ac:dyDescent="0.3"/>
    <row r="265" spans="2:42" ht="14" x14ac:dyDescent="0.3"/>
    <row r="266" spans="2:42" ht="14" x14ac:dyDescent="0.3"/>
    <row r="267" spans="2:42" ht="14" x14ac:dyDescent="0.3"/>
    <row r="268" spans="2:42" ht="14" x14ac:dyDescent="0.3"/>
    <row r="269" spans="2:42" ht="14" x14ac:dyDescent="0.3"/>
    <row r="270" spans="2:42" ht="14" x14ac:dyDescent="0.3"/>
    <row r="271" spans="2:42" ht="14" x14ac:dyDescent="0.3"/>
    <row r="272" spans="2:42" ht="14" x14ac:dyDescent="0.3"/>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7265625" style="31" customWidth="1"/>
    <col min="3" max="3" width="41" style="31" customWidth="1"/>
    <col min="4" max="4" width="10" style="31" customWidth="1"/>
    <col min="5" max="5" width="18.26953125" style="31" customWidth="1"/>
    <col min="6" max="6" width="13.1796875" style="31" customWidth="1"/>
    <col min="7" max="7" width="12.54296875" style="31" bestFit="1" customWidth="1"/>
    <col min="8" max="8" width="12.54296875" style="31" customWidth="1"/>
    <col min="9" max="9" width="33.7265625" style="31" customWidth="1"/>
    <col min="10" max="10" width="22.26953125" style="31" customWidth="1"/>
    <col min="11" max="11" width="12.26953125" style="31" customWidth="1"/>
    <col min="12" max="14" width="17.7265625" style="31" customWidth="1"/>
    <col min="15" max="15" width="23.54296875" style="31" customWidth="1"/>
    <col min="16" max="16" width="17.7265625" style="31" customWidth="1"/>
    <col min="17" max="17" width="15.26953125" style="31" customWidth="1"/>
    <col min="18" max="18" width="10.7265625" style="31" customWidth="1"/>
    <col min="19" max="19" width="21.81640625" style="31" customWidth="1"/>
    <col min="20" max="20" width="15.54296875" style="31" customWidth="1"/>
    <col min="21" max="21" width="13.81640625" style="31" customWidth="1"/>
    <col min="22" max="22" width="17.81640625" style="31" customWidth="1"/>
    <col min="23" max="23" width="12.26953125" style="31" customWidth="1"/>
    <col min="24" max="24" width="21.26953125" style="31" customWidth="1"/>
    <col min="25" max="25" width="13.26953125" style="31" customWidth="1"/>
    <col min="26" max="26" width="17.26953125" style="31" customWidth="1"/>
    <col min="27" max="28" width="34.81640625" style="31" customWidth="1"/>
    <col min="29" max="32" width="8.81640625" style="31" customWidth="1"/>
    <col min="33" max="33" width="8.81640625" style="31" hidden="1" customWidth="1"/>
    <col min="34" max="34" width="10.81640625" style="31" hidden="1" customWidth="1"/>
    <col min="35" max="16384" width="8.81640625" style="31" hidden="1"/>
  </cols>
  <sheetData>
    <row r="1" spans="2:34" ht="14.5" hidden="1" thickBot="1" x14ac:dyDescent="0.35"/>
    <row r="2" spans="2:34" ht="24.65" customHeight="1" thickBot="1" x14ac:dyDescent="0.35">
      <c r="B2" s="986" t="str">
        <f>IF([2]Start!F12="","",[2]Start!F12)</f>
        <v/>
      </c>
      <c r="C2" s="987"/>
      <c r="D2" s="987"/>
      <c r="E2" s="988"/>
    </row>
    <row r="3" spans="2:34" ht="15.65" customHeight="1" thickBot="1" x14ac:dyDescent="0.35">
      <c r="B3" s="1019" t="str">
        <f ca="1">MID(CELL("filename",A1),FIND("]",CELL("filename",A1))+1,256)</f>
        <v>C-2 Site River Creation</v>
      </c>
      <c r="C3" s="1020"/>
      <c r="D3" s="1020"/>
      <c r="E3" s="1021"/>
      <c r="L3" s="907" t="str">
        <f>IF(OR(COUNTIF(L$12:$L260,"*30+*")&gt;0,COUNTIF(P$12:$P260,"*30+*")&gt;0),"Note; Habitat selected has a time to target condition greater than 30 years. Non standard agreement may be required. ⚠","")</f>
        <v/>
      </c>
      <c r="M3" s="907"/>
      <c r="N3" s="907"/>
      <c r="O3" s="907"/>
      <c r="P3" s="907"/>
      <c r="Q3" s="907"/>
    </row>
    <row r="4" spans="2:34" ht="15" customHeight="1" thickBot="1" x14ac:dyDescent="0.35">
      <c r="B4" s="1019"/>
      <c r="C4" s="1020"/>
      <c r="D4" s="1020"/>
      <c r="E4" s="1021"/>
      <c r="L4" s="907"/>
      <c r="M4" s="907"/>
      <c r="N4" s="907"/>
      <c r="O4" s="907"/>
      <c r="P4" s="907"/>
      <c r="Q4" s="907"/>
    </row>
    <row r="5" spans="2:34" ht="26.5" customHeight="1" x14ac:dyDescent="0.3">
      <c r="L5" s="907"/>
      <c r="M5" s="907"/>
      <c r="N5" s="907"/>
      <c r="O5" s="907"/>
      <c r="P5" s="907"/>
      <c r="Q5" s="907"/>
    </row>
    <row r="6" spans="2:34" ht="23.25" customHeight="1" x14ac:dyDescent="0.3">
      <c r="L6" s="402"/>
      <c r="M6" s="402"/>
      <c r="N6" s="402"/>
      <c r="O6" s="402"/>
      <c r="P6" s="402"/>
    </row>
    <row r="7" spans="2:34" ht="6" customHeight="1" x14ac:dyDescent="0.3">
      <c r="L7" s="402"/>
      <c r="M7" s="402"/>
      <c r="N7" s="402"/>
      <c r="O7" s="402"/>
      <c r="P7" s="402"/>
    </row>
    <row r="8" spans="2:34" ht="6" customHeight="1" x14ac:dyDescent="0.3"/>
    <row r="9" spans="2:34" ht="15.75" customHeight="1" thickBot="1" x14ac:dyDescent="0.35"/>
    <row r="10" spans="2:34" s="42" customFormat="1" ht="29.25" customHeight="1" thickBot="1" x14ac:dyDescent="0.35">
      <c r="B10" s="246"/>
      <c r="C10" s="939" t="s">
        <v>301</v>
      </c>
      <c r="D10" s="939"/>
      <c r="E10" s="939" t="s">
        <v>272</v>
      </c>
      <c r="F10" s="939"/>
      <c r="G10" s="939" t="s">
        <v>273</v>
      </c>
      <c r="H10" s="939"/>
      <c r="I10" s="939" t="s">
        <v>191</v>
      </c>
      <c r="J10" s="939"/>
      <c r="K10" s="939"/>
      <c r="L10" s="966" t="s">
        <v>228</v>
      </c>
      <c r="M10" s="967"/>
      <c r="N10" s="967"/>
      <c r="O10" s="967"/>
      <c r="P10" s="967"/>
      <c r="Q10" s="968"/>
      <c r="R10" s="966" t="s">
        <v>229</v>
      </c>
      <c r="S10" s="967"/>
      <c r="T10" s="967"/>
      <c r="U10" s="968"/>
      <c r="V10" s="939" t="s">
        <v>319</v>
      </c>
      <c r="W10" s="939"/>
      <c r="X10" s="939" t="s">
        <v>320</v>
      </c>
      <c r="Y10" s="939"/>
      <c r="Z10" s="938" t="s">
        <v>329</v>
      </c>
      <c r="AA10" s="879" t="s">
        <v>196</v>
      </c>
      <c r="AB10" s="877"/>
    </row>
    <row r="11" spans="2:34" s="42" customFormat="1" ht="56" x14ac:dyDescent="0.3">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330</v>
      </c>
      <c r="T11" s="200" t="s">
        <v>240</v>
      </c>
      <c r="U11" s="201" t="s">
        <v>241</v>
      </c>
      <c r="V11" s="141" t="s">
        <v>322</v>
      </c>
      <c r="W11" s="358" t="s">
        <v>323</v>
      </c>
      <c r="X11" s="141" t="s">
        <v>322</v>
      </c>
      <c r="Y11" s="358" t="s">
        <v>323</v>
      </c>
      <c r="Z11" s="939"/>
      <c r="AA11" s="141" t="s">
        <v>215</v>
      </c>
      <c r="AB11" s="358" t="s">
        <v>216</v>
      </c>
      <c r="AH11" s="260" t="s">
        <v>200</v>
      </c>
    </row>
    <row r="12" spans="2:34" ht="76" customHeight="1" x14ac:dyDescent="0.3">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4" x14ac:dyDescent="0.3">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4" x14ac:dyDescent="0.3">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4" x14ac:dyDescent="0.3">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4" x14ac:dyDescent="0.3">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4" x14ac:dyDescent="0.3">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4" x14ac:dyDescent="0.3">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4" x14ac:dyDescent="0.3">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4" x14ac:dyDescent="0.3">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4" x14ac:dyDescent="0.3">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4" x14ac:dyDescent="0.3">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4" x14ac:dyDescent="0.3">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4" x14ac:dyDescent="0.3">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4" x14ac:dyDescent="0.3">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4" x14ac:dyDescent="0.3">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4" x14ac:dyDescent="0.3">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4" x14ac:dyDescent="0.3">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4" x14ac:dyDescent="0.3">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4" x14ac:dyDescent="0.3">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4" x14ac:dyDescent="0.3">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4" x14ac:dyDescent="0.3">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4" x14ac:dyDescent="0.3">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4" x14ac:dyDescent="0.3">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4" x14ac:dyDescent="0.3">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4" x14ac:dyDescent="0.3">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4" x14ac:dyDescent="0.3">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4" x14ac:dyDescent="0.3">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4" x14ac:dyDescent="0.3">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4" x14ac:dyDescent="0.3">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4" x14ac:dyDescent="0.3">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4" x14ac:dyDescent="0.3">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4" x14ac:dyDescent="0.3">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4" x14ac:dyDescent="0.3">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4" x14ac:dyDescent="0.3">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4" x14ac:dyDescent="0.3">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4" x14ac:dyDescent="0.3">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4" x14ac:dyDescent="0.3">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4" x14ac:dyDescent="0.3">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4" x14ac:dyDescent="0.3">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4" x14ac:dyDescent="0.3">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4" x14ac:dyDescent="0.3">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4" x14ac:dyDescent="0.3">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4" x14ac:dyDescent="0.3">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4" x14ac:dyDescent="0.3">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4" x14ac:dyDescent="0.3">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4" x14ac:dyDescent="0.3">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4" x14ac:dyDescent="0.3">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4" x14ac:dyDescent="0.3">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4" x14ac:dyDescent="0.3">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4" x14ac:dyDescent="0.3">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4" x14ac:dyDescent="0.3">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4" x14ac:dyDescent="0.3">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4" x14ac:dyDescent="0.3">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4" x14ac:dyDescent="0.3">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4" x14ac:dyDescent="0.3">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4" x14ac:dyDescent="0.3">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4" x14ac:dyDescent="0.3">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4" x14ac:dyDescent="0.3">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4" x14ac:dyDescent="0.3">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4" x14ac:dyDescent="0.3">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4" x14ac:dyDescent="0.3">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4" x14ac:dyDescent="0.3">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4" x14ac:dyDescent="0.3">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4" x14ac:dyDescent="0.3">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4" x14ac:dyDescent="0.3">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4" x14ac:dyDescent="0.3">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4" x14ac:dyDescent="0.3">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4" x14ac:dyDescent="0.3">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4" x14ac:dyDescent="0.3">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4" x14ac:dyDescent="0.3">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4" x14ac:dyDescent="0.3">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4" x14ac:dyDescent="0.3">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4" x14ac:dyDescent="0.3">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4" x14ac:dyDescent="0.3">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4" x14ac:dyDescent="0.3">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4" x14ac:dyDescent="0.3">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4" x14ac:dyDescent="0.3">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4" x14ac:dyDescent="0.3">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4" x14ac:dyDescent="0.3">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4" x14ac:dyDescent="0.3">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4" x14ac:dyDescent="0.3">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4" x14ac:dyDescent="0.3">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4" x14ac:dyDescent="0.3">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4" x14ac:dyDescent="0.3">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4" x14ac:dyDescent="0.3">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4" x14ac:dyDescent="0.3">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4" x14ac:dyDescent="0.3">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4" x14ac:dyDescent="0.3">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4" x14ac:dyDescent="0.3">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4" x14ac:dyDescent="0.3">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4" x14ac:dyDescent="0.3">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4" x14ac:dyDescent="0.3">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4" x14ac:dyDescent="0.3">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4" x14ac:dyDescent="0.3">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4" x14ac:dyDescent="0.3">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4" x14ac:dyDescent="0.3">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4" x14ac:dyDescent="0.3">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4" x14ac:dyDescent="0.3">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4" x14ac:dyDescent="0.3">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4" x14ac:dyDescent="0.3">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4" x14ac:dyDescent="0.3">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4" x14ac:dyDescent="0.3">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4" x14ac:dyDescent="0.3">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4" x14ac:dyDescent="0.3">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4" x14ac:dyDescent="0.3">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4" x14ac:dyDescent="0.3">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4" x14ac:dyDescent="0.3">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4" x14ac:dyDescent="0.3">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4" x14ac:dyDescent="0.3">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4" x14ac:dyDescent="0.3">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4" x14ac:dyDescent="0.3">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4" x14ac:dyDescent="0.3">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4" x14ac:dyDescent="0.3">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4" x14ac:dyDescent="0.3">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4" x14ac:dyDescent="0.3">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4" x14ac:dyDescent="0.3">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4" x14ac:dyDescent="0.3">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4" x14ac:dyDescent="0.3">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4" x14ac:dyDescent="0.3">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4" x14ac:dyDescent="0.3">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4" x14ac:dyDescent="0.3">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4" x14ac:dyDescent="0.3">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4" x14ac:dyDescent="0.3">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4" x14ac:dyDescent="0.3">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4" x14ac:dyDescent="0.3">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4" x14ac:dyDescent="0.3">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4" x14ac:dyDescent="0.3">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4" x14ac:dyDescent="0.3">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4" x14ac:dyDescent="0.3">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4" x14ac:dyDescent="0.3">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4" x14ac:dyDescent="0.3">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4" x14ac:dyDescent="0.3">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4" x14ac:dyDescent="0.3">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4" x14ac:dyDescent="0.3">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4" x14ac:dyDescent="0.3">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4" x14ac:dyDescent="0.3">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4" x14ac:dyDescent="0.3">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4" x14ac:dyDescent="0.3">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4" x14ac:dyDescent="0.3">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4" x14ac:dyDescent="0.3">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4" x14ac:dyDescent="0.3">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4" x14ac:dyDescent="0.3">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4" x14ac:dyDescent="0.3">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4" x14ac:dyDescent="0.3">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4" x14ac:dyDescent="0.3">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4" x14ac:dyDescent="0.3">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4" x14ac:dyDescent="0.3">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4" x14ac:dyDescent="0.3">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4" x14ac:dyDescent="0.3">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4" x14ac:dyDescent="0.3">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4" x14ac:dyDescent="0.3">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4" x14ac:dyDescent="0.3">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4" x14ac:dyDescent="0.3">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4" x14ac:dyDescent="0.3">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4" x14ac:dyDescent="0.3">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4" x14ac:dyDescent="0.3">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4" x14ac:dyDescent="0.3">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4" x14ac:dyDescent="0.3">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4" x14ac:dyDescent="0.3">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4" x14ac:dyDescent="0.3">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4" x14ac:dyDescent="0.3">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4" x14ac:dyDescent="0.3">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4" x14ac:dyDescent="0.3">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4" x14ac:dyDescent="0.3">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4" x14ac:dyDescent="0.3">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4" x14ac:dyDescent="0.3">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4" x14ac:dyDescent="0.3">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4" x14ac:dyDescent="0.3">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4" x14ac:dyDescent="0.3">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4" x14ac:dyDescent="0.3">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4" x14ac:dyDescent="0.3">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4" x14ac:dyDescent="0.3">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4" x14ac:dyDescent="0.3">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4" x14ac:dyDescent="0.3">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4" x14ac:dyDescent="0.3">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4" x14ac:dyDescent="0.3">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4" x14ac:dyDescent="0.3">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4" x14ac:dyDescent="0.3">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4" x14ac:dyDescent="0.3">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4" x14ac:dyDescent="0.3">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4" x14ac:dyDescent="0.3">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4" x14ac:dyDescent="0.3">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4" x14ac:dyDescent="0.3">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4" x14ac:dyDescent="0.3">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4" x14ac:dyDescent="0.3">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4" x14ac:dyDescent="0.3">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4" x14ac:dyDescent="0.3">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4" x14ac:dyDescent="0.3">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4" x14ac:dyDescent="0.3">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4" x14ac:dyDescent="0.3">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4" x14ac:dyDescent="0.3">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4" x14ac:dyDescent="0.3">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4" x14ac:dyDescent="0.3">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4" x14ac:dyDescent="0.3">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4" x14ac:dyDescent="0.3">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4" x14ac:dyDescent="0.3">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4" x14ac:dyDescent="0.3">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4" x14ac:dyDescent="0.3">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4" x14ac:dyDescent="0.3">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4" x14ac:dyDescent="0.3">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4" x14ac:dyDescent="0.3">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4" x14ac:dyDescent="0.3">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4" x14ac:dyDescent="0.3">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4" x14ac:dyDescent="0.3">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4" x14ac:dyDescent="0.3">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4" x14ac:dyDescent="0.3">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4" x14ac:dyDescent="0.3">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4" x14ac:dyDescent="0.3">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4" x14ac:dyDescent="0.3">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4" x14ac:dyDescent="0.3">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4" x14ac:dyDescent="0.3">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4" x14ac:dyDescent="0.3">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4" x14ac:dyDescent="0.3">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4" x14ac:dyDescent="0.3">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4" x14ac:dyDescent="0.3">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4" x14ac:dyDescent="0.3">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4" x14ac:dyDescent="0.3">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4" x14ac:dyDescent="0.3">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4" x14ac:dyDescent="0.3">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4" x14ac:dyDescent="0.3">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4" x14ac:dyDescent="0.3">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4" x14ac:dyDescent="0.3">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4" x14ac:dyDescent="0.3">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4" x14ac:dyDescent="0.3">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4" x14ac:dyDescent="0.3">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4" x14ac:dyDescent="0.3">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4" x14ac:dyDescent="0.3">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4" x14ac:dyDescent="0.3">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4" x14ac:dyDescent="0.3">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4" x14ac:dyDescent="0.3">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4" x14ac:dyDescent="0.3">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4" x14ac:dyDescent="0.3">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4" x14ac:dyDescent="0.3">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4" x14ac:dyDescent="0.3">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4" x14ac:dyDescent="0.3">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4" x14ac:dyDescent="0.3">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4" x14ac:dyDescent="0.3">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4" x14ac:dyDescent="0.3">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4" x14ac:dyDescent="0.3">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4" x14ac:dyDescent="0.3">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4" x14ac:dyDescent="0.3">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4" x14ac:dyDescent="0.3">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4" x14ac:dyDescent="0.3">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4" x14ac:dyDescent="0.3">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4" x14ac:dyDescent="0.3">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4" x14ac:dyDescent="0.3">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4" x14ac:dyDescent="0.3">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4.5" thickBot="1" x14ac:dyDescent="0.35">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4.5" thickBot="1" x14ac:dyDescent="0.35">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8.9" customHeight="1" x14ac:dyDescent="0.3"/>
    <row r="262" spans="2:34" ht="27" customHeight="1" x14ac:dyDescent="0.3"/>
    <row r="263" spans="2:34" ht="14" hidden="1" x14ac:dyDescent="0.3"/>
    <row r="264" spans="2:34" ht="14" hidden="1" x14ac:dyDescent="0.3"/>
    <row r="265" spans="2:34" ht="14" hidden="1" x14ac:dyDescent="0.3"/>
    <row r="266" spans="2:34" ht="14" hidden="1" x14ac:dyDescent="0.3"/>
    <row r="267" spans="2:34" ht="14" hidden="1" x14ac:dyDescent="0.3"/>
    <row r="268" spans="2:34" ht="14" hidden="1" x14ac:dyDescent="0.3"/>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4.1796875" style="31" customWidth="1"/>
    <col min="3" max="3" width="41.26953125" style="31" customWidth="1"/>
    <col min="4" max="4" width="9" style="31" customWidth="1"/>
    <col min="5" max="5" width="18.81640625" style="31" customWidth="1"/>
    <col min="6" max="6" width="18.26953125" style="31" customWidth="1"/>
    <col min="7" max="7" width="18.1796875" style="31" customWidth="1"/>
    <col min="8" max="8" width="19.26953125" style="31" customWidth="1"/>
    <col min="9" max="9" width="25.81640625" style="31" customWidth="1"/>
    <col min="10" max="13" width="19.26953125" style="31" customWidth="1"/>
    <col min="14" max="14" width="45.7265625" style="31" customWidth="1"/>
    <col min="15" max="16" width="34.26953125" style="31" customWidth="1"/>
    <col min="17" max="17" width="10" style="31" customWidth="1"/>
    <col min="18" max="18" width="19.453125" style="31" customWidth="1"/>
    <col min="19" max="19" width="13.1796875" style="31" customWidth="1"/>
    <col min="20" max="20" width="12.54296875" style="31" bestFit="1" customWidth="1"/>
    <col min="21" max="21" width="12.54296875" style="31" customWidth="1"/>
    <col min="22" max="22" width="33.7265625" style="31" customWidth="1"/>
    <col min="23" max="23" width="15.453125" style="31" customWidth="1"/>
    <col min="24" max="24" width="12.26953125" style="31" customWidth="1"/>
    <col min="25" max="25" width="18.453125" style="31" customWidth="1"/>
    <col min="26" max="26" width="21" style="31" customWidth="1"/>
    <col min="27" max="27" width="24.453125" style="31" customWidth="1"/>
    <col min="28" max="28" width="34.453125" style="31" customWidth="1"/>
    <col min="29" max="29" width="18.453125" style="31" customWidth="1"/>
    <col min="30" max="30" width="15.26953125" style="31" customWidth="1"/>
    <col min="31" max="31" width="16.54296875" style="31" customWidth="1"/>
    <col min="32" max="32" width="28.26953125" style="31" customWidth="1"/>
    <col min="33" max="33" width="16.26953125" style="31" customWidth="1"/>
    <col min="34" max="34" width="15.26953125" style="31" customWidth="1"/>
    <col min="35" max="35" width="17.54296875" style="31" customWidth="1"/>
    <col min="36" max="36" width="15.26953125" style="31" customWidth="1"/>
    <col min="37" max="37" width="19.54296875" style="31" customWidth="1"/>
    <col min="38" max="39" width="12.7265625" style="31" customWidth="1"/>
    <col min="40" max="41" width="34.81640625" style="31" customWidth="1"/>
    <col min="42" max="47" width="8.81640625" style="31" customWidth="1"/>
    <col min="48" max="48" width="10.81640625" style="31" hidden="1" customWidth="1"/>
    <col min="49" max="56" width="0" style="31" hidden="1" customWidth="1"/>
    <col min="57" max="16384" width="8.81640625" style="31" hidden="1"/>
  </cols>
  <sheetData>
    <row r="1" spans="2:48" ht="20.5" customHeight="1" thickBot="1" x14ac:dyDescent="0.35"/>
    <row r="2" spans="2:48" ht="27" customHeight="1" thickBot="1" x14ac:dyDescent="0.35">
      <c r="B2" s="986" t="str">
        <f>IF([2]Start!F12="","",[2]Start!F12)</f>
        <v/>
      </c>
      <c r="C2" s="987"/>
      <c r="D2" s="987"/>
      <c r="E2" s="988"/>
      <c r="R2" s="132"/>
      <c r="Y2" s="907" t="str">
        <f>IF(OR(COUNTIF($Y$12:Y259,"*30+*")&gt;0,COUNTIF($AC$12:AC259,"*30+*")&gt;0),"Note; Habitat selected has a time to target condition greater than 30 years. Non standard agreement may be required. ⚠","")</f>
        <v/>
      </c>
      <c r="Z2" s="907"/>
      <c r="AA2" s="907"/>
      <c r="AB2" s="907"/>
      <c r="AC2" s="907"/>
      <c r="AD2" s="907"/>
    </row>
    <row r="3" spans="2:48" ht="18" customHeight="1" thickBot="1" x14ac:dyDescent="0.35">
      <c r="B3" s="1019" t="str">
        <f ca="1">MID(CELL("filename",A1),FIND("]",CELL("filename",A1))+1,256)</f>
        <v>C-3 Site River Enhancement</v>
      </c>
      <c r="C3" s="1020"/>
      <c r="D3" s="1020"/>
      <c r="E3" s="1021"/>
      <c r="Y3" s="907"/>
      <c r="Z3" s="907"/>
      <c r="AA3" s="907"/>
      <c r="AB3" s="907"/>
      <c r="AC3" s="907"/>
      <c r="AD3" s="907"/>
    </row>
    <row r="4" spans="2:48" ht="21" customHeight="1" thickBot="1" x14ac:dyDescent="0.35">
      <c r="B4" s="1019"/>
      <c r="C4" s="1020"/>
      <c r="D4" s="1020"/>
      <c r="E4" s="1021"/>
      <c r="Y4" s="907"/>
      <c r="Z4" s="907"/>
      <c r="AA4" s="907"/>
      <c r="AB4" s="907"/>
      <c r="AC4" s="907"/>
      <c r="AD4" s="907"/>
    </row>
    <row r="5" spans="2:48" ht="15.65" customHeight="1" x14ac:dyDescent="0.3">
      <c r="AH5" s="193"/>
      <c r="AI5" s="193"/>
      <c r="AJ5" s="193"/>
      <c r="AK5" s="193"/>
      <c r="AL5" s="193"/>
    </row>
    <row r="6" spans="2:48" ht="16.149999999999999" customHeight="1" x14ac:dyDescent="0.3">
      <c r="F6" s="131"/>
    </row>
    <row r="7" spans="2:48" ht="14" x14ac:dyDescent="0.3"/>
    <row r="8" spans="2:48" ht="14.5" thickBot="1" x14ac:dyDescent="0.35"/>
    <row r="9" spans="2:48" ht="14.5" thickBot="1" x14ac:dyDescent="0.35">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2"/>
      <c r="AM9" s="449"/>
    </row>
    <row r="10" spans="2:48" s="42" customFormat="1" ht="27" customHeight="1" thickBot="1" x14ac:dyDescent="0.35">
      <c r="C10" s="938" t="s">
        <v>247</v>
      </c>
      <c r="D10" s="938"/>
      <c r="E10" s="938"/>
      <c r="F10" s="938"/>
      <c r="G10" s="938"/>
      <c r="H10" s="938"/>
      <c r="I10" s="938"/>
      <c r="J10" s="938"/>
      <c r="K10" s="938"/>
      <c r="L10" s="938"/>
      <c r="M10" s="938"/>
      <c r="N10" s="966" t="s">
        <v>331</v>
      </c>
      <c r="O10" s="992" t="s">
        <v>249</v>
      </c>
      <c r="P10" s="992"/>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319</v>
      </c>
      <c r="AJ10" s="939"/>
      <c r="AK10" s="966" t="s">
        <v>320</v>
      </c>
      <c r="AL10" s="968"/>
      <c r="AM10" s="939" t="s">
        <v>329</v>
      </c>
      <c r="AN10" s="879" t="s">
        <v>196</v>
      </c>
      <c r="AO10" s="877"/>
    </row>
    <row r="11" spans="2:48" ht="62.25" customHeight="1" x14ac:dyDescent="0.3">
      <c r="B11" s="135" t="s">
        <v>254</v>
      </c>
      <c r="C11" s="200" t="s">
        <v>255</v>
      </c>
      <c r="D11" s="200" t="s">
        <v>294</v>
      </c>
      <c r="E11" s="200" t="s">
        <v>257</v>
      </c>
      <c r="F11" s="200" t="s">
        <v>258</v>
      </c>
      <c r="G11" s="200" t="s">
        <v>259</v>
      </c>
      <c r="H11" s="200" t="s">
        <v>260</v>
      </c>
      <c r="I11" s="200" t="s">
        <v>261</v>
      </c>
      <c r="J11" s="200" t="s">
        <v>191</v>
      </c>
      <c r="K11" s="200" t="s">
        <v>332</v>
      </c>
      <c r="L11" s="200" t="s">
        <v>309</v>
      </c>
      <c r="M11" s="201" t="s">
        <v>333</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322</v>
      </c>
      <c r="AJ11" s="358" t="s">
        <v>323</v>
      </c>
      <c r="AK11" s="141" t="s">
        <v>322</v>
      </c>
      <c r="AL11" s="358" t="s">
        <v>323</v>
      </c>
      <c r="AM11" s="984"/>
      <c r="AN11" s="141" t="s">
        <v>215</v>
      </c>
      <c r="AO11" s="358" t="s">
        <v>216</v>
      </c>
      <c r="AV11" s="260" t="s">
        <v>200</v>
      </c>
    </row>
    <row r="12" spans="2:48" ht="14" x14ac:dyDescent="0.3">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4" x14ac:dyDescent="0.3">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4" x14ac:dyDescent="0.3">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4" x14ac:dyDescent="0.3">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4" x14ac:dyDescent="0.3">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4" x14ac:dyDescent="0.3">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4" x14ac:dyDescent="0.3">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4" x14ac:dyDescent="0.3">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4" x14ac:dyDescent="0.3">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4" x14ac:dyDescent="0.3">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4" x14ac:dyDescent="0.3">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4" x14ac:dyDescent="0.3">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4" x14ac:dyDescent="0.3">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4" x14ac:dyDescent="0.3">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4" x14ac:dyDescent="0.3">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4" x14ac:dyDescent="0.3">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4" x14ac:dyDescent="0.3">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4" x14ac:dyDescent="0.3">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4" x14ac:dyDescent="0.3">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4" x14ac:dyDescent="0.3">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4" x14ac:dyDescent="0.3">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4" x14ac:dyDescent="0.3">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4" x14ac:dyDescent="0.3">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4" x14ac:dyDescent="0.3">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4" x14ac:dyDescent="0.3">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4" x14ac:dyDescent="0.3">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4" x14ac:dyDescent="0.3">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4" x14ac:dyDescent="0.3">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4" x14ac:dyDescent="0.3">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4" x14ac:dyDescent="0.3">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4" x14ac:dyDescent="0.3">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4" x14ac:dyDescent="0.3">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4" x14ac:dyDescent="0.3">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4" x14ac:dyDescent="0.3">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4" x14ac:dyDescent="0.3">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4" x14ac:dyDescent="0.3">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4" x14ac:dyDescent="0.3">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4" x14ac:dyDescent="0.3">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4" x14ac:dyDescent="0.3">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4" x14ac:dyDescent="0.3">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4" x14ac:dyDescent="0.3">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4" x14ac:dyDescent="0.3">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4" x14ac:dyDescent="0.3">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4" x14ac:dyDescent="0.3">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4" x14ac:dyDescent="0.3">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4" x14ac:dyDescent="0.3">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4" x14ac:dyDescent="0.3">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4" x14ac:dyDescent="0.3">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4" x14ac:dyDescent="0.3">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4" x14ac:dyDescent="0.3">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4" x14ac:dyDescent="0.3">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4" x14ac:dyDescent="0.3">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4" x14ac:dyDescent="0.3">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4" x14ac:dyDescent="0.3">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4" x14ac:dyDescent="0.3">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4" x14ac:dyDescent="0.3">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4" x14ac:dyDescent="0.3">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4" x14ac:dyDescent="0.3">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4" x14ac:dyDescent="0.3">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4" x14ac:dyDescent="0.3">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4" x14ac:dyDescent="0.3">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4" x14ac:dyDescent="0.3">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4" x14ac:dyDescent="0.3">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4" x14ac:dyDescent="0.3">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4" x14ac:dyDescent="0.3">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4" x14ac:dyDescent="0.3">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4" x14ac:dyDescent="0.3">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4" x14ac:dyDescent="0.3">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4" x14ac:dyDescent="0.3">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4" x14ac:dyDescent="0.3">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4" x14ac:dyDescent="0.3">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4" x14ac:dyDescent="0.3">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4" x14ac:dyDescent="0.3">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4" x14ac:dyDescent="0.3">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4" x14ac:dyDescent="0.3">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4" x14ac:dyDescent="0.3">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4" x14ac:dyDescent="0.3">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4" x14ac:dyDescent="0.3">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4" x14ac:dyDescent="0.3">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4" x14ac:dyDescent="0.3">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4" x14ac:dyDescent="0.3">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4" x14ac:dyDescent="0.3">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4" x14ac:dyDescent="0.3">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4" x14ac:dyDescent="0.3">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4" x14ac:dyDescent="0.3">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4" x14ac:dyDescent="0.3">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4" x14ac:dyDescent="0.3">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4" x14ac:dyDescent="0.3">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4" x14ac:dyDescent="0.3">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4" x14ac:dyDescent="0.3">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4" x14ac:dyDescent="0.3">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4" x14ac:dyDescent="0.3">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4" x14ac:dyDescent="0.3">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4" x14ac:dyDescent="0.3">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4" x14ac:dyDescent="0.3">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4" x14ac:dyDescent="0.3">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4" x14ac:dyDescent="0.3">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4" x14ac:dyDescent="0.3">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4" x14ac:dyDescent="0.3">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4" x14ac:dyDescent="0.3">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4" x14ac:dyDescent="0.3">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4" x14ac:dyDescent="0.3">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4" x14ac:dyDescent="0.3">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4" x14ac:dyDescent="0.3">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4" x14ac:dyDescent="0.3">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4" x14ac:dyDescent="0.3">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4" x14ac:dyDescent="0.3">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4" x14ac:dyDescent="0.3">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4" x14ac:dyDescent="0.3">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4" x14ac:dyDescent="0.3">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4" x14ac:dyDescent="0.3">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4" x14ac:dyDescent="0.3">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4" x14ac:dyDescent="0.3">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4" x14ac:dyDescent="0.3">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4" x14ac:dyDescent="0.3">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4" x14ac:dyDescent="0.3">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4" x14ac:dyDescent="0.3">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4" x14ac:dyDescent="0.3">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4" x14ac:dyDescent="0.3">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4" x14ac:dyDescent="0.3">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4" x14ac:dyDescent="0.3">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4" x14ac:dyDescent="0.3">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4" x14ac:dyDescent="0.3">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4" x14ac:dyDescent="0.3">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4" x14ac:dyDescent="0.3">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4" x14ac:dyDescent="0.3">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4" x14ac:dyDescent="0.3">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4" x14ac:dyDescent="0.3">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4" x14ac:dyDescent="0.3">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4" x14ac:dyDescent="0.3">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4" x14ac:dyDescent="0.3">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4" x14ac:dyDescent="0.3">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4" x14ac:dyDescent="0.3">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4" x14ac:dyDescent="0.3">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4" x14ac:dyDescent="0.3">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4" x14ac:dyDescent="0.3">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4" x14ac:dyDescent="0.3">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4" x14ac:dyDescent="0.3">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4" x14ac:dyDescent="0.3">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4" x14ac:dyDescent="0.3">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4" x14ac:dyDescent="0.3">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4" x14ac:dyDescent="0.3">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4" x14ac:dyDescent="0.3">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4" x14ac:dyDescent="0.3">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4" x14ac:dyDescent="0.3">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4" x14ac:dyDescent="0.3">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4" x14ac:dyDescent="0.3">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4" x14ac:dyDescent="0.3">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4" x14ac:dyDescent="0.3">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4" x14ac:dyDescent="0.3">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4" x14ac:dyDescent="0.3">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4" x14ac:dyDescent="0.3">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4" x14ac:dyDescent="0.3">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4" x14ac:dyDescent="0.3">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4" x14ac:dyDescent="0.3">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4" x14ac:dyDescent="0.3">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4" x14ac:dyDescent="0.3">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4" x14ac:dyDescent="0.3">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4" x14ac:dyDescent="0.3">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4" x14ac:dyDescent="0.3">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4" x14ac:dyDescent="0.3">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4" x14ac:dyDescent="0.3">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4" x14ac:dyDescent="0.3">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4" x14ac:dyDescent="0.3">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4" x14ac:dyDescent="0.3">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4" x14ac:dyDescent="0.3">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4" x14ac:dyDescent="0.3">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4" x14ac:dyDescent="0.3">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4" x14ac:dyDescent="0.3">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4" x14ac:dyDescent="0.3">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4" x14ac:dyDescent="0.3">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4" x14ac:dyDescent="0.3">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4" x14ac:dyDescent="0.3">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4" x14ac:dyDescent="0.3">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4" x14ac:dyDescent="0.3">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4" x14ac:dyDescent="0.3">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4" x14ac:dyDescent="0.3">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4" x14ac:dyDescent="0.3">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4" x14ac:dyDescent="0.3">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4" x14ac:dyDescent="0.3">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4" x14ac:dyDescent="0.3">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4" x14ac:dyDescent="0.3">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4" x14ac:dyDescent="0.3">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4" x14ac:dyDescent="0.3">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4" x14ac:dyDescent="0.3">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4" x14ac:dyDescent="0.3">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4" x14ac:dyDescent="0.3">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4" x14ac:dyDescent="0.3">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4" x14ac:dyDescent="0.3">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4" x14ac:dyDescent="0.3">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4" x14ac:dyDescent="0.3">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4" x14ac:dyDescent="0.3">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4" x14ac:dyDescent="0.3">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4" x14ac:dyDescent="0.3">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4" x14ac:dyDescent="0.3">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4" x14ac:dyDescent="0.3">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4" x14ac:dyDescent="0.3">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4" x14ac:dyDescent="0.3">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4" x14ac:dyDescent="0.3">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4" x14ac:dyDescent="0.3">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4" x14ac:dyDescent="0.3">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4" x14ac:dyDescent="0.3">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4" x14ac:dyDescent="0.3">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4" x14ac:dyDescent="0.3">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4" x14ac:dyDescent="0.3">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4" x14ac:dyDescent="0.3">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4" x14ac:dyDescent="0.3">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4" x14ac:dyDescent="0.3">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4" x14ac:dyDescent="0.3">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4" x14ac:dyDescent="0.3">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4" x14ac:dyDescent="0.3">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4" x14ac:dyDescent="0.3">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4" x14ac:dyDescent="0.3">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4" x14ac:dyDescent="0.3">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4" x14ac:dyDescent="0.3">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4" x14ac:dyDescent="0.3">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4" x14ac:dyDescent="0.3">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4" x14ac:dyDescent="0.3">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4" x14ac:dyDescent="0.3">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4" x14ac:dyDescent="0.3">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4" x14ac:dyDescent="0.3">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4" x14ac:dyDescent="0.3">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4" x14ac:dyDescent="0.3">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4" x14ac:dyDescent="0.3">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4" x14ac:dyDescent="0.3">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4" x14ac:dyDescent="0.3">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4" x14ac:dyDescent="0.3">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4" x14ac:dyDescent="0.3">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4" x14ac:dyDescent="0.3">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4" x14ac:dyDescent="0.3">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4" x14ac:dyDescent="0.3">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4" x14ac:dyDescent="0.3">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4" x14ac:dyDescent="0.3">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4" x14ac:dyDescent="0.3">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4" x14ac:dyDescent="0.3">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4" x14ac:dyDescent="0.3">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4" x14ac:dyDescent="0.3">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4" x14ac:dyDescent="0.3">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4" x14ac:dyDescent="0.3">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4" x14ac:dyDescent="0.3">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4" x14ac:dyDescent="0.3">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4" x14ac:dyDescent="0.3">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4" x14ac:dyDescent="0.3">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4" x14ac:dyDescent="0.3">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4" x14ac:dyDescent="0.3">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4.5" thickBot="1" x14ac:dyDescent="0.35">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4.5" thickBot="1" x14ac:dyDescent="0.35">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4" x14ac:dyDescent="0.3">
      <c r="AJ259" s="31" t="str">
        <f>IF(AI259="","",IF(VLOOKUP(AI259,'[2]G-7 Rivers Data'!$AA$4:$AB$6,2,FALSE)=0,"Spatial Data Missing",VLOOKUP(AI259,'[2]G-7 Rivers Data'!$AA$4:$AB$6,2,FALSE)))</f>
        <v/>
      </c>
    </row>
    <row r="260" spans="2:48" ht="14" x14ac:dyDescent="0.3"/>
    <row r="261" spans="2:48" ht="14" x14ac:dyDescent="0.3"/>
    <row r="262" spans="2:48" ht="14" x14ac:dyDescent="0.3"/>
    <row r="263" spans="2:48" ht="14" x14ac:dyDescent="0.3"/>
    <row r="264" spans="2:48" ht="14" x14ac:dyDescent="0.3"/>
    <row r="265" spans="2:48" ht="14" x14ac:dyDescent="0.3"/>
    <row r="266" spans="2:48" ht="14" x14ac:dyDescent="0.3"/>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3"/>
  <cols>
    <col min="1" max="1" width="3" style="31" customWidth="1"/>
    <col min="2" max="2" width="4.7265625" style="132" customWidth="1"/>
    <col min="3" max="3" width="10" style="132" customWidth="1"/>
    <col min="4" max="4" width="55" style="31" customWidth="1"/>
    <col min="5" max="5" width="8.54296875" style="31" customWidth="1"/>
    <col min="6" max="6" width="18.81640625" style="31" customWidth="1"/>
    <col min="7" max="7" width="8.7265625" style="31" customWidth="1"/>
    <col min="8" max="8" width="14.26953125" style="31" bestFit="1" customWidth="1"/>
    <col min="9" max="9" width="12.81640625" style="31" customWidth="1"/>
    <col min="10" max="10" width="33.7265625" style="31" customWidth="1"/>
    <col min="11" max="11" width="15.1796875" style="31" customWidth="1"/>
    <col min="12" max="12" width="13.7265625" style="31" customWidth="1"/>
    <col min="13" max="13" width="18.1796875" style="31" customWidth="1"/>
    <col min="14" max="14" width="12.81640625" style="31" customWidth="1"/>
    <col min="15" max="15" width="16.7265625" style="31" customWidth="1"/>
    <col min="16" max="16" width="12.7265625" style="31" customWidth="1"/>
    <col min="17" max="17" width="14.26953125" style="31" customWidth="1"/>
    <col min="18" max="18" width="13.26953125" style="31" customWidth="1"/>
    <col min="19" max="19" width="3.7265625" style="31" customWidth="1"/>
    <col min="20" max="20" width="12.1796875" style="31" customWidth="1"/>
    <col min="21" max="21" width="12.81640625" style="31" customWidth="1"/>
    <col min="22" max="22" width="10.81640625" style="31" customWidth="1"/>
    <col min="23" max="23" width="11.81640625" style="31" customWidth="1"/>
    <col min="24" max="24" width="12" style="31" customWidth="1"/>
    <col min="25" max="25" width="8.7265625" style="31" customWidth="1"/>
    <col min="26" max="27" width="50.1796875" style="31" customWidth="1"/>
    <col min="28" max="30" width="8.81640625" style="31" customWidth="1"/>
    <col min="31" max="31" width="8.81640625" style="31" hidden="1" customWidth="1"/>
    <col min="32" max="32" width="15.81640625" style="31" hidden="1" customWidth="1"/>
    <col min="33" max="33" width="8.81640625" style="31" hidden="1" customWidth="1"/>
    <col min="34" max="34" width="9" style="31" hidden="1" customWidth="1"/>
    <col min="35" max="35" width="9.54296875" style="31" hidden="1" customWidth="1"/>
    <col min="36" max="36" width="8.81640625" style="31" hidden="1" customWidth="1"/>
    <col min="37" max="37" width="11.81640625" style="31" hidden="1" customWidth="1"/>
    <col min="38" max="38" width="8.81640625" style="31" hidden="1" customWidth="1"/>
    <col min="39" max="39" width="9" style="31" hidden="1" customWidth="1"/>
    <col min="40" max="40" width="9.54296875" style="31" hidden="1" customWidth="1"/>
    <col min="41" max="16384" width="8.81640625" style="31" hidden="1"/>
  </cols>
  <sheetData>
    <row r="1" spans="2:40" ht="12.75" customHeight="1" thickBot="1" x14ac:dyDescent="0.35">
      <c r="B1" s="31"/>
      <c r="C1" s="31"/>
    </row>
    <row r="2" spans="2:40" ht="19.5" customHeight="1" thickBot="1" x14ac:dyDescent="0.35">
      <c r="B2" s="743" t="str">
        <f>IF([2]Start!$F$12="","",[2]Start!$F$12)</f>
        <v/>
      </c>
      <c r="C2" s="744"/>
      <c r="D2" s="744"/>
      <c r="E2" s="745"/>
    </row>
    <row r="3" spans="2:40" ht="15" customHeight="1" thickBot="1" x14ac:dyDescent="0.35">
      <c r="B3" s="971" t="str">
        <f ca="1">MID(CELL("filename",A1),FIND("]",CELL("filename",A1))+1,256)</f>
        <v>F-1 Off Site River Baseline</v>
      </c>
      <c r="C3" s="972"/>
      <c r="D3" s="972"/>
      <c r="E3" s="973"/>
    </row>
    <row r="4" spans="2:40" ht="15" customHeight="1" thickBot="1" x14ac:dyDescent="0.35">
      <c r="B4" s="971"/>
      <c r="C4" s="972"/>
      <c r="D4" s="972"/>
      <c r="E4" s="973"/>
      <c r="S4" s="445"/>
      <c r="T4" s="1018" t="str">
        <f>IF(SUM(AG10:AG257)&gt;0,"Check Lengths ⚠","")</f>
        <v/>
      </c>
      <c r="U4" s="1018"/>
      <c r="V4" s="1018"/>
      <c r="W4" s="1018"/>
      <c r="X4" s="1018"/>
      <c r="Y4" s="1018"/>
    </row>
    <row r="5" spans="2:40" ht="27" customHeight="1" x14ac:dyDescent="0.3">
      <c r="B5" s="31"/>
      <c r="C5" s="31"/>
      <c r="S5" s="445"/>
      <c r="T5" s="1018"/>
      <c r="U5" s="1018"/>
      <c r="V5" s="1018"/>
      <c r="W5" s="1018"/>
      <c r="X5" s="1018"/>
      <c r="Y5" s="1018"/>
    </row>
    <row r="6" spans="2:40" ht="40.15" customHeight="1" x14ac:dyDescent="0.3">
      <c r="B6" s="31"/>
      <c r="C6" s="31"/>
      <c r="D6" s="131"/>
    </row>
    <row r="7" spans="2:40" ht="14.5" thickBot="1" x14ac:dyDescent="0.35"/>
    <row r="8" spans="2:40" ht="30.75" customHeight="1" thickBot="1" x14ac:dyDescent="0.35">
      <c r="C8" s="949" t="s">
        <v>318</v>
      </c>
      <c r="D8" s="949"/>
      <c r="E8" s="949"/>
      <c r="F8" s="939" t="s">
        <v>272</v>
      </c>
      <c r="G8" s="939"/>
      <c r="H8" s="939" t="s">
        <v>273</v>
      </c>
      <c r="I8" s="939"/>
      <c r="J8" s="949" t="s">
        <v>191</v>
      </c>
      <c r="K8" s="949"/>
      <c r="L8" s="949"/>
      <c r="M8" s="939" t="s">
        <v>319</v>
      </c>
      <c r="N8" s="939"/>
      <c r="O8" s="939" t="s">
        <v>320</v>
      </c>
      <c r="P8" s="939"/>
      <c r="Q8" s="938" t="s">
        <v>309</v>
      </c>
      <c r="R8" s="167" t="s">
        <v>193</v>
      </c>
      <c r="S8" s="134"/>
      <c r="T8" s="949" t="s">
        <v>194</v>
      </c>
      <c r="U8" s="949"/>
      <c r="V8" s="949"/>
      <c r="W8" s="949"/>
      <c r="X8" s="949"/>
      <c r="Y8" s="949"/>
      <c r="Z8" s="949" t="s">
        <v>196</v>
      </c>
      <c r="AA8" s="949"/>
    </row>
    <row r="9" spans="2:40" ht="42" x14ac:dyDescent="0.3">
      <c r="C9" s="367" t="s">
        <v>254</v>
      </c>
      <c r="D9" s="200" t="s">
        <v>138</v>
      </c>
      <c r="E9" s="201" t="s">
        <v>334</v>
      </c>
      <c r="F9" s="367" t="s">
        <v>189</v>
      </c>
      <c r="G9" s="201" t="s">
        <v>206</v>
      </c>
      <c r="H9" s="367" t="s">
        <v>190</v>
      </c>
      <c r="I9" s="201" t="s">
        <v>206</v>
      </c>
      <c r="J9" s="367" t="s">
        <v>191</v>
      </c>
      <c r="K9" s="200" t="s">
        <v>191</v>
      </c>
      <c r="L9" s="201" t="s">
        <v>231</v>
      </c>
      <c r="M9" s="367" t="s">
        <v>322</v>
      </c>
      <c r="N9" s="201" t="s">
        <v>323</v>
      </c>
      <c r="O9" s="367" t="s">
        <v>322</v>
      </c>
      <c r="P9" s="201" t="s">
        <v>323</v>
      </c>
      <c r="Q9" s="939"/>
      <c r="R9" s="420" t="s">
        <v>324</v>
      </c>
      <c r="S9" s="138"/>
      <c r="T9" s="367" t="s">
        <v>296</v>
      </c>
      <c r="U9" s="200" t="s">
        <v>297</v>
      </c>
      <c r="V9" s="200" t="s">
        <v>298</v>
      </c>
      <c r="W9" s="200" t="s">
        <v>299</v>
      </c>
      <c r="X9" s="200" t="s">
        <v>300</v>
      </c>
      <c r="Y9" s="201" t="s">
        <v>214</v>
      </c>
      <c r="Z9" s="367" t="s">
        <v>215</v>
      </c>
      <c r="AA9" s="201" t="s">
        <v>216</v>
      </c>
      <c r="AF9" s="131" t="s">
        <v>200</v>
      </c>
      <c r="AG9" s="42" t="s">
        <v>335</v>
      </c>
      <c r="AH9" s="139" t="s">
        <v>219</v>
      </c>
      <c r="AI9" s="139" t="s">
        <v>220</v>
      </c>
      <c r="AJ9" s="140"/>
      <c r="AK9" s="139" t="s">
        <v>222</v>
      </c>
      <c r="AL9" s="140"/>
      <c r="AM9" s="139" t="s">
        <v>219</v>
      </c>
      <c r="AN9" s="139" t="s">
        <v>220</v>
      </c>
    </row>
    <row r="10" spans="2:40" ht="14" x14ac:dyDescent="0.3">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4" x14ac:dyDescent="0.3">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4" x14ac:dyDescent="0.3">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4" x14ac:dyDescent="0.3">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4" x14ac:dyDescent="0.3">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4" x14ac:dyDescent="0.3">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4" x14ac:dyDescent="0.3">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4" x14ac:dyDescent="0.3">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4" x14ac:dyDescent="0.3">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4" x14ac:dyDescent="0.3">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4" x14ac:dyDescent="0.3">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4" x14ac:dyDescent="0.3">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4" x14ac:dyDescent="0.3">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4" x14ac:dyDescent="0.3">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4" x14ac:dyDescent="0.3">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4" x14ac:dyDescent="0.3">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4" x14ac:dyDescent="0.3">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4" x14ac:dyDescent="0.3">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4" x14ac:dyDescent="0.3">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4" x14ac:dyDescent="0.3">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4" x14ac:dyDescent="0.3">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4" x14ac:dyDescent="0.3">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4" x14ac:dyDescent="0.3">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4" x14ac:dyDescent="0.3">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4" x14ac:dyDescent="0.3">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4" x14ac:dyDescent="0.3">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4" x14ac:dyDescent="0.3">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4" x14ac:dyDescent="0.3">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4" x14ac:dyDescent="0.3">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4" x14ac:dyDescent="0.3">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4" x14ac:dyDescent="0.3">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4" x14ac:dyDescent="0.3">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4" x14ac:dyDescent="0.3">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4" x14ac:dyDescent="0.3">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4" x14ac:dyDescent="0.3">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4" x14ac:dyDescent="0.3">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4" x14ac:dyDescent="0.3">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4" x14ac:dyDescent="0.3">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4" x14ac:dyDescent="0.3">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4" x14ac:dyDescent="0.3">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4" x14ac:dyDescent="0.3">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4" x14ac:dyDescent="0.3">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4" x14ac:dyDescent="0.3">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4" x14ac:dyDescent="0.3">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4" x14ac:dyDescent="0.3">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4" x14ac:dyDescent="0.3">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4" x14ac:dyDescent="0.3">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4" x14ac:dyDescent="0.3">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4" x14ac:dyDescent="0.3">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4" x14ac:dyDescent="0.3">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4" x14ac:dyDescent="0.3">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4" x14ac:dyDescent="0.3">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4" x14ac:dyDescent="0.3">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4" x14ac:dyDescent="0.3">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4" x14ac:dyDescent="0.3">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4" x14ac:dyDescent="0.3">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4" x14ac:dyDescent="0.3">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4" x14ac:dyDescent="0.3">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4" x14ac:dyDescent="0.3">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4" x14ac:dyDescent="0.3">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4" x14ac:dyDescent="0.3">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4" x14ac:dyDescent="0.3">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4" x14ac:dyDescent="0.3">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4" x14ac:dyDescent="0.3">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4" x14ac:dyDescent="0.3">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4" x14ac:dyDescent="0.3">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4" x14ac:dyDescent="0.3">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4" x14ac:dyDescent="0.3">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4" x14ac:dyDescent="0.3">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4" x14ac:dyDescent="0.3">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4" x14ac:dyDescent="0.3">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4" x14ac:dyDescent="0.3">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4" x14ac:dyDescent="0.3">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4" x14ac:dyDescent="0.3">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4" x14ac:dyDescent="0.3">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4" x14ac:dyDescent="0.3">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4" x14ac:dyDescent="0.3">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4" x14ac:dyDescent="0.3">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4" x14ac:dyDescent="0.3">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4" x14ac:dyDescent="0.3">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4" x14ac:dyDescent="0.3">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4" x14ac:dyDescent="0.3">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4" x14ac:dyDescent="0.3">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4" x14ac:dyDescent="0.3">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4" x14ac:dyDescent="0.3">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4" x14ac:dyDescent="0.3">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4" x14ac:dyDescent="0.3">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4" x14ac:dyDescent="0.3">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4" x14ac:dyDescent="0.3">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4" x14ac:dyDescent="0.3">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4" x14ac:dyDescent="0.3">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4" x14ac:dyDescent="0.3">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4" x14ac:dyDescent="0.3">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4" x14ac:dyDescent="0.3">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4" x14ac:dyDescent="0.3">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4" x14ac:dyDescent="0.3">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4" x14ac:dyDescent="0.3">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4" x14ac:dyDescent="0.3">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4" x14ac:dyDescent="0.3">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4" x14ac:dyDescent="0.3">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4" x14ac:dyDescent="0.3">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4" x14ac:dyDescent="0.3">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4" x14ac:dyDescent="0.3">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4" x14ac:dyDescent="0.3">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4" x14ac:dyDescent="0.3">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4" x14ac:dyDescent="0.3">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4" x14ac:dyDescent="0.3">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4" x14ac:dyDescent="0.3">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4" x14ac:dyDescent="0.3">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4" x14ac:dyDescent="0.3">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4" x14ac:dyDescent="0.3">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4" x14ac:dyDescent="0.3">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4" x14ac:dyDescent="0.3">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4" x14ac:dyDescent="0.3">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4" x14ac:dyDescent="0.3">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4" x14ac:dyDescent="0.3">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4" x14ac:dyDescent="0.3">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4" x14ac:dyDescent="0.3">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4" x14ac:dyDescent="0.3">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4" x14ac:dyDescent="0.3">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4" x14ac:dyDescent="0.3">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4" x14ac:dyDescent="0.3">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4" x14ac:dyDescent="0.3">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4" x14ac:dyDescent="0.3">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4" x14ac:dyDescent="0.3">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4" x14ac:dyDescent="0.3">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4" x14ac:dyDescent="0.3">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4" x14ac:dyDescent="0.3">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4" x14ac:dyDescent="0.3">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4" x14ac:dyDescent="0.3">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4" x14ac:dyDescent="0.3">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4" x14ac:dyDescent="0.3">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4" x14ac:dyDescent="0.3">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4" x14ac:dyDescent="0.3">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4" x14ac:dyDescent="0.3">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4" x14ac:dyDescent="0.3">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4" x14ac:dyDescent="0.3">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4" x14ac:dyDescent="0.3">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4" x14ac:dyDescent="0.3">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4" x14ac:dyDescent="0.3">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4" x14ac:dyDescent="0.3">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4" x14ac:dyDescent="0.3">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4" x14ac:dyDescent="0.3">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4" x14ac:dyDescent="0.3">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4" x14ac:dyDescent="0.3">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4" x14ac:dyDescent="0.3">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4" x14ac:dyDescent="0.3">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4" x14ac:dyDescent="0.3">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4" x14ac:dyDescent="0.3">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4" x14ac:dyDescent="0.3">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4" x14ac:dyDescent="0.3">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4" x14ac:dyDescent="0.3">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4" x14ac:dyDescent="0.3">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4" x14ac:dyDescent="0.3">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4" x14ac:dyDescent="0.3">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4" x14ac:dyDescent="0.3">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4" x14ac:dyDescent="0.3">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4" x14ac:dyDescent="0.3">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4" x14ac:dyDescent="0.3">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4" x14ac:dyDescent="0.3">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4" x14ac:dyDescent="0.3">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4" x14ac:dyDescent="0.3">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4" x14ac:dyDescent="0.3">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4" x14ac:dyDescent="0.3">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4" x14ac:dyDescent="0.3">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4" x14ac:dyDescent="0.3">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4" x14ac:dyDescent="0.3">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4" x14ac:dyDescent="0.3">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4" x14ac:dyDescent="0.3">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4" x14ac:dyDescent="0.3">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4" x14ac:dyDescent="0.3">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4" x14ac:dyDescent="0.3">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4" x14ac:dyDescent="0.3">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4" x14ac:dyDescent="0.3">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4" x14ac:dyDescent="0.3">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4" x14ac:dyDescent="0.3">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4" x14ac:dyDescent="0.3">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4" x14ac:dyDescent="0.3">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4" x14ac:dyDescent="0.3">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4" x14ac:dyDescent="0.3">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4" x14ac:dyDescent="0.3">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4" x14ac:dyDescent="0.3">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4" x14ac:dyDescent="0.3">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4" x14ac:dyDescent="0.3">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4" x14ac:dyDescent="0.3">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4" x14ac:dyDescent="0.3">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4" x14ac:dyDescent="0.3">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4" x14ac:dyDescent="0.3">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4" x14ac:dyDescent="0.3">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4" x14ac:dyDescent="0.3">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4" x14ac:dyDescent="0.3">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4" x14ac:dyDescent="0.3">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4" x14ac:dyDescent="0.3">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4" x14ac:dyDescent="0.3">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4" x14ac:dyDescent="0.3">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4" x14ac:dyDescent="0.3">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4" x14ac:dyDescent="0.3">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4" x14ac:dyDescent="0.3">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4" x14ac:dyDescent="0.3">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4" x14ac:dyDescent="0.3">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4" x14ac:dyDescent="0.3">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4" x14ac:dyDescent="0.3">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4" x14ac:dyDescent="0.3">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4" x14ac:dyDescent="0.3">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4" x14ac:dyDescent="0.3">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4" x14ac:dyDescent="0.3">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4" x14ac:dyDescent="0.3">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4" x14ac:dyDescent="0.3">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4" x14ac:dyDescent="0.3">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4" x14ac:dyDescent="0.3">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4" x14ac:dyDescent="0.3">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4" x14ac:dyDescent="0.3">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4" x14ac:dyDescent="0.3">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4" x14ac:dyDescent="0.3">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4" x14ac:dyDescent="0.3">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4" x14ac:dyDescent="0.3">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4" x14ac:dyDescent="0.3">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4" x14ac:dyDescent="0.3">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4" x14ac:dyDescent="0.3">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4" x14ac:dyDescent="0.3">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4" x14ac:dyDescent="0.3">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4" x14ac:dyDescent="0.3">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4" x14ac:dyDescent="0.3">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4" x14ac:dyDescent="0.3">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4" x14ac:dyDescent="0.3">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4" x14ac:dyDescent="0.3">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4" x14ac:dyDescent="0.3">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4" x14ac:dyDescent="0.3">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4" x14ac:dyDescent="0.3">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4" x14ac:dyDescent="0.3">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4" x14ac:dyDescent="0.3">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4" x14ac:dyDescent="0.3">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4" x14ac:dyDescent="0.3">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4" x14ac:dyDescent="0.3">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4" x14ac:dyDescent="0.3">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4" x14ac:dyDescent="0.3">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4" x14ac:dyDescent="0.3">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4" x14ac:dyDescent="0.3">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4" x14ac:dyDescent="0.3">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4" x14ac:dyDescent="0.3">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4" x14ac:dyDescent="0.3">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4" x14ac:dyDescent="0.3">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4" x14ac:dyDescent="0.3">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4" x14ac:dyDescent="0.3">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4" x14ac:dyDescent="0.3">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4" x14ac:dyDescent="0.3">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4" x14ac:dyDescent="0.3">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4.5" thickBot="1" x14ac:dyDescent="0.35">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5">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4" x14ac:dyDescent="0.3">
      <c r="B259" s="31"/>
      <c r="C259" s="31"/>
      <c r="S259" s="166"/>
      <c r="T259" s="166"/>
      <c r="U259" s="166"/>
      <c r="V259" s="166"/>
      <c r="W259" s="166"/>
      <c r="X259" s="166"/>
      <c r="Y259" s="166"/>
    </row>
    <row r="260" spans="2:40" ht="14" x14ac:dyDescent="0.3"/>
    <row r="261" spans="2:40" ht="14" x14ac:dyDescent="0.3"/>
    <row r="262" spans="2:40" ht="14" x14ac:dyDescent="0.3"/>
    <row r="263" spans="2:40" ht="14" x14ac:dyDescent="0.3"/>
    <row r="264" spans="2:40" ht="14" x14ac:dyDescent="0.3"/>
    <row r="265" spans="2:40" ht="14" x14ac:dyDescent="0.3"/>
    <row r="266" spans="2:40" ht="14" x14ac:dyDescent="0.3"/>
    <row r="267" spans="2:40" ht="14" x14ac:dyDescent="0.3"/>
    <row r="268" spans="2:40" ht="14" x14ac:dyDescent="0.3"/>
    <row r="269" spans="2:40" ht="14" x14ac:dyDescent="0.3"/>
    <row r="270" spans="2:40" ht="14" x14ac:dyDescent="0.3"/>
    <row r="271" spans="2:40" ht="14" x14ac:dyDescent="0.3"/>
    <row r="272" spans="2:40" ht="14" x14ac:dyDescent="0.3"/>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0.7265625" style="31" customWidth="1"/>
    <col min="3" max="3" width="47.1796875" style="31" customWidth="1"/>
    <col min="4" max="4" width="10.453125" style="31" customWidth="1"/>
    <col min="5" max="5" width="17.453125" style="31" customWidth="1"/>
    <col min="6" max="6" width="13.1796875" style="31" customWidth="1"/>
    <col min="7" max="7" width="12.54296875" style="31" bestFit="1" customWidth="1"/>
    <col min="8" max="8" width="12.54296875" style="31" customWidth="1"/>
    <col min="9" max="9" width="33.7265625" style="31" customWidth="1"/>
    <col min="10" max="10" width="15.453125" style="31" customWidth="1"/>
    <col min="11" max="11" width="12.26953125" style="31" customWidth="1"/>
    <col min="12" max="14" width="17.7265625" style="31" customWidth="1"/>
    <col min="15" max="15" width="34.54296875" style="31" customWidth="1"/>
    <col min="16" max="16" width="17.7265625" style="31" customWidth="1"/>
    <col min="17" max="17" width="15.26953125" style="31" customWidth="1"/>
    <col min="18" max="18" width="10.7265625" style="31" customWidth="1"/>
    <col min="19" max="19" width="26.1796875" style="31" customWidth="1"/>
    <col min="20" max="20" width="13.453125" style="31" customWidth="1"/>
    <col min="21" max="21" width="12.26953125" style="31" customWidth="1"/>
    <col min="22" max="22" width="16.453125" style="31" customWidth="1"/>
    <col min="23" max="23" width="12.453125" style="31" customWidth="1"/>
    <col min="24" max="24" width="17" style="31" customWidth="1"/>
    <col min="25" max="25" width="12.54296875" style="31" customWidth="1"/>
    <col min="26" max="26" width="30.26953125" style="31" customWidth="1"/>
    <col min="27" max="27" width="12.7265625" style="31" customWidth="1"/>
    <col min="28" max="28" width="17.26953125" style="31" customWidth="1"/>
    <col min="29" max="30" width="34.81640625" style="31" customWidth="1"/>
    <col min="31" max="36" width="8.81640625" style="31" customWidth="1"/>
    <col min="37" max="37" width="15.453125" style="31" hidden="1" customWidth="1"/>
    <col min="38" max="45" width="0" style="31" hidden="1" customWidth="1"/>
    <col min="46" max="16384" width="8.81640625" style="31" hidden="1"/>
  </cols>
  <sheetData>
    <row r="1" spans="2:37" ht="14.5" thickBot="1" x14ac:dyDescent="0.35"/>
    <row r="2" spans="2:37" ht="18.649999999999999" customHeight="1" thickBot="1" x14ac:dyDescent="0.35">
      <c r="B2" s="743" t="str">
        <f>IF([2]Start!$F$12="","",[2]Start!$F$12)</f>
        <v/>
      </c>
      <c r="C2" s="744"/>
      <c r="D2" s="745"/>
      <c r="L2" s="907" t="str">
        <f>IF(OR(COUNTIF(L$12:$L259,"*30+*")&gt;0,COUNTIF(P$12:$P259,"*30+*")&gt;0),"Note; Habitat selected has a time to target condition greater than 30 years. Non standard agreement may be required.","")</f>
        <v/>
      </c>
      <c r="M2" s="907"/>
      <c r="N2" s="907"/>
      <c r="O2" s="907"/>
      <c r="P2" s="907"/>
      <c r="Q2" s="907"/>
    </row>
    <row r="3" spans="2:37" ht="15.65" customHeight="1" thickBot="1" x14ac:dyDescent="0.35">
      <c r="B3" s="971" t="str">
        <f ca="1">MID(CELL("filename",A1),FIND("]",CELL("filename",A1))+1,256)</f>
        <v>F-2 Off Site River Creation</v>
      </c>
      <c r="C3" s="972"/>
      <c r="D3" s="973"/>
      <c r="L3" s="907"/>
      <c r="M3" s="907"/>
      <c r="N3" s="907"/>
      <c r="O3" s="907"/>
      <c r="P3" s="907"/>
      <c r="Q3" s="907"/>
    </row>
    <row r="4" spans="2:37" ht="9.65" customHeight="1" thickBot="1" x14ac:dyDescent="0.35">
      <c r="B4" s="971"/>
      <c r="C4" s="972"/>
      <c r="D4" s="973"/>
      <c r="L4" s="907"/>
      <c r="M4" s="907"/>
      <c r="N4" s="907"/>
      <c r="O4" s="907"/>
      <c r="P4" s="907"/>
      <c r="Q4" s="907"/>
    </row>
    <row r="5" spans="2:37" ht="26.5" customHeight="1" x14ac:dyDescent="0.3">
      <c r="L5" s="907"/>
      <c r="M5" s="907"/>
      <c r="N5" s="907"/>
      <c r="O5" s="907"/>
      <c r="P5" s="907"/>
      <c r="Q5" s="907"/>
    </row>
    <row r="6" spans="2:37" ht="23.25" customHeight="1" x14ac:dyDescent="0.3">
      <c r="D6" s="131"/>
      <c r="L6" s="402"/>
      <c r="M6" s="402"/>
      <c r="N6" s="402"/>
      <c r="O6" s="402"/>
      <c r="P6" s="402"/>
    </row>
    <row r="7" spans="2:37" ht="14" x14ac:dyDescent="0.3"/>
    <row r="8" spans="2:37" ht="14" x14ac:dyDescent="0.3"/>
    <row r="9" spans="2:37" ht="15.75" customHeight="1" thickBot="1" x14ac:dyDescent="0.35"/>
    <row r="10" spans="2:37" s="42" customFormat="1" ht="29.25" customHeight="1" thickBot="1" x14ac:dyDescent="0.35">
      <c r="B10" s="246"/>
      <c r="C10" s="966" t="s">
        <v>301</v>
      </c>
      <c r="D10" s="968"/>
      <c r="E10" s="966" t="s">
        <v>272</v>
      </c>
      <c r="F10" s="968"/>
      <c r="G10" s="966" t="s">
        <v>336</v>
      </c>
      <c r="H10" s="968"/>
      <c r="I10" s="939" t="s">
        <v>191</v>
      </c>
      <c r="J10" s="939"/>
      <c r="K10" s="939"/>
      <c r="L10" s="939" t="s">
        <v>228</v>
      </c>
      <c r="M10" s="939"/>
      <c r="N10" s="939"/>
      <c r="O10" s="939"/>
      <c r="P10" s="939"/>
      <c r="Q10" s="939"/>
      <c r="R10" s="966" t="s">
        <v>229</v>
      </c>
      <c r="S10" s="967"/>
      <c r="T10" s="967"/>
      <c r="U10" s="968"/>
      <c r="V10" s="939" t="s">
        <v>319</v>
      </c>
      <c r="W10" s="939"/>
      <c r="X10" s="939" t="s">
        <v>320</v>
      </c>
      <c r="Y10" s="939"/>
      <c r="Z10" s="939" t="s">
        <v>283</v>
      </c>
      <c r="AA10" s="939"/>
      <c r="AB10" s="938" t="s">
        <v>329</v>
      </c>
      <c r="AC10" s="879" t="s">
        <v>196</v>
      </c>
      <c r="AD10" s="877"/>
    </row>
    <row r="11" spans="2:37" s="42" customFormat="1" ht="56" x14ac:dyDescent="0.3">
      <c r="B11" s="135" t="s">
        <v>254</v>
      </c>
      <c r="C11" s="303" t="s">
        <v>138</v>
      </c>
      <c r="D11" s="201" t="s">
        <v>337</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338</v>
      </c>
      <c r="R11" s="367" t="s">
        <v>238</v>
      </c>
      <c r="S11" s="200" t="s">
        <v>282</v>
      </c>
      <c r="T11" s="200" t="s">
        <v>240</v>
      </c>
      <c r="U11" s="201" t="s">
        <v>241</v>
      </c>
      <c r="V11" s="367" t="s">
        <v>322</v>
      </c>
      <c r="W11" s="201" t="s">
        <v>323</v>
      </c>
      <c r="X11" s="367" t="s">
        <v>322</v>
      </c>
      <c r="Y11" s="201" t="s">
        <v>323</v>
      </c>
      <c r="Z11" s="367" t="s">
        <v>339</v>
      </c>
      <c r="AA11" s="201" t="s">
        <v>323</v>
      </c>
      <c r="AB11" s="939"/>
      <c r="AC11" s="141" t="s">
        <v>215</v>
      </c>
      <c r="AD11" s="358" t="s">
        <v>216</v>
      </c>
      <c r="AK11" s="260" t="s">
        <v>200</v>
      </c>
    </row>
    <row r="12" spans="2:37" ht="14" x14ac:dyDescent="0.3">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4" x14ac:dyDescent="0.3">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4" x14ac:dyDescent="0.3">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4" x14ac:dyDescent="0.3">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4" x14ac:dyDescent="0.3">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4" x14ac:dyDescent="0.3">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4" x14ac:dyDescent="0.3">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4" x14ac:dyDescent="0.3">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4" x14ac:dyDescent="0.3">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4" x14ac:dyDescent="0.3">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4" x14ac:dyDescent="0.3">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4" x14ac:dyDescent="0.3">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4" x14ac:dyDescent="0.3">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4" x14ac:dyDescent="0.3">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4" x14ac:dyDescent="0.3">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4" x14ac:dyDescent="0.3">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4" x14ac:dyDescent="0.3">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4" x14ac:dyDescent="0.3">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4" x14ac:dyDescent="0.3">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4" x14ac:dyDescent="0.3">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4" x14ac:dyDescent="0.3">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4" x14ac:dyDescent="0.3">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4" x14ac:dyDescent="0.3">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4" x14ac:dyDescent="0.3">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4" x14ac:dyDescent="0.3">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4" x14ac:dyDescent="0.3">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4" x14ac:dyDescent="0.3">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4" x14ac:dyDescent="0.3">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4" x14ac:dyDescent="0.3">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4" x14ac:dyDescent="0.3">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4" x14ac:dyDescent="0.3">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4" x14ac:dyDescent="0.3">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4" x14ac:dyDescent="0.3">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4" x14ac:dyDescent="0.3">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4" x14ac:dyDescent="0.3">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4" x14ac:dyDescent="0.3">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4" x14ac:dyDescent="0.3">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4" x14ac:dyDescent="0.3">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4" x14ac:dyDescent="0.3">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4" x14ac:dyDescent="0.3">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4" x14ac:dyDescent="0.3">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4" x14ac:dyDescent="0.3">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4" x14ac:dyDescent="0.3">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4" x14ac:dyDescent="0.3">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4" x14ac:dyDescent="0.3">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4" x14ac:dyDescent="0.3">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4" x14ac:dyDescent="0.3">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4" x14ac:dyDescent="0.3">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4" x14ac:dyDescent="0.3">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4" x14ac:dyDescent="0.3">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4" x14ac:dyDescent="0.3">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4" x14ac:dyDescent="0.3">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4" x14ac:dyDescent="0.3">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4" x14ac:dyDescent="0.3">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4" x14ac:dyDescent="0.3">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4" x14ac:dyDescent="0.3">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4" x14ac:dyDescent="0.3">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4" x14ac:dyDescent="0.3">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4" x14ac:dyDescent="0.3">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4" x14ac:dyDescent="0.3">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4" x14ac:dyDescent="0.3">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4" x14ac:dyDescent="0.3">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4" x14ac:dyDescent="0.3">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4" x14ac:dyDescent="0.3">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4" x14ac:dyDescent="0.3">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4" x14ac:dyDescent="0.3">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4" x14ac:dyDescent="0.3">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4" x14ac:dyDescent="0.3">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4" x14ac:dyDescent="0.3">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4" x14ac:dyDescent="0.3">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4" x14ac:dyDescent="0.3">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4" x14ac:dyDescent="0.3">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4" x14ac:dyDescent="0.3">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4" x14ac:dyDescent="0.3">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4" x14ac:dyDescent="0.3">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4" x14ac:dyDescent="0.3">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4" x14ac:dyDescent="0.3">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4" x14ac:dyDescent="0.3">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4" x14ac:dyDescent="0.3">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4" x14ac:dyDescent="0.3">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4" x14ac:dyDescent="0.3">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4" x14ac:dyDescent="0.3">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4" x14ac:dyDescent="0.3">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4" x14ac:dyDescent="0.3">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4" x14ac:dyDescent="0.3">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4" x14ac:dyDescent="0.3">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4" x14ac:dyDescent="0.3">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4" x14ac:dyDescent="0.3">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4" x14ac:dyDescent="0.3">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4" x14ac:dyDescent="0.3">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4" x14ac:dyDescent="0.3">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4" x14ac:dyDescent="0.3">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4" x14ac:dyDescent="0.3">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4" x14ac:dyDescent="0.3">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4" x14ac:dyDescent="0.3">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4" x14ac:dyDescent="0.3">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4" x14ac:dyDescent="0.3">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4" x14ac:dyDescent="0.3">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4" x14ac:dyDescent="0.3">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4" x14ac:dyDescent="0.3">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4" x14ac:dyDescent="0.3">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4" x14ac:dyDescent="0.3">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4" x14ac:dyDescent="0.3">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4" x14ac:dyDescent="0.3">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4" x14ac:dyDescent="0.3">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4" x14ac:dyDescent="0.3">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4" x14ac:dyDescent="0.3">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4" x14ac:dyDescent="0.3">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4" x14ac:dyDescent="0.3">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4" x14ac:dyDescent="0.3">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4" x14ac:dyDescent="0.3">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4" x14ac:dyDescent="0.3">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4" x14ac:dyDescent="0.3">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4" x14ac:dyDescent="0.3">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4" x14ac:dyDescent="0.3">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4" x14ac:dyDescent="0.3">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4" x14ac:dyDescent="0.3">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4" x14ac:dyDescent="0.3">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4" x14ac:dyDescent="0.3">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4" x14ac:dyDescent="0.3">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4" x14ac:dyDescent="0.3">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4" x14ac:dyDescent="0.3">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4" x14ac:dyDescent="0.3">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4" x14ac:dyDescent="0.3">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4" x14ac:dyDescent="0.3">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4" x14ac:dyDescent="0.3">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4" x14ac:dyDescent="0.3">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4" x14ac:dyDescent="0.3">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4" x14ac:dyDescent="0.3">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4" x14ac:dyDescent="0.3">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4" x14ac:dyDescent="0.3">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4" x14ac:dyDescent="0.3">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4" x14ac:dyDescent="0.3">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4" x14ac:dyDescent="0.3">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4" x14ac:dyDescent="0.3">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4" x14ac:dyDescent="0.3">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4" x14ac:dyDescent="0.3">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4" x14ac:dyDescent="0.3">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4" x14ac:dyDescent="0.3">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4" x14ac:dyDescent="0.3">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4" x14ac:dyDescent="0.3">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4" x14ac:dyDescent="0.3">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4" x14ac:dyDescent="0.3">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4" x14ac:dyDescent="0.3">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4" x14ac:dyDescent="0.3">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4" x14ac:dyDescent="0.3">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4" x14ac:dyDescent="0.3">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4" x14ac:dyDescent="0.3">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4" x14ac:dyDescent="0.3">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4" x14ac:dyDescent="0.3">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4" x14ac:dyDescent="0.3">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4" x14ac:dyDescent="0.3">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4" x14ac:dyDescent="0.3">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4" x14ac:dyDescent="0.3">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4" x14ac:dyDescent="0.3">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4" x14ac:dyDescent="0.3">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4" x14ac:dyDescent="0.3">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4" x14ac:dyDescent="0.3">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4" x14ac:dyDescent="0.3">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4" x14ac:dyDescent="0.3">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4" x14ac:dyDescent="0.3">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4" x14ac:dyDescent="0.3">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4" x14ac:dyDescent="0.3">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4" x14ac:dyDescent="0.3">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4" x14ac:dyDescent="0.3">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4" x14ac:dyDescent="0.3">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4" x14ac:dyDescent="0.3">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4" x14ac:dyDescent="0.3">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4" x14ac:dyDescent="0.3">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4" x14ac:dyDescent="0.3">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4" x14ac:dyDescent="0.3">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4" x14ac:dyDescent="0.3">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4" x14ac:dyDescent="0.3">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4" x14ac:dyDescent="0.3">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4" x14ac:dyDescent="0.3">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4" x14ac:dyDescent="0.3">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4" x14ac:dyDescent="0.3">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4" x14ac:dyDescent="0.3">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4" x14ac:dyDescent="0.3">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4" x14ac:dyDescent="0.3">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4" x14ac:dyDescent="0.3">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4" x14ac:dyDescent="0.3">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4" x14ac:dyDescent="0.3">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4" x14ac:dyDescent="0.3">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4" x14ac:dyDescent="0.3">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4" x14ac:dyDescent="0.3">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4" x14ac:dyDescent="0.3">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4" x14ac:dyDescent="0.3">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4" x14ac:dyDescent="0.3">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4" x14ac:dyDescent="0.3">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4" x14ac:dyDescent="0.3">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4" x14ac:dyDescent="0.3">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4" x14ac:dyDescent="0.3">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4" x14ac:dyDescent="0.3">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4" x14ac:dyDescent="0.3">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4" x14ac:dyDescent="0.3">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4" x14ac:dyDescent="0.3">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4" x14ac:dyDescent="0.3">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4" x14ac:dyDescent="0.3">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4" x14ac:dyDescent="0.3">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4" x14ac:dyDescent="0.3">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4" x14ac:dyDescent="0.3">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4" x14ac:dyDescent="0.3">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4" x14ac:dyDescent="0.3">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4" x14ac:dyDescent="0.3">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4" x14ac:dyDescent="0.3">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4" x14ac:dyDescent="0.3">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4" x14ac:dyDescent="0.3">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4" x14ac:dyDescent="0.3">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4" x14ac:dyDescent="0.3">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4" x14ac:dyDescent="0.3">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4" x14ac:dyDescent="0.3">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4" x14ac:dyDescent="0.3">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4" x14ac:dyDescent="0.3">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4" x14ac:dyDescent="0.3">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4" x14ac:dyDescent="0.3">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4" x14ac:dyDescent="0.3">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4" x14ac:dyDescent="0.3">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4" x14ac:dyDescent="0.3">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4" x14ac:dyDescent="0.3">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4" x14ac:dyDescent="0.3">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4" x14ac:dyDescent="0.3">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4" x14ac:dyDescent="0.3">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4" x14ac:dyDescent="0.3">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4" x14ac:dyDescent="0.3">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4" x14ac:dyDescent="0.3">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4" x14ac:dyDescent="0.3">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4" x14ac:dyDescent="0.3">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4" x14ac:dyDescent="0.3">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4" x14ac:dyDescent="0.3">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4" x14ac:dyDescent="0.3">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4" x14ac:dyDescent="0.3">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4" x14ac:dyDescent="0.3">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4" x14ac:dyDescent="0.3">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4" x14ac:dyDescent="0.3">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4" x14ac:dyDescent="0.3">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4" x14ac:dyDescent="0.3">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4" x14ac:dyDescent="0.3">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4" x14ac:dyDescent="0.3">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4" x14ac:dyDescent="0.3">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4" x14ac:dyDescent="0.3">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4" x14ac:dyDescent="0.3">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4" x14ac:dyDescent="0.3">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4" x14ac:dyDescent="0.3">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4" x14ac:dyDescent="0.3">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4" x14ac:dyDescent="0.3">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4" x14ac:dyDescent="0.3">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4.5" thickBot="1" x14ac:dyDescent="0.35">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4.5" thickBot="1" x14ac:dyDescent="0.35">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8.9" customHeight="1" x14ac:dyDescent="0.3"/>
    <row r="262" spans="2:37" ht="27" customHeight="1" x14ac:dyDescent="0.3"/>
    <row r="263" spans="2:37" ht="14" x14ac:dyDescent="0.3"/>
    <row r="264" spans="2:37" ht="14" x14ac:dyDescent="0.3"/>
    <row r="265" spans="2:37" ht="14" x14ac:dyDescent="0.3"/>
    <row r="266" spans="2:37" ht="14" x14ac:dyDescent="0.3"/>
    <row r="267" spans="2:37" ht="14" x14ac:dyDescent="0.3"/>
    <row r="268" spans="2:37" ht="14" x14ac:dyDescent="0.3"/>
    <row r="269" spans="2:37" ht="14" hidden="1" x14ac:dyDescent="0.3"/>
    <row r="270" spans="2:37" ht="14" hidden="1" x14ac:dyDescent="0.3"/>
    <row r="271" spans="2:37" ht="14" hidden="1" x14ac:dyDescent="0.3"/>
    <row r="272" spans="2:37" ht="14" hidden="1" x14ac:dyDescent="0.3"/>
    <row r="273" ht="14" hidden="1" x14ac:dyDescent="0.3"/>
    <row r="274" ht="14" hidden="1" x14ac:dyDescent="0.3"/>
    <row r="275" ht="14" hidden="1" x14ac:dyDescent="0.3"/>
    <row r="1048576" ht="14" x14ac:dyDescent="0.3"/>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3"/>
  <cols>
    <col min="1" max="1" width="2.81640625" style="31" customWidth="1"/>
    <col min="2" max="2" width="14.1796875" style="31" customWidth="1"/>
    <col min="3" max="3" width="51.1796875" style="31" customWidth="1"/>
    <col min="4" max="4" width="10.453125" style="31" customWidth="1"/>
    <col min="5" max="5" width="17.453125" style="31" customWidth="1"/>
    <col min="6" max="6" width="17.54296875" style="31" customWidth="1"/>
    <col min="7" max="7" width="18.1796875" style="31" customWidth="1"/>
    <col min="8" max="8" width="19.26953125" style="31" customWidth="1"/>
    <col min="9" max="9" width="34.54296875" style="31" customWidth="1"/>
    <col min="10" max="13" width="19.26953125" style="31" customWidth="1"/>
    <col min="14" max="14" width="56.81640625" style="31" customWidth="1"/>
    <col min="15" max="16" width="34.26953125" style="31" customWidth="1"/>
    <col min="17" max="17" width="9.7265625" style="31" customWidth="1"/>
    <col min="18" max="18" width="18.26953125" style="31" customWidth="1"/>
    <col min="19" max="19" width="13.1796875" style="31" customWidth="1"/>
    <col min="20" max="20" width="12.54296875" style="31" bestFit="1" customWidth="1"/>
    <col min="21" max="21" width="12.54296875" style="31" customWidth="1"/>
    <col min="22" max="22" width="33.7265625" style="31" customWidth="1"/>
    <col min="23" max="23" width="15.453125" style="31" customWidth="1"/>
    <col min="24" max="24" width="12.26953125" style="31" customWidth="1"/>
    <col min="25" max="25" width="18.453125" style="31" customWidth="1"/>
    <col min="26" max="26" width="20.453125" style="31" customWidth="1"/>
    <col min="27" max="27" width="23.1796875" style="31" customWidth="1"/>
    <col min="28" max="28" width="26.81640625" style="31" customWidth="1"/>
    <col min="29" max="29" width="18.453125" style="31" customWidth="1"/>
    <col min="30" max="30" width="15.26953125" style="31" customWidth="1"/>
    <col min="31" max="31" width="17.7265625" style="31" customWidth="1"/>
    <col min="32" max="32" width="27.1796875" style="31" customWidth="1"/>
    <col min="33" max="33" width="17.453125" style="31" customWidth="1"/>
    <col min="34" max="34" width="12.7265625" style="31" customWidth="1"/>
    <col min="35" max="35" width="16.7265625" style="31" customWidth="1"/>
    <col min="36" max="36" width="12.7265625" style="31" customWidth="1"/>
    <col min="37" max="37" width="19.54296875" style="31" customWidth="1"/>
    <col min="38" max="38" width="12.7265625" style="31" customWidth="1"/>
    <col min="39" max="39" width="24.7265625" style="31" customWidth="1"/>
    <col min="40" max="41" width="12.7265625" style="31" customWidth="1"/>
    <col min="42" max="42" width="42.1796875" style="31" customWidth="1"/>
    <col min="43" max="43" width="42.453125" style="31" customWidth="1"/>
    <col min="44" max="49" width="8.81640625" style="31" customWidth="1"/>
    <col min="50" max="50" width="8.81640625" style="31" hidden="1" customWidth="1"/>
    <col min="51" max="58" width="0" style="31" hidden="1" customWidth="1"/>
    <col min="59" max="16384" width="8.81640625" style="31" hidden="1"/>
  </cols>
  <sheetData>
    <row r="1" spans="2:50" ht="20.5" customHeight="1" thickBot="1" x14ac:dyDescent="0.35"/>
    <row r="2" spans="2:50" ht="27" customHeight="1" thickBot="1" x14ac:dyDescent="0.35">
      <c r="B2" s="743" t="str">
        <f>IF([2]Start!$F$12="","",[2]Start!$F$12)</f>
        <v/>
      </c>
      <c r="C2" s="745"/>
      <c r="R2" s="132"/>
      <c r="Y2" s="907" t="str">
        <f>IF(OR(COUNTIF($Y$12:Y259,"*30+*")&gt;0,COUNTIF($AC$12:AC259,"*30+*")&gt;0),"Note; Habitat selected has a time to target condition greater than 30 years. Non standard agreement may be required. ⚠","")</f>
        <v/>
      </c>
      <c r="Z2" s="907"/>
      <c r="AA2" s="907"/>
      <c r="AB2" s="907"/>
      <c r="AC2" s="907"/>
      <c r="AD2" s="907"/>
    </row>
    <row r="3" spans="2:50" ht="21" customHeight="1" x14ac:dyDescent="0.3">
      <c r="B3" s="1027" t="str">
        <f ca="1">MID(CELL("filename",A1),FIND("]",CELL("filename",A1))+1,256)</f>
        <v>F-3 Off Site River Enhancement</v>
      </c>
      <c r="C3" s="1028"/>
      <c r="Y3" s="907"/>
      <c r="Z3" s="907"/>
      <c r="AA3" s="907"/>
      <c r="AB3" s="907"/>
      <c r="AC3" s="907"/>
      <c r="AD3" s="907"/>
    </row>
    <row r="4" spans="2:50" ht="21" customHeight="1" thickBot="1" x14ac:dyDescent="0.35">
      <c r="B4" s="1029"/>
      <c r="C4" s="1030"/>
      <c r="Y4" s="907"/>
      <c r="Z4" s="907"/>
      <c r="AA4" s="907"/>
      <c r="AB4" s="907"/>
      <c r="AC4" s="907"/>
      <c r="AD4" s="907"/>
    </row>
    <row r="5" spans="2:50" ht="15.65" customHeight="1" x14ac:dyDescent="0.3">
      <c r="Q5" s="31" t="s">
        <v>340</v>
      </c>
      <c r="AH5" s="193"/>
      <c r="AI5" s="193"/>
      <c r="AJ5" s="193"/>
      <c r="AK5" s="193"/>
      <c r="AL5" s="193"/>
      <c r="AM5" s="193"/>
      <c r="AN5" s="193"/>
    </row>
    <row r="6" spans="2:50" ht="15" customHeight="1" x14ac:dyDescent="0.3"/>
    <row r="7" spans="2:50" ht="14" x14ac:dyDescent="0.3">
      <c r="C7" s="131"/>
    </row>
    <row r="8" spans="2:50" ht="14.5" thickBot="1" x14ac:dyDescent="0.35"/>
    <row r="9" spans="2:50" ht="14.5" thickBot="1" x14ac:dyDescent="0.35">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1"/>
      <c r="AN9" s="952"/>
      <c r="AO9" s="449"/>
    </row>
    <row r="10" spans="2:50" s="42" customFormat="1" ht="27" customHeight="1" thickBot="1" x14ac:dyDescent="0.35">
      <c r="C10" s="1005" t="s">
        <v>247</v>
      </c>
      <c r="D10" s="1011"/>
      <c r="E10" s="1011"/>
      <c r="F10" s="1011"/>
      <c r="G10" s="1011"/>
      <c r="H10" s="1011"/>
      <c r="I10" s="1011"/>
      <c r="J10" s="1011"/>
      <c r="K10" s="1011"/>
      <c r="L10" s="1011"/>
      <c r="M10" s="1011"/>
      <c r="N10" s="1033" t="s">
        <v>341</v>
      </c>
      <c r="O10" s="1031" t="s">
        <v>249</v>
      </c>
      <c r="P10" s="1032"/>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319</v>
      </c>
      <c r="AJ10" s="939"/>
      <c r="AK10" s="966" t="s">
        <v>320</v>
      </c>
      <c r="AL10" s="968"/>
      <c r="AM10" s="939" t="s">
        <v>283</v>
      </c>
      <c r="AN10" s="966"/>
      <c r="AO10" s="960" t="s">
        <v>329</v>
      </c>
      <c r="AP10" s="879" t="s">
        <v>196</v>
      </c>
      <c r="AQ10" s="877"/>
    </row>
    <row r="11" spans="2:50" ht="60" customHeight="1" thickBot="1" x14ac:dyDescent="0.35">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4"/>
      <c r="O11" s="367" t="s">
        <v>310</v>
      </c>
      <c r="P11" s="358" t="s">
        <v>311</v>
      </c>
      <c r="Q11" s="1035"/>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322</v>
      </c>
      <c r="AJ11" s="201" t="s">
        <v>323</v>
      </c>
      <c r="AK11" s="367" t="s">
        <v>322</v>
      </c>
      <c r="AL11" s="201" t="s">
        <v>323</v>
      </c>
      <c r="AM11" s="367" t="s">
        <v>339</v>
      </c>
      <c r="AN11" s="450" t="s">
        <v>323</v>
      </c>
      <c r="AO11" s="1026"/>
      <c r="AP11" s="141" t="s">
        <v>215</v>
      </c>
      <c r="AQ11" s="358" t="s">
        <v>216</v>
      </c>
      <c r="AX11" s="260" t="s">
        <v>200</v>
      </c>
    </row>
    <row r="12" spans="2:50" ht="14" x14ac:dyDescent="0.3">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4" x14ac:dyDescent="0.3">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4" x14ac:dyDescent="0.3">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4" x14ac:dyDescent="0.3">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4" x14ac:dyDescent="0.3">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4" x14ac:dyDescent="0.3">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4" x14ac:dyDescent="0.3">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4" x14ac:dyDescent="0.3">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4" x14ac:dyDescent="0.3">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4" x14ac:dyDescent="0.3">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4" x14ac:dyDescent="0.3">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4" x14ac:dyDescent="0.3">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4" x14ac:dyDescent="0.3">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4" x14ac:dyDescent="0.3">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4" x14ac:dyDescent="0.3">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4" x14ac:dyDescent="0.3">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4" x14ac:dyDescent="0.3">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4" x14ac:dyDescent="0.3">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4" x14ac:dyDescent="0.3">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4" x14ac:dyDescent="0.3">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4" x14ac:dyDescent="0.3">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4" x14ac:dyDescent="0.3">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4" x14ac:dyDescent="0.3">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4" x14ac:dyDescent="0.3">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4" x14ac:dyDescent="0.3">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4" x14ac:dyDescent="0.3">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4" x14ac:dyDescent="0.3">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4" x14ac:dyDescent="0.3">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4" x14ac:dyDescent="0.3">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4" x14ac:dyDescent="0.3">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4" x14ac:dyDescent="0.3">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4" x14ac:dyDescent="0.3">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4" x14ac:dyDescent="0.3">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4" x14ac:dyDescent="0.3">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4" x14ac:dyDescent="0.3">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4" x14ac:dyDescent="0.3">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4" x14ac:dyDescent="0.3">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4" x14ac:dyDescent="0.3">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4" x14ac:dyDescent="0.3">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4" x14ac:dyDescent="0.3">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4" x14ac:dyDescent="0.3">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4" x14ac:dyDescent="0.3">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4" x14ac:dyDescent="0.3">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4" x14ac:dyDescent="0.3">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4" x14ac:dyDescent="0.3">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4" x14ac:dyDescent="0.3">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4" x14ac:dyDescent="0.3">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4" x14ac:dyDescent="0.3">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4" x14ac:dyDescent="0.3">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4" x14ac:dyDescent="0.3">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4" x14ac:dyDescent="0.3">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4" x14ac:dyDescent="0.3">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4" x14ac:dyDescent="0.3">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4" x14ac:dyDescent="0.3">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4" x14ac:dyDescent="0.3">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4" x14ac:dyDescent="0.3">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4" x14ac:dyDescent="0.3">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4" x14ac:dyDescent="0.3">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4" x14ac:dyDescent="0.3">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4" x14ac:dyDescent="0.3">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4" x14ac:dyDescent="0.3">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4" x14ac:dyDescent="0.3">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4" x14ac:dyDescent="0.3">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4" x14ac:dyDescent="0.3">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4" x14ac:dyDescent="0.3">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4" x14ac:dyDescent="0.3">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4" x14ac:dyDescent="0.3">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4" x14ac:dyDescent="0.3">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4" x14ac:dyDescent="0.3">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4" x14ac:dyDescent="0.3">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4" x14ac:dyDescent="0.3">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4" x14ac:dyDescent="0.3">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4" x14ac:dyDescent="0.3">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4" x14ac:dyDescent="0.3">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4" x14ac:dyDescent="0.3">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4" x14ac:dyDescent="0.3">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4" x14ac:dyDescent="0.3">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4" x14ac:dyDescent="0.3">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4" x14ac:dyDescent="0.3">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4" x14ac:dyDescent="0.3">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4" x14ac:dyDescent="0.3">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4" x14ac:dyDescent="0.3">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4" x14ac:dyDescent="0.3">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4" x14ac:dyDescent="0.3">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4" x14ac:dyDescent="0.3">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4" x14ac:dyDescent="0.3">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4" x14ac:dyDescent="0.3">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4" x14ac:dyDescent="0.3">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4" x14ac:dyDescent="0.3">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4" x14ac:dyDescent="0.3">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4" x14ac:dyDescent="0.3">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4" x14ac:dyDescent="0.3">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4" x14ac:dyDescent="0.3">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4" x14ac:dyDescent="0.3">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4" x14ac:dyDescent="0.3">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4" x14ac:dyDescent="0.3">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4" x14ac:dyDescent="0.3">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4" x14ac:dyDescent="0.3">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4" x14ac:dyDescent="0.3">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4" x14ac:dyDescent="0.3">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4" x14ac:dyDescent="0.3">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4" x14ac:dyDescent="0.3">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4" x14ac:dyDescent="0.3">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4" x14ac:dyDescent="0.3">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4" x14ac:dyDescent="0.3">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4" x14ac:dyDescent="0.3">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4" x14ac:dyDescent="0.3">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4" x14ac:dyDescent="0.3">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4" x14ac:dyDescent="0.3">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4" x14ac:dyDescent="0.3">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4" x14ac:dyDescent="0.3">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4" x14ac:dyDescent="0.3">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4" x14ac:dyDescent="0.3">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4" x14ac:dyDescent="0.3">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4" x14ac:dyDescent="0.3">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4" x14ac:dyDescent="0.3">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4" x14ac:dyDescent="0.3">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4" x14ac:dyDescent="0.3">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4" x14ac:dyDescent="0.3">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4" x14ac:dyDescent="0.3">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4" x14ac:dyDescent="0.3">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4" x14ac:dyDescent="0.3">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4" x14ac:dyDescent="0.3">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4" x14ac:dyDescent="0.3">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4" x14ac:dyDescent="0.3">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4" x14ac:dyDescent="0.3">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4" x14ac:dyDescent="0.3">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4" x14ac:dyDescent="0.3">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4" x14ac:dyDescent="0.3">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4" x14ac:dyDescent="0.3">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4" x14ac:dyDescent="0.3">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4" x14ac:dyDescent="0.3">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4" x14ac:dyDescent="0.3">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4" x14ac:dyDescent="0.3">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4" x14ac:dyDescent="0.3">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4" x14ac:dyDescent="0.3">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4" x14ac:dyDescent="0.3">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4" x14ac:dyDescent="0.3">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4" x14ac:dyDescent="0.3">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4" x14ac:dyDescent="0.3">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4" x14ac:dyDescent="0.3">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4" x14ac:dyDescent="0.3">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4" x14ac:dyDescent="0.3">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4" x14ac:dyDescent="0.3">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4" x14ac:dyDescent="0.3">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4" x14ac:dyDescent="0.3">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4" x14ac:dyDescent="0.3">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4" x14ac:dyDescent="0.3">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4" x14ac:dyDescent="0.3">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4" x14ac:dyDescent="0.3">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4" x14ac:dyDescent="0.3">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4" x14ac:dyDescent="0.3">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4" x14ac:dyDescent="0.3">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4" x14ac:dyDescent="0.3">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4" x14ac:dyDescent="0.3">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4" x14ac:dyDescent="0.3">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4" x14ac:dyDescent="0.3">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4" x14ac:dyDescent="0.3">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4" x14ac:dyDescent="0.3">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4" x14ac:dyDescent="0.3">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4" x14ac:dyDescent="0.3">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4" x14ac:dyDescent="0.3">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4" x14ac:dyDescent="0.3">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4" x14ac:dyDescent="0.3">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4" x14ac:dyDescent="0.3">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4" x14ac:dyDescent="0.3">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4" x14ac:dyDescent="0.3">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4" x14ac:dyDescent="0.3">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4" x14ac:dyDescent="0.3">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4" x14ac:dyDescent="0.3">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4" x14ac:dyDescent="0.3">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4" x14ac:dyDescent="0.3">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4" x14ac:dyDescent="0.3">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4" x14ac:dyDescent="0.3">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4" x14ac:dyDescent="0.3">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4" x14ac:dyDescent="0.3">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4" x14ac:dyDescent="0.3">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4" x14ac:dyDescent="0.3">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4" x14ac:dyDescent="0.3">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4" x14ac:dyDescent="0.3">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4" x14ac:dyDescent="0.3">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4" x14ac:dyDescent="0.3">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4" x14ac:dyDescent="0.3">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4" x14ac:dyDescent="0.3">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4" x14ac:dyDescent="0.3">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4" x14ac:dyDescent="0.3">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4" x14ac:dyDescent="0.3">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4" x14ac:dyDescent="0.3">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4" x14ac:dyDescent="0.3">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4" x14ac:dyDescent="0.3">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4" x14ac:dyDescent="0.3">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4" x14ac:dyDescent="0.3">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4" x14ac:dyDescent="0.3">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4" x14ac:dyDescent="0.3">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4" x14ac:dyDescent="0.3">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4" x14ac:dyDescent="0.3">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4" x14ac:dyDescent="0.3">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4" x14ac:dyDescent="0.3">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4" x14ac:dyDescent="0.3">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4" x14ac:dyDescent="0.3">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4" x14ac:dyDescent="0.3">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4" x14ac:dyDescent="0.3">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4" x14ac:dyDescent="0.3">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4" x14ac:dyDescent="0.3">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4" x14ac:dyDescent="0.3">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4" x14ac:dyDescent="0.3">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4" x14ac:dyDescent="0.3">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4" x14ac:dyDescent="0.3">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4" x14ac:dyDescent="0.3">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4" x14ac:dyDescent="0.3">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4" x14ac:dyDescent="0.3">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4" x14ac:dyDescent="0.3">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4" x14ac:dyDescent="0.3">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4" x14ac:dyDescent="0.3">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4" x14ac:dyDescent="0.3">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4" x14ac:dyDescent="0.3">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4" x14ac:dyDescent="0.3">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4" x14ac:dyDescent="0.3">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4" x14ac:dyDescent="0.3">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4" x14ac:dyDescent="0.3">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4" x14ac:dyDescent="0.3">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4" x14ac:dyDescent="0.3">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4" x14ac:dyDescent="0.3">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4" x14ac:dyDescent="0.3">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4" x14ac:dyDescent="0.3">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4" x14ac:dyDescent="0.3">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4" x14ac:dyDescent="0.3">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4" x14ac:dyDescent="0.3">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4" x14ac:dyDescent="0.3">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4" x14ac:dyDescent="0.3">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4" x14ac:dyDescent="0.3">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4" x14ac:dyDescent="0.3">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4" x14ac:dyDescent="0.3">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4" x14ac:dyDescent="0.3">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4" x14ac:dyDescent="0.3">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4" x14ac:dyDescent="0.3">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4" x14ac:dyDescent="0.3">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4" x14ac:dyDescent="0.3">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4" x14ac:dyDescent="0.3">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4" x14ac:dyDescent="0.3">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4" x14ac:dyDescent="0.3">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4" x14ac:dyDescent="0.3">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4" x14ac:dyDescent="0.3">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4" x14ac:dyDescent="0.3">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4" x14ac:dyDescent="0.3">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4.5" thickBot="1" x14ac:dyDescent="0.35">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4.5" thickBot="1" x14ac:dyDescent="0.35">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4" x14ac:dyDescent="0.3">
      <c r="AJ259" s="31" t="str">
        <f>IF(AI259="","",IF(VLOOKUP(AI259,'[2]G-7 Rivers Data'!$AA$4:$AB$6,2,FALSE)=0,"Spatial Data Missing",VLOOKUP(AI259,'[2]G-7 Rivers Data'!$AA$4:$AB$6,2,FALSE)))</f>
        <v/>
      </c>
      <c r="AM259" s="40"/>
    </row>
    <row r="260" spans="2:50" ht="14" x14ac:dyDescent="0.3"/>
    <row r="261" spans="2:50" ht="14" x14ac:dyDescent="0.3"/>
    <row r="262" spans="2:50" ht="14" x14ac:dyDescent="0.3"/>
    <row r="263" spans="2:50" ht="14" x14ac:dyDescent="0.3"/>
    <row r="264" spans="2:50" ht="14" x14ac:dyDescent="0.3"/>
    <row r="265" spans="2:50" ht="14" x14ac:dyDescent="0.3"/>
    <row r="266" spans="2:50" ht="14" x14ac:dyDescent="0.3"/>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 ref="T10:U10"/>
    <mergeCell ref="AM258:AN258"/>
    <mergeCell ref="N9:AN9"/>
    <mergeCell ref="AP10:AQ10"/>
    <mergeCell ref="AO10:AO11"/>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defaultColWidth="4.1796875" defaultRowHeight="14" zeroHeight="1" x14ac:dyDescent="0.3"/>
  <cols>
    <col min="1" max="1" width="30.453125" style="31" customWidth="1"/>
    <col min="2" max="2" width="77" style="31" bestFit="1" customWidth="1"/>
    <col min="3" max="3" width="26.26953125" style="31" bestFit="1" customWidth="1"/>
    <col min="4" max="4" width="13.7265625" style="31" bestFit="1" customWidth="1"/>
    <col min="5" max="5" width="19.81640625" style="31" bestFit="1" customWidth="1"/>
    <col min="6" max="6" width="25.26953125" style="31" bestFit="1" customWidth="1"/>
    <col min="7" max="7" width="19.81640625" style="31" bestFit="1" customWidth="1"/>
    <col min="8" max="8" width="82.1796875" style="31" bestFit="1" customWidth="1"/>
    <col min="9" max="9" width="26.1796875" style="31" customWidth="1"/>
    <col min="10" max="10" width="60.54296875" style="31" bestFit="1" customWidth="1"/>
    <col min="11" max="11" width="21.1796875" style="31" bestFit="1" customWidth="1"/>
    <col min="12" max="12" width="28.26953125" style="31" bestFit="1" customWidth="1"/>
    <col min="13" max="13" width="66" style="31" customWidth="1"/>
    <col min="14" max="14" width="27.453125" style="31" bestFit="1" customWidth="1"/>
    <col min="15" max="15" width="16.453125" style="31" bestFit="1" customWidth="1"/>
    <col min="16" max="16" width="27.453125" style="31" bestFit="1" customWidth="1"/>
    <col min="17" max="17" width="16.453125" style="31" bestFit="1" customWidth="1"/>
    <col min="18" max="18" width="28.453125" style="42" bestFit="1" customWidth="1"/>
    <col min="19" max="19" width="30.1796875" style="31" bestFit="1" customWidth="1"/>
    <col min="20" max="23" width="26.1796875" style="31" customWidth="1"/>
    <col min="24" max="24" width="30.1796875" style="31" customWidth="1"/>
    <col min="25" max="27" width="26.1796875" style="31" customWidth="1"/>
    <col min="28" max="33" width="31.26953125" style="31" customWidth="1"/>
    <col min="34" max="16383" width="4.1796875" style="31"/>
    <col min="16384" max="16384" width="2.26953125" style="31" hidden="1" customWidth="1"/>
  </cols>
  <sheetData>
    <row r="1" spans="1:33" ht="57.65" customHeight="1" x14ac:dyDescent="0.45">
      <c r="D1" s="1039" t="s">
        <v>342</v>
      </c>
      <c r="E1" s="1039"/>
      <c r="F1" s="1039"/>
      <c r="G1" s="211"/>
      <c r="H1" s="211"/>
      <c r="I1" s="211"/>
      <c r="J1" s="211"/>
      <c r="V1" s="954" t="s">
        <v>343</v>
      </c>
      <c r="W1" s="1036"/>
      <c r="X1" s="956"/>
      <c r="Z1" s="954" t="s">
        <v>344</v>
      </c>
      <c r="AA1" s="956"/>
      <c r="AF1" s="1037" t="s">
        <v>345</v>
      </c>
      <c r="AG1" s="1037" t="s">
        <v>346</v>
      </c>
    </row>
    <row r="2" spans="1:33" s="117" customFormat="1" ht="41.5" customHeight="1" x14ac:dyDescent="0.3">
      <c r="B2" s="103" t="s">
        <v>347</v>
      </c>
      <c r="C2" s="212" t="s">
        <v>348</v>
      </c>
      <c r="D2" s="212" t="s">
        <v>349</v>
      </c>
      <c r="E2" s="212" t="s">
        <v>350</v>
      </c>
      <c r="F2" s="212" t="s">
        <v>351</v>
      </c>
      <c r="G2" s="212" t="s">
        <v>352</v>
      </c>
      <c r="H2" s="212" t="s">
        <v>353</v>
      </c>
      <c r="I2" s="212" t="s">
        <v>354</v>
      </c>
      <c r="J2" s="212" t="s">
        <v>355</v>
      </c>
      <c r="K2" s="212" t="s">
        <v>356</v>
      </c>
      <c r="L2" s="212" t="s">
        <v>357</v>
      </c>
      <c r="M2" s="212" t="s">
        <v>358</v>
      </c>
      <c r="N2" s="213" t="s">
        <v>359</v>
      </c>
      <c r="O2" s="213" t="s">
        <v>323</v>
      </c>
      <c r="P2" s="213" t="s">
        <v>360</v>
      </c>
      <c r="Q2" s="213" t="s">
        <v>323</v>
      </c>
      <c r="R2" s="213" t="s">
        <v>361</v>
      </c>
      <c r="S2" s="213" t="s">
        <v>362</v>
      </c>
      <c r="T2" s="31"/>
      <c r="U2" s="31"/>
      <c r="V2" s="103" t="s">
        <v>363</v>
      </c>
      <c r="W2" s="103" t="s">
        <v>364</v>
      </c>
      <c r="X2" s="103" t="s">
        <v>365</v>
      </c>
      <c r="Y2" s="31"/>
      <c r="Z2" s="103" t="s">
        <v>366</v>
      </c>
      <c r="AA2" s="103" t="s">
        <v>367</v>
      </c>
      <c r="AB2" s="31"/>
      <c r="AC2" s="31"/>
      <c r="AD2" s="103" t="s">
        <v>368</v>
      </c>
      <c r="AE2" s="31"/>
      <c r="AF2" s="1038"/>
      <c r="AG2" s="1038"/>
    </row>
    <row r="3" spans="1:33" ht="28" x14ac:dyDescent="0.3">
      <c r="A3" s="215" t="s">
        <v>369</v>
      </c>
      <c r="B3" s="119" t="s">
        <v>370</v>
      </c>
      <c r="C3" s="570" t="s">
        <v>371</v>
      </c>
      <c r="D3" s="543" t="s">
        <v>372</v>
      </c>
      <c r="E3" s="543"/>
      <c r="F3" s="519" t="s">
        <v>69</v>
      </c>
      <c r="G3" s="543"/>
      <c r="H3" s="519" t="s">
        <v>373</v>
      </c>
      <c r="I3" s="543"/>
      <c r="J3" s="543" t="s">
        <v>374</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375</v>
      </c>
      <c r="W3" s="543">
        <v>8</v>
      </c>
      <c r="X3" s="621" t="s">
        <v>376</v>
      </c>
      <c r="Z3" s="543" t="s">
        <v>21</v>
      </c>
      <c r="AA3" s="543">
        <v>3</v>
      </c>
      <c r="AD3" s="214" t="s">
        <v>377</v>
      </c>
      <c r="AF3" s="216" t="s">
        <v>69</v>
      </c>
      <c r="AG3" s="216" t="s">
        <v>69</v>
      </c>
    </row>
    <row r="4" spans="1:33" x14ac:dyDescent="0.3">
      <c r="A4" s="215" t="s">
        <v>378</v>
      </c>
      <c r="B4" s="119" t="s">
        <v>379</v>
      </c>
      <c r="C4" s="570" t="s">
        <v>380</v>
      </c>
      <c r="D4" s="543" t="s">
        <v>372</v>
      </c>
      <c r="E4" s="543"/>
      <c r="F4" s="519" t="s">
        <v>69</v>
      </c>
      <c r="G4" s="543"/>
      <c r="H4" s="519" t="s">
        <v>373</v>
      </c>
      <c r="I4" s="543"/>
      <c r="J4" s="543" t="s">
        <v>374</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381</v>
      </c>
      <c r="Z4" s="543" t="s">
        <v>382</v>
      </c>
      <c r="AA4" s="543">
        <v>2.5</v>
      </c>
      <c r="AD4" s="214" t="s">
        <v>383</v>
      </c>
      <c r="AF4" s="216" t="s">
        <v>70</v>
      </c>
      <c r="AG4" s="216" t="s">
        <v>70</v>
      </c>
    </row>
    <row r="5" spans="1:33" ht="42" x14ac:dyDescent="0.3">
      <c r="A5" s="215" t="s">
        <v>384</v>
      </c>
      <c r="B5" s="119" t="s">
        <v>385</v>
      </c>
      <c r="C5" s="570" t="s">
        <v>386</v>
      </c>
      <c r="D5" s="543" t="s">
        <v>372</v>
      </c>
      <c r="E5" s="543"/>
      <c r="F5" s="519" t="s">
        <v>69</v>
      </c>
      <c r="G5" s="543"/>
      <c r="H5" s="519" t="s">
        <v>373</v>
      </c>
      <c r="I5" s="543"/>
      <c r="J5" s="543" t="s">
        <v>374</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387</v>
      </c>
    </row>
    <row r="6" spans="1:33" ht="28" x14ac:dyDescent="0.3">
      <c r="A6" s="215" t="s">
        <v>388</v>
      </c>
      <c r="B6" s="119" t="s">
        <v>389</v>
      </c>
      <c r="C6" s="543" t="s">
        <v>390</v>
      </c>
      <c r="D6" s="543" t="s">
        <v>372</v>
      </c>
      <c r="E6" s="543" t="s">
        <v>391</v>
      </c>
      <c r="F6" s="519" t="s">
        <v>69</v>
      </c>
      <c r="G6" s="543" t="s">
        <v>392</v>
      </c>
      <c r="H6" s="519" t="s">
        <v>373</v>
      </c>
      <c r="I6" s="543" t="s">
        <v>390</v>
      </c>
      <c r="J6" s="543" t="s">
        <v>374</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393</v>
      </c>
      <c r="AA6" s="543">
        <v>1.5</v>
      </c>
      <c r="AF6" s="216" t="s">
        <v>72</v>
      </c>
      <c r="AG6" s="216" t="s">
        <v>72</v>
      </c>
    </row>
    <row r="7" spans="1:33" x14ac:dyDescent="0.3">
      <c r="A7" s="215" t="s">
        <v>394</v>
      </c>
      <c r="B7" s="119" t="s">
        <v>395</v>
      </c>
      <c r="C7" s="543" t="s">
        <v>396</v>
      </c>
      <c r="D7" s="543" t="s">
        <v>372</v>
      </c>
      <c r="E7" s="543"/>
      <c r="F7" s="519" t="s">
        <v>69</v>
      </c>
      <c r="G7" s="543"/>
      <c r="H7" s="519" t="s">
        <v>373</v>
      </c>
      <c r="I7" s="543" t="s">
        <v>396</v>
      </c>
      <c r="J7" s="543" t="s">
        <v>394</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397</v>
      </c>
      <c r="W7" s="543">
        <v>0</v>
      </c>
      <c r="X7" s="625" t="s">
        <v>398</v>
      </c>
      <c r="Z7" s="543" t="s">
        <v>242</v>
      </c>
      <c r="AA7" s="543">
        <v>1</v>
      </c>
      <c r="AF7" s="216" t="s">
        <v>73</v>
      </c>
      <c r="AG7" s="216" t="s">
        <v>399</v>
      </c>
    </row>
    <row r="8" spans="1:33" x14ac:dyDescent="0.3">
      <c r="A8" s="215" t="s">
        <v>400</v>
      </c>
      <c r="B8" s="119" t="s">
        <v>401</v>
      </c>
      <c r="C8" s="570" t="s">
        <v>402</v>
      </c>
      <c r="D8" s="543" t="s">
        <v>372</v>
      </c>
      <c r="E8" s="543"/>
      <c r="F8" s="519" t="s">
        <v>69</v>
      </c>
      <c r="G8" s="543"/>
      <c r="H8" s="519" t="s">
        <v>373</v>
      </c>
      <c r="I8" s="543"/>
      <c r="J8" s="543" t="s">
        <v>394</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403</v>
      </c>
      <c r="AA8" s="543">
        <v>1</v>
      </c>
      <c r="AF8" s="653" t="s">
        <v>74</v>
      </c>
      <c r="AG8" s="653" t="s">
        <v>74</v>
      </c>
    </row>
    <row r="9" spans="1:33" x14ac:dyDescent="0.3">
      <c r="A9" s="215" t="s">
        <v>404</v>
      </c>
      <c r="B9" s="119" t="s">
        <v>405</v>
      </c>
      <c r="C9" s="543" t="s">
        <v>406</v>
      </c>
      <c r="D9" s="543" t="s">
        <v>372</v>
      </c>
      <c r="E9" s="543"/>
      <c r="F9" s="519" t="s">
        <v>69</v>
      </c>
      <c r="G9" s="543"/>
      <c r="H9" s="519" t="s">
        <v>373</v>
      </c>
      <c r="I9" s="543" t="s">
        <v>406</v>
      </c>
      <c r="J9" s="543" t="s">
        <v>404</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407</v>
      </c>
      <c r="AA9" s="543">
        <v>0</v>
      </c>
      <c r="AF9" s="216" t="s">
        <v>75</v>
      </c>
      <c r="AG9" s="216" t="s">
        <v>75</v>
      </c>
    </row>
    <row r="10" spans="1:33" x14ac:dyDescent="0.3">
      <c r="A10" s="215" t="s">
        <v>408</v>
      </c>
      <c r="B10" s="119" t="s">
        <v>409</v>
      </c>
      <c r="C10" s="543" t="s">
        <v>410</v>
      </c>
      <c r="D10" s="543" t="s">
        <v>372</v>
      </c>
      <c r="E10" s="543"/>
      <c r="F10" s="519" t="s">
        <v>69</v>
      </c>
      <c r="G10" s="543"/>
      <c r="H10" s="519" t="s">
        <v>373</v>
      </c>
      <c r="I10" s="543" t="s">
        <v>410</v>
      </c>
      <c r="J10" s="543" t="s">
        <v>408</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411</v>
      </c>
    </row>
    <row r="11" spans="1:33" x14ac:dyDescent="0.3">
      <c r="A11" s="215" t="s">
        <v>412</v>
      </c>
      <c r="B11" s="119" t="s">
        <v>413</v>
      </c>
      <c r="C11" s="543" t="s">
        <v>414</v>
      </c>
      <c r="D11" s="543" t="s">
        <v>372</v>
      </c>
      <c r="E11" s="543"/>
      <c r="F11" s="519" t="s">
        <v>69</v>
      </c>
      <c r="G11" s="543"/>
      <c r="H11" s="519" t="s">
        <v>373</v>
      </c>
      <c r="I11" s="543" t="s">
        <v>414</v>
      </c>
      <c r="J11" s="543" t="s">
        <v>412</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415</v>
      </c>
    </row>
    <row r="12" spans="1:33" ht="14.5" thickBot="1" x14ac:dyDescent="0.35">
      <c r="A12" s="215" t="s">
        <v>416</v>
      </c>
      <c r="B12" s="217" t="s">
        <v>417</v>
      </c>
      <c r="C12" s="525" t="s">
        <v>418</v>
      </c>
      <c r="D12" s="525" t="s">
        <v>372</v>
      </c>
      <c r="E12" s="525"/>
      <c r="F12" s="507" t="s">
        <v>69</v>
      </c>
      <c r="G12" s="525"/>
      <c r="H12" s="507" t="s">
        <v>373</v>
      </c>
      <c r="I12" s="525" t="s">
        <v>418</v>
      </c>
      <c r="J12" s="525" t="s">
        <v>416</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419</v>
      </c>
    </row>
    <row r="13" spans="1:33" x14ac:dyDescent="0.3">
      <c r="A13" s="215" t="s">
        <v>420</v>
      </c>
      <c r="B13" s="218" t="s">
        <v>421</v>
      </c>
      <c r="C13" s="520">
        <v>21</v>
      </c>
      <c r="D13" s="520" t="s">
        <v>372</v>
      </c>
      <c r="E13" s="520"/>
      <c r="F13" s="519" t="s">
        <v>70</v>
      </c>
      <c r="G13" s="520"/>
      <c r="H13" s="506" t="s">
        <v>420</v>
      </c>
      <c r="I13" s="520"/>
      <c r="J13" s="520" t="s">
        <v>420</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422</v>
      </c>
    </row>
    <row r="14" spans="1:33" x14ac:dyDescent="0.3">
      <c r="A14" s="215" t="s">
        <v>423</v>
      </c>
      <c r="B14" s="119" t="s">
        <v>424</v>
      </c>
      <c r="C14" s="543" t="s">
        <v>425</v>
      </c>
      <c r="D14" s="543" t="s">
        <v>372</v>
      </c>
      <c r="E14" s="543"/>
      <c r="F14" s="519" t="s">
        <v>70</v>
      </c>
      <c r="G14" s="543"/>
      <c r="H14" s="519" t="s">
        <v>426</v>
      </c>
      <c r="I14" s="543" t="s">
        <v>425</v>
      </c>
      <c r="J14" s="543" t="s">
        <v>423</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427</v>
      </c>
    </row>
    <row r="15" spans="1:33" x14ac:dyDescent="0.3">
      <c r="A15" s="215" t="s">
        <v>428</v>
      </c>
      <c r="B15" s="119" t="s">
        <v>429</v>
      </c>
      <c r="C15" s="543" t="s">
        <v>430</v>
      </c>
      <c r="D15" s="543" t="s">
        <v>372</v>
      </c>
      <c r="E15" s="543"/>
      <c r="F15" s="519" t="s">
        <v>70</v>
      </c>
      <c r="G15" s="543"/>
      <c r="H15" s="519" t="s">
        <v>431</v>
      </c>
      <c r="I15" s="543"/>
      <c r="J15" s="543" t="s">
        <v>431</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432</v>
      </c>
    </row>
    <row r="16" spans="1:33" x14ac:dyDescent="0.3">
      <c r="A16" s="215" t="s">
        <v>433</v>
      </c>
      <c r="B16" s="119" t="s">
        <v>434</v>
      </c>
      <c r="C16" s="543" t="s">
        <v>435</v>
      </c>
      <c r="D16" s="543" t="s">
        <v>372</v>
      </c>
      <c r="E16" s="543"/>
      <c r="F16" s="519" t="s">
        <v>70</v>
      </c>
      <c r="G16" s="543" t="s">
        <v>436</v>
      </c>
      <c r="H16" s="519" t="s">
        <v>437</v>
      </c>
      <c r="I16" s="543" t="s">
        <v>435</v>
      </c>
      <c r="J16" s="571" t="s">
        <v>433</v>
      </c>
      <c r="K16" s="543" t="s">
        <v>153</v>
      </c>
      <c r="L16" s="543">
        <f t="shared" si="4"/>
        <v>6</v>
      </c>
      <c r="M16" s="543" t="str">
        <f t="shared" si="3"/>
        <v>Same habitat required =</v>
      </c>
      <c r="N16" s="543" t="s">
        <v>153</v>
      </c>
      <c r="O16" s="543">
        <f t="shared" si="1"/>
        <v>0.33</v>
      </c>
      <c r="P16" s="543" t="s">
        <v>153</v>
      </c>
      <c r="Q16" s="543">
        <f t="shared" si="2"/>
        <v>0.33</v>
      </c>
      <c r="R16" s="519"/>
      <c r="S16" s="543"/>
    </row>
    <row r="17" spans="1:19" x14ac:dyDescent="0.3">
      <c r="A17" s="215" t="s">
        <v>438</v>
      </c>
      <c r="B17" s="119" t="s">
        <v>439</v>
      </c>
      <c r="C17" s="543" t="s">
        <v>440</v>
      </c>
      <c r="D17" s="543" t="s">
        <v>372</v>
      </c>
      <c r="E17" s="543" t="s">
        <v>441</v>
      </c>
      <c r="F17" s="519" t="s">
        <v>70</v>
      </c>
      <c r="G17" s="543" t="s">
        <v>442</v>
      </c>
      <c r="H17" s="519" t="s">
        <v>426</v>
      </c>
      <c r="I17" s="543" t="s">
        <v>440</v>
      </c>
      <c r="J17" s="571" t="s">
        <v>438</v>
      </c>
      <c r="K17" s="543" t="s">
        <v>375</v>
      </c>
      <c r="L17" s="543">
        <f t="shared" si="4"/>
        <v>8</v>
      </c>
      <c r="M17" s="543" t="str">
        <f t="shared" si="3"/>
        <v>Bespoke compensation likely to be required 🛠</v>
      </c>
      <c r="N17" s="543" t="s">
        <v>153</v>
      </c>
      <c r="O17" s="543">
        <f t="shared" si="1"/>
        <v>0.33</v>
      </c>
      <c r="P17" s="543" t="s">
        <v>153</v>
      </c>
      <c r="Q17" s="543">
        <f t="shared" si="2"/>
        <v>0.33</v>
      </c>
      <c r="R17" s="519"/>
      <c r="S17" s="543"/>
    </row>
    <row r="18" spans="1:19" x14ac:dyDescent="0.3">
      <c r="A18" s="215" t="s">
        <v>443</v>
      </c>
      <c r="B18" s="119" t="s">
        <v>444</v>
      </c>
      <c r="C18" s="543" t="s">
        <v>445</v>
      </c>
      <c r="D18" s="543" t="s">
        <v>372</v>
      </c>
      <c r="E18" s="543"/>
      <c r="F18" s="519" t="s">
        <v>70</v>
      </c>
      <c r="G18" s="543" t="s">
        <v>446</v>
      </c>
      <c r="H18" s="519" t="s">
        <v>447</v>
      </c>
      <c r="I18" s="543" t="s">
        <v>445</v>
      </c>
      <c r="J18" s="571" t="s">
        <v>443</v>
      </c>
      <c r="K18" s="543" t="s">
        <v>375</v>
      </c>
      <c r="L18" s="543">
        <f t="shared" si="4"/>
        <v>8</v>
      </c>
      <c r="M18" s="543" t="str">
        <f t="shared" si="3"/>
        <v>Bespoke compensation likely to be required 🛠</v>
      </c>
      <c r="N18" s="543" t="s">
        <v>153</v>
      </c>
      <c r="O18" s="543">
        <f t="shared" si="1"/>
        <v>0.33</v>
      </c>
      <c r="P18" s="543" t="s">
        <v>23</v>
      </c>
      <c r="Q18" s="543">
        <f t="shared" si="2"/>
        <v>0.67</v>
      </c>
      <c r="R18" s="519"/>
      <c r="S18" s="543"/>
    </row>
    <row r="19" spans="1:19" x14ac:dyDescent="0.3">
      <c r="A19" s="215" t="s">
        <v>448</v>
      </c>
      <c r="B19" s="119" t="s">
        <v>449</v>
      </c>
      <c r="C19" s="543" t="s">
        <v>450</v>
      </c>
      <c r="D19" s="543" t="s">
        <v>372</v>
      </c>
      <c r="E19" s="543"/>
      <c r="F19" s="519" t="s">
        <v>70</v>
      </c>
      <c r="G19" s="543" t="s">
        <v>450</v>
      </c>
      <c r="H19" s="519" t="s">
        <v>448</v>
      </c>
      <c r="I19" s="519" t="s">
        <v>451</v>
      </c>
      <c r="J19" s="572" t="s">
        <v>448</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x14ac:dyDescent="0.3">
      <c r="A20" s="215" t="s">
        <v>452</v>
      </c>
      <c r="B20" s="119" t="s">
        <v>453</v>
      </c>
      <c r="C20" s="543" t="s">
        <v>454</v>
      </c>
      <c r="D20" s="543" t="s">
        <v>372</v>
      </c>
      <c r="E20" s="543"/>
      <c r="F20" s="519" t="s">
        <v>70</v>
      </c>
      <c r="G20" s="543"/>
      <c r="H20" s="519" t="s">
        <v>426</v>
      </c>
      <c r="I20" s="543" t="s">
        <v>454</v>
      </c>
      <c r="J20" s="543" t="s">
        <v>452</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x14ac:dyDescent="0.3">
      <c r="A21" s="215" t="s">
        <v>455</v>
      </c>
      <c r="B21" s="119" t="s">
        <v>456</v>
      </c>
      <c r="C21" s="543" t="s">
        <v>457</v>
      </c>
      <c r="D21" s="543" t="s">
        <v>372</v>
      </c>
      <c r="E21" s="543"/>
      <c r="F21" s="519" t="s">
        <v>70</v>
      </c>
      <c r="G21" s="543"/>
      <c r="H21" s="519" t="s">
        <v>447</v>
      </c>
      <c r="I21" s="543" t="s">
        <v>457</v>
      </c>
      <c r="J21" s="543" t="s">
        <v>455</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x14ac:dyDescent="0.3">
      <c r="A22" s="215" t="s">
        <v>458</v>
      </c>
      <c r="B22" s="119" t="s">
        <v>459</v>
      </c>
      <c r="C22" s="543" t="s">
        <v>460</v>
      </c>
      <c r="D22" s="543" t="s">
        <v>372</v>
      </c>
      <c r="E22" s="543"/>
      <c r="F22" s="519" t="s">
        <v>70</v>
      </c>
      <c r="G22" s="543" t="s">
        <v>461</v>
      </c>
      <c r="H22" s="519" t="s">
        <v>462</v>
      </c>
      <c r="I22" s="519"/>
      <c r="J22" s="543" t="s">
        <v>458</v>
      </c>
      <c r="K22" s="543" t="s">
        <v>153</v>
      </c>
      <c r="L22" s="543">
        <f t="shared" si="4"/>
        <v>6</v>
      </c>
      <c r="M22" s="543" t="str">
        <f t="shared" si="3"/>
        <v>Same habitat required =</v>
      </c>
      <c r="N22" s="543" t="s">
        <v>153</v>
      </c>
      <c r="O22" s="543">
        <f t="shared" si="1"/>
        <v>0.33</v>
      </c>
      <c r="P22" s="543" t="s">
        <v>153</v>
      </c>
      <c r="Q22" s="543">
        <f t="shared" si="2"/>
        <v>0.33</v>
      </c>
      <c r="R22" s="519"/>
      <c r="S22" s="543"/>
    </row>
    <row r="23" spans="1:19" x14ac:dyDescent="0.3">
      <c r="A23" s="215" t="s">
        <v>463</v>
      </c>
      <c r="B23" s="119" t="s">
        <v>464</v>
      </c>
      <c r="C23" s="543" t="s">
        <v>465</v>
      </c>
      <c r="D23" s="543" t="s">
        <v>372</v>
      </c>
      <c r="E23" s="543"/>
      <c r="F23" s="519" t="s">
        <v>70</v>
      </c>
      <c r="G23" s="543"/>
      <c r="H23" s="519" t="s">
        <v>426</v>
      </c>
      <c r="I23" s="543" t="s">
        <v>465</v>
      </c>
      <c r="J23" s="571" t="s">
        <v>463</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x14ac:dyDescent="0.3">
      <c r="A24" s="215" t="s">
        <v>466</v>
      </c>
      <c r="B24" s="119" t="s">
        <v>467</v>
      </c>
      <c r="C24" s="543" t="s">
        <v>468</v>
      </c>
      <c r="D24" s="543" t="s">
        <v>372</v>
      </c>
      <c r="E24" s="543"/>
      <c r="F24" s="519" t="s">
        <v>70</v>
      </c>
      <c r="G24" s="543"/>
      <c r="H24" s="519" t="s">
        <v>437</v>
      </c>
      <c r="I24" s="543" t="s">
        <v>468</v>
      </c>
      <c r="J24" s="571" t="s">
        <v>466</v>
      </c>
      <c r="K24" s="543" t="s">
        <v>153</v>
      </c>
      <c r="L24" s="543">
        <f t="shared" si="4"/>
        <v>6</v>
      </c>
      <c r="M24" s="543" t="str">
        <f t="shared" si="3"/>
        <v>Same habitat required =</v>
      </c>
      <c r="N24" s="543" t="s">
        <v>153</v>
      </c>
      <c r="O24" s="543">
        <f t="shared" si="1"/>
        <v>0.33</v>
      </c>
      <c r="P24" s="543" t="s">
        <v>153</v>
      </c>
      <c r="Q24" s="543">
        <f t="shared" si="2"/>
        <v>0.33</v>
      </c>
      <c r="R24" s="519"/>
      <c r="S24" s="543"/>
    </row>
    <row r="25" spans="1:19" ht="14.5" thickBot="1" x14ac:dyDescent="0.35">
      <c r="A25" s="215" t="s">
        <v>469</v>
      </c>
      <c r="B25" s="217" t="s">
        <v>470</v>
      </c>
      <c r="C25" s="525" t="s">
        <v>471</v>
      </c>
      <c r="D25" s="525" t="s">
        <v>372</v>
      </c>
      <c r="E25" s="525"/>
      <c r="F25" s="507" t="s">
        <v>70</v>
      </c>
      <c r="G25" s="525"/>
      <c r="H25" s="507" t="s">
        <v>447</v>
      </c>
      <c r="I25" s="525" t="s">
        <v>471</v>
      </c>
      <c r="J25" s="574" t="s">
        <v>469</v>
      </c>
      <c r="K25" s="525" t="s">
        <v>375</v>
      </c>
      <c r="L25" s="525">
        <f t="shared" si="4"/>
        <v>8</v>
      </c>
      <c r="M25" s="525" t="str">
        <f t="shared" si="3"/>
        <v>Bespoke compensation likely to be required 🛠</v>
      </c>
      <c r="N25" s="525" t="s">
        <v>153</v>
      </c>
      <c r="O25" s="525">
        <f t="shared" si="1"/>
        <v>0.33</v>
      </c>
      <c r="P25" s="525" t="s">
        <v>23</v>
      </c>
      <c r="Q25" s="525">
        <f t="shared" si="2"/>
        <v>0.67</v>
      </c>
      <c r="R25" s="507"/>
      <c r="S25" s="525"/>
    </row>
    <row r="26" spans="1:19" x14ac:dyDescent="0.3">
      <c r="A26" s="215" t="s">
        <v>472</v>
      </c>
      <c r="B26" s="218" t="s">
        <v>473</v>
      </c>
      <c r="C26" s="520" t="s">
        <v>474</v>
      </c>
      <c r="D26" s="520" t="s">
        <v>372</v>
      </c>
      <c r="E26" s="520"/>
      <c r="F26" s="506" t="s">
        <v>71</v>
      </c>
      <c r="G26" s="520" t="s">
        <v>475</v>
      </c>
      <c r="H26" s="506" t="s">
        <v>476</v>
      </c>
      <c r="I26" s="520" t="s">
        <v>474</v>
      </c>
      <c r="J26" s="520" t="s">
        <v>472</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x14ac:dyDescent="0.3">
      <c r="A27" s="215" t="s">
        <v>477</v>
      </c>
      <c r="B27" s="119" t="s">
        <v>478</v>
      </c>
      <c r="C27" s="543" t="s">
        <v>479</v>
      </c>
      <c r="D27" s="543" t="s">
        <v>372</v>
      </c>
      <c r="E27" s="543"/>
      <c r="F27" s="519" t="s">
        <v>71</v>
      </c>
      <c r="G27" s="543"/>
      <c r="H27" s="519" t="s">
        <v>476</v>
      </c>
      <c r="I27" s="543" t="s">
        <v>479</v>
      </c>
      <c r="J27" s="543" t="s">
        <v>477</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x14ac:dyDescent="0.3">
      <c r="A28" s="215" t="s">
        <v>480</v>
      </c>
      <c r="B28" s="119" t="s">
        <v>481</v>
      </c>
      <c r="C28" s="543" t="s">
        <v>482</v>
      </c>
      <c r="D28" s="543" t="s">
        <v>372</v>
      </c>
      <c r="E28" s="543"/>
      <c r="F28" s="519" t="s">
        <v>71</v>
      </c>
      <c r="G28" s="543"/>
      <c r="H28" s="519" t="s">
        <v>476</v>
      </c>
      <c r="I28" s="543" t="s">
        <v>482</v>
      </c>
      <c r="J28" s="543" t="s">
        <v>480</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x14ac:dyDescent="0.3">
      <c r="A29" s="215" t="s">
        <v>483</v>
      </c>
      <c r="B29" s="119" t="s">
        <v>484</v>
      </c>
      <c r="C29" s="543" t="s">
        <v>485</v>
      </c>
      <c r="D29" s="543" t="s">
        <v>372</v>
      </c>
      <c r="E29" s="543"/>
      <c r="F29" s="519" t="s">
        <v>71</v>
      </c>
      <c r="G29" s="543"/>
      <c r="H29" s="519" t="s">
        <v>476</v>
      </c>
      <c r="I29" s="543" t="s">
        <v>485</v>
      </c>
      <c r="J29" s="543" t="s">
        <v>483</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x14ac:dyDescent="0.3">
      <c r="A30" s="215" t="s">
        <v>486</v>
      </c>
      <c r="B30" s="119" t="s">
        <v>487</v>
      </c>
      <c r="C30" s="543" t="s">
        <v>488</v>
      </c>
      <c r="D30" s="543" t="s">
        <v>372</v>
      </c>
      <c r="E30" s="543"/>
      <c r="F30" s="519" t="s">
        <v>71</v>
      </c>
      <c r="G30" s="543"/>
      <c r="H30" s="519" t="s">
        <v>476</v>
      </c>
      <c r="I30" s="543" t="s">
        <v>488</v>
      </c>
      <c r="J30" s="543" t="s">
        <v>486</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x14ac:dyDescent="0.3">
      <c r="A31" s="215" t="s">
        <v>489</v>
      </c>
      <c r="B31" s="119" t="s">
        <v>490</v>
      </c>
      <c r="C31" s="543" t="s">
        <v>491</v>
      </c>
      <c r="D31" s="543" t="s">
        <v>372</v>
      </c>
      <c r="E31" s="543" t="s">
        <v>492</v>
      </c>
      <c r="F31" s="519" t="s">
        <v>71</v>
      </c>
      <c r="G31" s="543" t="s">
        <v>493</v>
      </c>
      <c r="H31" s="519" t="s">
        <v>494</v>
      </c>
      <c r="I31" s="543" t="s">
        <v>491</v>
      </c>
      <c r="J31" s="571" t="s">
        <v>489</v>
      </c>
      <c r="K31" s="543" t="s">
        <v>153</v>
      </c>
      <c r="L31" s="543">
        <f t="shared" si="4"/>
        <v>6</v>
      </c>
      <c r="M31" s="543" t="str">
        <f t="shared" si="3"/>
        <v>Same habitat required =</v>
      </c>
      <c r="N31" s="543" t="s">
        <v>153</v>
      </c>
      <c r="O31" s="543">
        <f t="shared" si="1"/>
        <v>0.33</v>
      </c>
      <c r="P31" s="543" t="s">
        <v>23</v>
      </c>
      <c r="Q31" s="543">
        <f t="shared" si="2"/>
        <v>0.67</v>
      </c>
      <c r="R31" s="519"/>
      <c r="S31" s="543"/>
    </row>
    <row r="32" spans="1:19" ht="28" x14ac:dyDescent="0.3">
      <c r="A32" s="215" t="s">
        <v>495</v>
      </c>
      <c r="B32" s="119" t="s">
        <v>496</v>
      </c>
      <c r="C32" s="543" t="s">
        <v>497</v>
      </c>
      <c r="D32" s="543" t="s">
        <v>372</v>
      </c>
      <c r="E32" s="543"/>
      <c r="F32" s="519" t="s">
        <v>71</v>
      </c>
      <c r="G32" s="543"/>
      <c r="H32" s="519" t="s">
        <v>476</v>
      </c>
      <c r="I32" s="543" t="s">
        <v>497</v>
      </c>
      <c r="J32" s="543" t="s">
        <v>495</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498</v>
      </c>
      <c r="S32" s="543"/>
    </row>
    <row r="33" spans="1:19" x14ac:dyDescent="0.3">
      <c r="A33" s="215" t="s">
        <v>499</v>
      </c>
      <c r="B33" s="119" t="s">
        <v>500</v>
      </c>
      <c r="C33" s="543" t="s">
        <v>501</v>
      </c>
      <c r="D33" s="543" t="s">
        <v>372</v>
      </c>
      <c r="E33" s="543"/>
      <c r="F33" s="519" t="s">
        <v>71</v>
      </c>
      <c r="G33" s="543"/>
      <c r="H33" s="519" t="s">
        <v>494</v>
      </c>
      <c r="I33" s="543" t="s">
        <v>501</v>
      </c>
      <c r="J33" s="571" t="s">
        <v>499</v>
      </c>
      <c r="K33" s="543" t="s">
        <v>375</v>
      </c>
      <c r="L33" s="543">
        <f t="shared" si="4"/>
        <v>8</v>
      </c>
      <c r="M33" s="543" t="str">
        <f t="shared" si="3"/>
        <v>Bespoke compensation likely to be required 🛠</v>
      </c>
      <c r="N33" s="543" t="s">
        <v>153</v>
      </c>
      <c r="O33" s="543">
        <f t="shared" si="1"/>
        <v>0.33</v>
      </c>
      <c r="P33" s="543" t="s">
        <v>153</v>
      </c>
      <c r="Q33" s="543">
        <f t="shared" si="2"/>
        <v>0.33</v>
      </c>
      <c r="R33" s="519"/>
      <c r="S33" s="543"/>
    </row>
    <row r="34" spans="1:19" x14ac:dyDescent="0.3">
      <c r="A34" s="215" t="s">
        <v>502</v>
      </c>
      <c r="B34" s="119" t="s">
        <v>503</v>
      </c>
      <c r="C34" s="543" t="s">
        <v>504</v>
      </c>
      <c r="D34" s="543" t="s">
        <v>372</v>
      </c>
      <c r="E34" s="543"/>
      <c r="F34" s="519" t="s">
        <v>71</v>
      </c>
      <c r="G34" s="543"/>
      <c r="H34" s="519" t="s">
        <v>476</v>
      </c>
      <c r="I34" s="543" t="s">
        <v>504</v>
      </c>
      <c r="J34" s="543" t="s">
        <v>502</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x14ac:dyDescent="0.3">
      <c r="A35" s="215" t="s">
        <v>505</v>
      </c>
      <c r="B35" s="119" t="s">
        <v>506</v>
      </c>
      <c r="C35" s="543" t="s">
        <v>507</v>
      </c>
      <c r="D35" s="543" t="s">
        <v>372</v>
      </c>
      <c r="E35" s="543"/>
      <c r="F35" s="519" t="s">
        <v>71</v>
      </c>
      <c r="G35" s="543"/>
      <c r="H35" s="519" t="s">
        <v>476</v>
      </c>
      <c r="I35" s="543" t="s">
        <v>508</v>
      </c>
      <c r="J35" s="543" t="s">
        <v>509</v>
      </c>
      <c r="K35" s="543" t="s">
        <v>153</v>
      </c>
      <c r="L35" s="543">
        <f t="shared" si="4"/>
        <v>6</v>
      </c>
      <c r="M35" s="543" t="str">
        <f t="shared" si="3"/>
        <v>Same habitat required =</v>
      </c>
      <c r="N35" s="543" t="s">
        <v>23</v>
      </c>
      <c r="O35" s="543">
        <f t="shared" si="5"/>
        <v>0.67</v>
      </c>
      <c r="P35" s="543" t="s">
        <v>156</v>
      </c>
      <c r="Q35" s="543">
        <f t="shared" si="6"/>
        <v>1</v>
      </c>
      <c r="R35" s="519"/>
      <c r="S35" s="543"/>
    </row>
    <row r="36" spans="1:19" x14ac:dyDescent="0.3">
      <c r="A36" s="215" t="s">
        <v>510</v>
      </c>
      <c r="B36" s="119" t="s">
        <v>511</v>
      </c>
      <c r="C36" s="543" t="s">
        <v>512</v>
      </c>
      <c r="D36" s="543" t="s">
        <v>372</v>
      </c>
      <c r="E36" s="543"/>
      <c r="F36" s="519" t="s">
        <v>71</v>
      </c>
      <c r="G36" s="543"/>
      <c r="H36" s="519" t="s">
        <v>476</v>
      </c>
      <c r="I36" s="543" t="s">
        <v>508</v>
      </c>
      <c r="J36" s="543" t="s">
        <v>513</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4.5" thickBot="1" x14ac:dyDescent="0.35">
      <c r="A37" s="215" t="s">
        <v>514</v>
      </c>
      <c r="B37" s="217" t="s">
        <v>515</v>
      </c>
      <c r="C37" s="525" t="s">
        <v>516</v>
      </c>
      <c r="D37" s="525" t="s">
        <v>372</v>
      </c>
      <c r="E37" s="525"/>
      <c r="F37" s="507" t="s">
        <v>71</v>
      </c>
      <c r="G37" s="525"/>
      <c r="H37" s="507" t="s">
        <v>494</v>
      </c>
      <c r="I37" s="525" t="s">
        <v>516</v>
      </c>
      <c r="J37" s="574" t="s">
        <v>514</v>
      </c>
      <c r="K37" s="525" t="s">
        <v>153</v>
      </c>
      <c r="L37" s="525">
        <f t="shared" si="4"/>
        <v>6</v>
      </c>
      <c r="M37" s="525" t="str">
        <f t="shared" si="3"/>
        <v>Same habitat required =</v>
      </c>
      <c r="N37" s="525" t="s">
        <v>23</v>
      </c>
      <c r="O37" s="525">
        <f t="shared" si="5"/>
        <v>0.67</v>
      </c>
      <c r="P37" s="525" t="s">
        <v>23</v>
      </c>
      <c r="Q37" s="525">
        <f t="shared" si="6"/>
        <v>0.67</v>
      </c>
      <c r="R37" s="507"/>
      <c r="S37" s="525"/>
    </row>
    <row r="38" spans="1:19" x14ac:dyDescent="0.3">
      <c r="A38" s="215" t="s">
        <v>517</v>
      </c>
      <c r="B38" s="218" t="s">
        <v>518</v>
      </c>
      <c r="C38" s="520" t="s">
        <v>519</v>
      </c>
      <c r="D38" s="520" t="s">
        <v>520</v>
      </c>
      <c r="E38" s="520"/>
      <c r="F38" s="506" t="s">
        <v>72</v>
      </c>
      <c r="G38" s="520"/>
      <c r="H38" s="506" t="s">
        <v>521</v>
      </c>
      <c r="I38" s="520" t="s">
        <v>519</v>
      </c>
      <c r="J38" s="575" t="s">
        <v>517</v>
      </c>
      <c r="K38" s="520" t="s">
        <v>375</v>
      </c>
      <c r="L38" s="520">
        <f t="shared" si="4"/>
        <v>8</v>
      </c>
      <c r="M38" s="520" t="str">
        <f t="shared" si="3"/>
        <v>Bespoke compensation likely to be required 🛠</v>
      </c>
      <c r="N38" s="520" t="s">
        <v>151</v>
      </c>
      <c r="O38" s="520">
        <f t="shared" si="5"/>
        <v>0.1</v>
      </c>
      <c r="P38" s="520" t="s">
        <v>153</v>
      </c>
      <c r="Q38" s="520">
        <f t="shared" si="6"/>
        <v>0.33</v>
      </c>
      <c r="R38" s="506"/>
      <c r="S38" s="520"/>
    </row>
    <row r="39" spans="1:19" x14ac:dyDescent="0.3">
      <c r="A39" s="215" t="s">
        <v>522</v>
      </c>
      <c r="B39" s="119" t="s">
        <v>523</v>
      </c>
      <c r="C39" s="543">
        <v>362</v>
      </c>
      <c r="D39" s="543" t="s">
        <v>372</v>
      </c>
      <c r="E39" s="543"/>
      <c r="F39" s="519" t="s">
        <v>74</v>
      </c>
      <c r="G39" s="543"/>
      <c r="H39" s="519" t="s">
        <v>524</v>
      </c>
      <c r="I39" s="543"/>
      <c r="J39" s="543" t="s">
        <v>522</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x14ac:dyDescent="0.3">
      <c r="A40" s="215" t="s">
        <v>525</v>
      </c>
      <c r="B40" s="119" t="s">
        <v>526</v>
      </c>
      <c r="C40" s="543" t="s">
        <v>527</v>
      </c>
      <c r="D40" s="543" t="s">
        <v>520</v>
      </c>
      <c r="E40" s="543"/>
      <c r="F40" s="519" t="s">
        <v>72</v>
      </c>
      <c r="G40" s="543"/>
      <c r="H40" s="519" t="s">
        <v>521</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x14ac:dyDescent="0.3">
      <c r="A41" s="215" t="s">
        <v>528</v>
      </c>
      <c r="B41" s="119" t="s">
        <v>529</v>
      </c>
      <c r="C41" s="543" t="s">
        <v>530</v>
      </c>
      <c r="D41" s="543" t="s">
        <v>520</v>
      </c>
      <c r="E41" s="543"/>
      <c r="F41" s="519" t="s">
        <v>72</v>
      </c>
      <c r="G41" s="543"/>
      <c r="H41" s="519" t="s">
        <v>521</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x14ac:dyDescent="0.3">
      <c r="A42" s="215" t="s">
        <v>531</v>
      </c>
      <c r="B42" s="119" t="s">
        <v>532</v>
      </c>
      <c r="C42" s="543" t="s">
        <v>533</v>
      </c>
      <c r="D42" s="543" t="s">
        <v>520</v>
      </c>
      <c r="E42" s="543"/>
      <c r="F42" s="519" t="s">
        <v>72</v>
      </c>
      <c r="G42" s="543"/>
      <c r="H42" s="519" t="s">
        <v>521</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x14ac:dyDescent="0.3">
      <c r="A43" s="215" t="s">
        <v>534</v>
      </c>
      <c r="B43" s="119" t="s">
        <v>535</v>
      </c>
      <c r="C43" s="543" t="s">
        <v>536</v>
      </c>
      <c r="D43" s="543" t="s">
        <v>520</v>
      </c>
      <c r="E43" s="543"/>
      <c r="F43" s="519" t="s">
        <v>72</v>
      </c>
      <c r="G43" s="543"/>
      <c r="H43" s="519" t="s">
        <v>521</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x14ac:dyDescent="0.3">
      <c r="A44" s="215" t="s">
        <v>537</v>
      </c>
      <c r="B44" s="119" t="s">
        <v>538</v>
      </c>
      <c r="C44" s="543" t="s">
        <v>539</v>
      </c>
      <c r="D44" s="543" t="s">
        <v>520</v>
      </c>
      <c r="E44" s="543"/>
      <c r="F44" s="519" t="s">
        <v>72</v>
      </c>
      <c r="G44" s="543"/>
      <c r="H44" s="519" t="s">
        <v>521</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x14ac:dyDescent="0.3">
      <c r="A45" s="215" t="s">
        <v>540</v>
      </c>
      <c r="B45" s="119" t="s">
        <v>541</v>
      </c>
      <c r="C45" s="543" t="s">
        <v>542</v>
      </c>
      <c r="D45" s="543" t="s">
        <v>520</v>
      </c>
      <c r="E45" s="543"/>
      <c r="F45" s="519" t="s">
        <v>72</v>
      </c>
      <c r="G45" s="543"/>
      <c r="H45" s="519" t="s">
        <v>521</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x14ac:dyDescent="0.3">
      <c r="A46" s="215" t="s">
        <v>543</v>
      </c>
      <c r="B46" s="119" t="s">
        <v>544</v>
      </c>
      <c r="C46" s="543" t="s">
        <v>545</v>
      </c>
      <c r="D46" s="543" t="s">
        <v>520</v>
      </c>
      <c r="E46" s="543"/>
      <c r="F46" s="519" t="s">
        <v>72</v>
      </c>
      <c r="G46" s="543"/>
      <c r="H46" s="519" t="s">
        <v>521</v>
      </c>
      <c r="I46" s="543" t="s">
        <v>546</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x14ac:dyDescent="0.3">
      <c r="A47" s="215" t="s">
        <v>547</v>
      </c>
      <c r="B47" s="119" t="s">
        <v>548</v>
      </c>
      <c r="C47" s="543">
        <v>108</v>
      </c>
      <c r="D47" s="543" t="s">
        <v>520</v>
      </c>
      <c r="E47" s="543"/>
      <c r="F47" s="519" t="s">
        <v>72</v>
      </c>
      <c r="G47" s="543"/>
      <c r="H47" s="519" t="s">
        <v>521</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4.5" thickBot="1" x14ac:dyDescent="0.35">
      <c r="A48" s="215" t="s">
        <v>549</v>
      </c>
      <c r="B48" s="217" t="s">
        <v>550</v>
      </c>
      <c r="C48" s="543" t="s">
        <v>551</v>
      </c>
      <c r="D48" s="525" t="s">
        <v>520</v>
      </c>
      <c r="E48" s="525"/>
      <c r="F48" s="507" t="s">
        <v>72</v>
      </c>
      <c r="G48" s="525"/>
      <c r="H48" s="507" t="s">
        <v>521</v>
      </c>
      <c r="I48" s="525" t="s">
        <v>552</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x14ac:dyDescent="0.3">
      <c r="A49" s="215" t="s">
        <v>553</v>
      </c>
      <c r="B49" s="218" t="s">
        <v>554</v>
      </c>
      <c r="C49" s="520" t="s">
        <v>555</v>
      </c>
      <c r="D49" s="520" t="s">
        <v>520</v>
      </c>
      <c r="E49" s="520"/>
      <c r="F49" s="506" t="s">
        <v>73</v>
      </c>
      <c r="G49" s="520"/>
      <c r="H49" s="506" t="s">
        <v>556</v>
      </c>
      <c r="I49" s="520"/>
      <c r="J49" s="575" t="s">
        <v>553</v>
      </c>
      <c r="K49" s="520" t="s">
        <v>375</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x14ac:dyDescent="0.3">
      <c r="A50" s="215" t="s">
        <v>557</v>
      </c>
      <c r="B50" s="119" t="s">
        <v>558</v>
      </c>
      <c r="C50" s="543" t="s">
        <v>559</v>
      </c>
      <c r="D50" s="543" t="s">
        <v>520</v>
      </c>
      <c r="E50" s="543"/>
      <c r="F50" s="519" t="s">
        <v>73</v>
      </c>
      <c r="G50" s="543"/>
      <c r="H50" s="519" t="s">
        <v>560</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x14ac:dyDescent="0.3">
      <c r="A51" s="215" t="s">
        <v>561</v>
      </c>
      <c r="B51" s="119" t="s">
        <v>562</v>
      </c>
      <c r="C51" s="543" t="s">
        <v>563</v>
      </c>
      <c r="D51" s="543" t="s">
        <v>372</v>
      </c>
      <c r="E51" s="543"/>
      <c r="F51" s="519" t="s">
        <v>73</v>
      </c>
      <c r="G51" s="543"/>
      <c r="H51" s="519" t="s">
        <v>560</v>
      </c>
      <c r="I51" s="543" t="s">
        <v>555</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x14ac:dyDescent="0.3">
      <c r="A52" s="215" t="s">
        <v>564</v>
      </c>
      <c r="B52" s="119" t="s">
        <v>565</v>
      </c>
      <c r="C52" s="543">
        <v>17</v>
      </c>
      <c r="D52" s="543" t="s">
        <v>372</v>
      </c>
      <c r="E52" s="543"/>
      <c r="F52" s="519" t="s">
        <v>73</v>
      </c>
      <c r="G52" s="543"/>
      <c r="H52" s="519"/>
      <c r="I52" s="543"/>
      <c r="J52" s="543" t="s">
        <v>566</v>
      </c>
      <c r="K52" s="543" t="s">
        <v>156</v>
      </c>
      <c r="L52" s="543">
        <f t="shared" si="9"/>
        <v>2</v>
      </c>
      <c r="M52" s="543" t="str">
        <f t="shared" si="3"/>
        <v>Same distinctiveness or better habitat required ≥</v>
      </c>
      <c r="N52" s="543" t="s">
        <v>156</v>
      </c>
      <c r="O52" s="543">
        <f t="shared" si="5"/>
        <v>1</v>
      </c>
      <c r="P52" s="543" t="s">
        <v>23</v>
      </c>
      <c r="Q52" s="543">
        <f t="shared" si="6"/>
        <v>0.67</v>
      </c>
      <c r="R52" s="519" t="s">
        <v>567</v>
      </c>
      <c r="S52" s="543"/>
    </row>
    <row r="53" spans="1:19" x14ac:dyDescent="0.3">
      <c r="A53" s="215" t="s">
        <v>568</v>
      </c>
      <c r="B53" s="119" t="s">
        <v>569</v>
      </c>
      <c r="C53" s="543" t="s">
        <v>570</v>
      </c>
      <c r="D53" s="543" t="s">
        <v>372</v>
      </c>
      <c r="E53" s="543" t="s">
        <v>571</v>
      </c>
      <c r="F53" s="519" t="s">
        <v>73</v>
      </c>
      <c r="G53" s="543" t="s">
        <v>572</v>
      </c>
      <c r="H53" s="519" t="s">
        <v>556</v>
      </c>
      <c r="I53" s="543" t="s">
        <v>570</v>
      </c>
      <c r="J53" s="571" t="s">
        <v>568</v>
      </c>
      <c r="K53" s="543" t="s">
        <v>153</v>
      </c>
      <c r="L53" s="543">
        <f t="shared" si="9"/>
        <v>6</v>
      </c>
      <c r="M53" s="543" t="str">
        <f t="shared" si="3"/>
        <v>Same habitat required =</v>
      </c>
      <c r="N53" s="543" t="s">
        <v>153</v>
      </c>
      <c r="O53" s="543">
        <f t="shared" si="5"/>
        <v>0.33</v>
      </c>
      <c r="P53" s="543" t="s">
        <v>156</v>
      </c>
      <c r="Q53" s="543">
        <f t="shared" si="6"/>
        <v>1</v>
      </c>
      <c r="R53" s="519"/>
      <c r="S53" s="543"/>
    </row>
    <row r="54" spans="1:19" x14ac:dyDescent="0.3">
      <c r="A54" s="215" t="s">
        <v>573</v>
      </c>
      <c r="B54" s="119" t="s">
        <v>574</v>
      </c>
      <c r="C54" s="543" t="s">
        <v>575</v>
      </c>
      <c r="D54" s="543" t="s">
        <v>372</v>
      </c>
      <c r="E54" s="543"/>
      <c r="F54" s="519" t="s">
        <v>73</v>
      </c>
      <c r="G54" s="543"/>
      <c r="H54" s="519" t="s">
        <v>556</v>
      </c>
      <c r="I54" s="543" t="s">
        <v>575</v>
      </c>
      <c r="J54" s="571" t="s">
        <v>573</v>
      </c>
      <c r="K54" s="543" t="s">
        <v>375</v>
      </c>
      <c r="L54" s="543">
        <f t="shared" si="9"/>
        <v>8</v>
      </c>
      <c r="M54" s="543" t="str">
        <f t="shared" si="3"/>
        <v>Bespoke compensation likely to be required 🛠</v>
      </c>
      <c r="N54" s="543" t="s">
        <v>151</v>
      </c>
      <c r="O54" s="543">
        <f t="shared" si="5"/>
        <v>0.1</v>
      </c>
      <c r="P54" s="543" t="s">
        <v>23</v>
      </c>
      <c r="Q54" s="543">
        <f t="shared" si="6"/>
        <v>0.67</v>
      </c>
      <c r="R54" s="519"/>
      <c r="S54" s="543"/>
    </row>
    <row r="55" spans="1:19" x14ac:dyDescent="0.3">
      <c r="A55" s="215" t="s">
        <v>576</v>
      </c>
      <c r="B55" s="119" t="s">
        <v>577</v>
      </c>
      <c r="C55" s="543" t="s">
        <v>578</v>
      </c>
      <c r="D55" s="543" t="s">
        <v>372</v>
      </c>
      <c r="E55" s="543"/>
      <c r="F55" s="519" t="s">
        <v>73</v>
      </c>
      <c r="G55" s="543" t="s">
        <v>579</v>
      </c>
      <c r="H55" s="519" t="s">
        <v>580</v>
      </c>
      <c r="I55" s="543" t="s">
        <v>578</v>
      </c>
      <c r="J55" s="571" t="s">
        <v>576</v>
      </c>
      <c r="K55" s="543" t="s">
        <v>153</v>
      </c>
      <c r="L55" s="543">
        <f t="shared" si="9"/>
        <v>6</v>
      </c>
      <c r="M55" s="543" t="str">
        <f t="shared" si="3"/>
        <v>Same habitat required =</v>
      </c>
      <c r="N55" s="543" t="s">
        <v>153</v>
      </c>
      <c r="O55" s="543">
        <f t="shared" si="5"/>
        <v>0.33</v>
      </c>
      <c r="P55" s="543" t="s">
        <v>23</v>
      </c>
      <c r="Q55" s="543">
        <f t="shared" si="6"/>
        <v>0.67</v>
      </c>
      <c r="R55" s="519"/>
      <c r="S55" s="543"/>
    </row>
    <row r="56" spans="1:19" ht="14.5" thickBot="1" x14ac:dyDescent="0.35">
      <c r="A56" s="215" t="s">
        <v>581</v>
      </c>
      <c r="B56" s="217" t="s">
        <v>582</v>
      </c>
      <c r="C56" s="525" t="s">
        <v>583</v>
      </c>
      <c r="D56" s="525" t="s">
        <v>372</v>
      </c>
      <c r="E56" s="525"/>
      <c r="F56" s="507" t="s">
        <v>73</v>
      </c>
      <c r="G56" s="525"/>
      <c r="H56" s="507" t="s">
        <v>556</v>
      </c>
      <c r="I56" s="525" t="s">
        <v>583</v>
      </c>
      <c r="J56" s="525" t="s">
        <v>581</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x14ac:dyDescent="0.3">
      <c r="A57" s="215" t="s">
        <v>584</v>
      </c>
      <c r="B57" s="218" t="s">
        <v>585</v>
      </c>
      <c r="C57" s="520">
        <v>910</v>
      </c>
      <c r="D57" s="520" t="s">
        <v>372</v>
      </c>
      <c r="E57" s="520"/>
      <c r="F57" s="506" t="s">
        <v>74</v>
      </c>
      <c r="G57" s="520"/>
      <c r="H57" s="506" t="s">
        <v>524</v>
      </c>
      <c r="I57" s="520"/>
      <c r="J57" s="520" t="s">
        <v>584</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x14ac:dyDescent="0.3">
      <c r="A58" s="215" t="s">
        <v>586</v>
      </c>
      <c r="B58" s="119" t="s">
        <v>587</v>
      </c>
      <c r="C58" s="543" t="s">
        <v>588</v>
      </c>
      <c r="D58" s="543" t="s">
        <v>372</v>
      </c>
      <c r="E58" s="543"/>
      <c r="F58" s="519" t="s">
        <v>74</v>
      </c>
      <c r="G58" s="543"/>
      <c r="H58" s="519" t="s">
        <v>524</v>
      </c>
      <c r="I58" s="543" t="s">
        <v>588</v>
      </c>
      <c r="J58" s="543" t="s">
        <v>586</v>
      </c>
      <c r="K58" s="543" t="s">
        <v>397</v>
      </c>
      <c r="L58" s="543">
        <f t="shared" si="9"/>
        <v>0</v>
      </c>
      <c r="M58" s="543" t="str">
        <f t="shared" si="3"/>
        <v>Compensation Not Required</v>
      </c>
      <c r="N58" s="543" t="s">
        <v>156</v>
      </c>
      <c r="O58" s="543">
        <f t="shared" si="5"/>
        <v>1</v>
      </c>
      <c r="P58" s="543" t="s">
        <v>156</v>
      </c>
      <c r="Q58" s="543">
        <f t="shared" si="6"/>
        <v>1</v>
      </c>
      <c r="R58" s="519"/>
      <c r="S58" s="543"/>
    </row>
    <row r="59" spans="1:19" x14ac:dyDescent="0.3">
      <c r="A59" s="215" t="s">
        <v>589</v>
      </c>
      <c r="B59" s="119" t="s">
        <v>590</v>
      </c>
      <c r="C59" s="543">
        <v>1191</v>
      </c>
      <c r="D59" s="543" t="s">
        <v>372</v>
      </c>
      <c r="E59" s="543"/>
      <c r="F59" s="519" t="s">
        <v>74</v>
      </c>
      <c r="G59" s="543"/>
      <c r="H59" s="519" t="s">
        <v>524</v>
      </c>
      <c r="I59" s="543"/>
      <c r="J59" s="543" t="s">
        <v>589</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x14ac:dyDescent="0.3">
      <c r="A60" s="215" t="s">
        <v>591</v>
      </c>
      <c r="B60" s="119" t="s">
        <v>592</v>
      </c>
      <c r="C60" s="543" t="s">
        <v>593</v>
      </c>
      <c r="D60" s="543" t="s">
        <v>372</v>
      </c>
      <c r="E60" s="543"/>
      <c r="F60" s="519" t="s">
        <v>74</v>
      </c>
      <c r="G60" s="543"/>
      <c r="H60" s="519" t="s">
        <v>524</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x14ac:dyDescent="0.3">
      <c r="A61" s="215" t="s">
        <v>594</v>
      </c>
      <c r="B61" s="119" t="s">
        <v>595</v>
      </c>
      <c r="C61" s="543" t="s">
        <v>596</v>
      </c>
      <c r="D61" s="543" t="s">
        <v>372</v>
      </c>
      <c r="E61" s="543"/>
      <c r="F61" s="519" t="s">
        <v>74</v>
      </c>
      <c r="G61" s="543"/>
      <c r="H61" s="519" t="s">
        <v>524</v>
      </c>
      <c r="I61" s="543" t="s">
        <v>596</v>
      </c>
      <c r="J61" s="543" t="s">
        <v>594</v>
      </c>
      <c r="K61" s="543" t="s">
        <v>397</v>
      </c>
      <c r="L61" s="543">
        <f t="shared" si="9"/>
        <v>0</v>
      </c>
      <c r="M61" s="543" t="str">
        <f t="shared" si="3"/>
        <v>Compensation Not Required</v>
      </c>
      <c r="N61" s="543" t="s">
        <v>156</v>
      </c>
      <c r="O61" s="543">
        <f t="shared" si="5"/>
        <v>1</v>
      </c>
      <c r="P61" s="543" t="s">
        <v>156</v>
      </c>
      <c r="Q61" s="543">
        <f t="shared" si="6"/>
        <v>1</v>
      </c>
      <c r="R61" s="519"/>
      <c r="S61" s="543"/>
    </row>
    <row r="62" spans="1:19" x14ac:dyDescent="0.3">
      <c r="A62" s="215" t="s">
        <v>597</v>
      </c>
      <c r="B62" s="119" t="s">
        <v>598</v>
      </c>
      <c r="C62" s="543">
        <v>800</v>
      </c>
      <c r="D62" s="543" t="s">
        <v>372</v>
      </c>
      <c r="E62" s="543"/>
      <c r="F62" s="519" t="s">
        <v>74</v>
      </c>
      <c r="G62" s="543"/>
      <c r="H62" s="519" t="s">
        <v>524</v>
      </c>
      <c r="I62" s="543"/>
      <c r="J62" s="543" t="s">
        <v>597</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x14ac:dyDescent="0.3">
      <c r="A63" s="215" t="s">
        <v>599</v>
      </c>
      <c r="B63" s="119" t="s">
        <v>600</v>
      </c>
      <c r="C63" s="543" t="s">
        <v>601</v>
      </c>
      <c r="D63" s="543" t="s">
        <v>372</v>
      </c>
      <c r="E63" s="543"/>
      <c r="F63" s="519" t="s">
        <v>74</v>
      </c>
      <c r="G63" s="543"/>
      <c r="H63" s="519" t="s">
        <v>524</v>
      </c>
      <c r="I63" s="543" t="s">
        <v>601</v>
      </c>
      <c r="J63" s="543" t="s">
        <v>599</v>
      </c>
      <c r="K63" s="543" t="s">
        <v>397</v>
      </c>
      <c r="L63" s="543">
        <f t="shared" si="9"/>
        <v>0</v>
      </c>
      <c r="M63" s="543" t="str">
        <f t="shared" si="3"/>
        <v>Compensation Not Required</v>
      </c>
      <c r="N63" s="543" t="s">
        <v>156</v>
      </c>
      <c r="O63" s="543">
        <f t="shared" si="5"/>
        <v>1</v>
      </c>
      <c r="P63" s="543" t="s">
        <v>23</v>
      </c>
      <c r="Q63" s="543">
        <f t="shared" si="6"/>
        <v>0.67</v>
      </c>
      <c r="R63" s="519"/>
      <c r="S63" s="543"/>
    </row>
    <row r="64" spans="1:19" x14ac:dyDescent="0.3">
      <c r="A64" s="215" t="s">
        <v>602</v>
      </c>
      <c r="B64" s="119" t="s">
        <v>603</v>
      </c>
      <c r="C64" s="543" t="s">
        <v>604</v>
      </c>
      <c r="D64" s="543" t="s">
        <v>372</v>
      </c>
      <c r="E64" s="543"/>
      <c r="F64" s="519" t="s">
        <v>74</v>
      </c>
      <c r="G64" s="543"/>
      <c r="H64" s="519" t="s">
        <v>524</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x14ac:dyDescent="0.3">
      <c r="A65" s="215" t="s">
        <v>605</v>
      </c>
      <c r="B65" s="119" t="s">
        <v>606</v>
      </c>
      <c r="C65" s="543">
        <v>1122</v>
      </c>
      <c r="D65" s="543" t="s">
        <v>372</v>
      </c>
      <c r="E65" s="543"/>
      <c r="F65" s="519" t="s">
        <v>74</v>
      </c>
      <c r="G65" s="543"/>
      <c r="H65" s="519" t="s">
        <v>524</v>
      </c>
      <c r="I65" s="543"/>
      <c r="J65" s="543" t="s">
        <v>607</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x14ac:dyDescent="0.3">
      <c r="A66" s="215" t="s">
        <v>608</v>
      </c>
      <c r="B66" s="119" t="s">
        <v>609</v>
      </c>
      <c r="C66" s="543">
        <v>1121</v>
      </c>
      <c r="D66" s="543" t="s">
        <v>372</v>
      </c>
      <c r="E66" s="543"/>
      <c r="F66" s="519" t="s">
        <v>74</v>
      </c>
      <c r="G66" s="543"/>
      <c r="H66" s="519" t="s">
        <v>524</v>
      </c>
      <c r="I66" s="543"/>
      <c r="J66" s="543" t="s">
        <v>608</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x14ac:dyDescent="0.3">
      <c r="A67" s="215" t="s">
        <v>610</v>
      </c>
      <c r="B67" s="119" t="s">
        <v>611</v>
      </c>
      <c r="C67" s="543">
        <v>1140</v>
      </c>
      <c r="D67" s="543" t="s">
        <v>372</v>
      </c>
      <c r="E67" s="543"/>
      <c r="F67" s="519" t="s">
        <v>74</v>
      </c>
      <c r="G67" s="543"/>
      <c r="H67" s="519" t="s">
        <v>524</v>
      </c>
      <c r="I67" s="543"/>
      <c r="J67" s="543" t="s">
        <v>610</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x14ac:dyDescent="0.3">
      <c r="A68" s="215" t="s">
        <v>612</v>
      </c>
      <c r="B68" s="119" t="s">
        <v>613</v>
      </c>
      <c r="C68" s="543" t="s">
        <v>614</v>
      </c>
      <c r="D68" s="543" t="s">
        <v>372</v>
      </c>
      <c r="E68" s="543"/>
      <c r="F68" s="519" t="s">
        <v>74</v>
      </c>
      <c r="G68" s="543"/>
      <c r="H68" s="519" t="s">
        <v>524</v>
      </c>
      <c r="I68" s="543"/>
      <c r="J68" s="543" t="s">
        <v>591</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x14ac:dyDescent="0.3">
      <c r="A69" s="215" t="s">
        <v>615</v>
      </c>
      <c r="B69" s="119" t="s">
        <v>616</v>
      </c>
      <c r="C69" s="543">
        <v>1160</v>
      </c>
      <c r="D69" s="543" t="s">
        <v>372</v>
      </c>
      <c r="E69" s="543"/>
      <c r="F69" s="519" t="s">
        <v>74</v>
      </c>
      <c r="G69" s="543"/>
      <c r="H69" s="519" t="s">
        <v>524</v>
      </c>
      <c r="I69" s="543"/>
      <c r="J69" s="543" t="s">
        <v>615</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x14ac:dyDescent="0.3">
      <c r="A70" s="215" t="s">
        <v>617</v>
      </c>
      <c r="B70" s="119" t="s">
        <v>618</v>
      </c>
      <c r="C70" s="543" t="s">
        <v>619</v>
      </c>
      <c r="D70" s="543" t="s">
        <v>372</v>
      </c>
      <c r="E70" s="543" t="s">
        <v>620</v>
      </c>
      <c r="F70" s="519" t="s">
        <v>74</v>
      </c>
      <c r="G70" s="543" t="s">
        <v>621</v>
      </c>
      <c r="H70" s="519" t="s">
        <v>524</v>
      </c>
      <c r="I70" s="543" t="s">
        <v>619</v>
      </c>
      <c r="J70" s="571" t="s">
        <v>617</v>
      </c>
      <c r="K70" s="543" t="s">
        <v>153</v>
      </c>
      <c r="L70" s="543">
        <f t="shared" si="9"/>
        <v>6</v>
      </c>
      <c r="M70" s="543" t="str">
        <f t="shared" si="3"/>
        <v>Same habitat required =</v>
      </c>
      <c r="N70" s="543" t="s">
        <v>23</v>
      </c>
      <c r="O70" s="543">
        <f t="shared" si="10"/>
        <v>0.67</v>
      </c>
      <c r="P70" s="543" t="s">
        <v>23</v>
      </c>
      <c r="Q70" s="543">
        <f t="shared" si="11"/>
        <v>0.67</v>
      </c>
      <c r="R70" s="519"/>
      <c r="S70" s="543"/>
    </row>
    <row r="71" spans="1:19" x14ac:dyDescent="0.3">
      <c r="A71" s="215" t="s">
        <v>622</v>
      </c>
      <c r="B71" s="119" t="s">
        <v>623</v>
      </c>
      <c r="C71" s="543">
        <v>1192</v>
      </c>
      <c r="D71" s="543" t="s">
        <v>372</v>
      </c>
      <c r="E71" s="543"/>
      <c r="F71" s="519" t="s">
        <v>74</v>
      </c>
      <c r="G71" s="543"/>
      <c r="H71" s="519" t="s">
        <v>524</v>
      </c>
      <c r="I71" s="543"/>
      <c r="J71" s="543" t="s">
        <v>622</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x14ac:dyDescent="0.3">
      <c r="A72" s="215" t="s">
        <v>624</v>
      </c>
      <c r="B72" s="119" t="s">
        <v>625</v>
      </c>
      <c r="C72" s="543">
        <v>1030</v>
      </c>
      <c r="D72" s="543" t="s">
        <v>372</v>
      </c>
      <c r="E72" s="543"/>
      <c r="F72" s="519" t="s">
        <v>74</v>
      </c>
      <c r="G72" s="543"/>
      <c r="H72" s="519" t="s">
        <v>524</v>
      </c>
      <c r="I72" s="543"/>
      <c r="J72" s="543" t="s">
        <v>626</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x14ac:dyDescent="0.3">
      <c r="A73" s="215" t="s">
        <v>627</v>
      </c>
      <c r="B73" s="119" t="s">
        <v>628</v>
      </c>
      <c r="C73" s="543" t="s">
        <v>629</v>
      </c>
      <c r="D73" s="543" t="s">
        <v>372</v>
      </c>
      <c r="E73" s="543"/>
      <c r="F73" s="519" t="s">
        <v>74</v>
      </c>
      <c r="G73" s="543"/>
      <c r="H73" s="519" t="s">
        <v>524</v>
      </c>
      <c r="I73" s="543"/>
      <c r="J73" s="543" t="s">
        <v>630</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x14ac:dyDescent="0.3">
      <c r="A74" s="215" t="s">
        <v>631</v>
      </c>
      <c r="B74" s="119" t="s">
        <v>632</v>
      </c>
      <c r="C74" s="543">
        <v>1190</v>
      </c>
      <c r="D74" s="543" t="s">
        <v>372</v>
      </c>
      <c r="E74" s="543"/>
      <c r="F74" s="519" t="s">
        <v>74</v>
      </c>
      <c r="G74" s="543"/>
      <c r="H74" s="519" t="s">
        <v>524</v>
      </c>
      <c r="I74" s="543"/>
      <c r="J74" s="543" t="s">
        <v>631</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x14ac:dyDescent="0.3">
      <c r="A75" s="215" t="s">
        <v>633</v>
      </c>
      <c r="B75" s="119" t="s">
        <v>634</v>
      </c>
      <c r="C75" s="543">
        <v>232</v>
      </c>
      <c r="D75" s="543" t="s">
        <v>372</v>
      </c>
      <c r="E75" s="543"/>
      <c r="F75" s="519" t="s">
        <v>74</v>
      </c>
      <c r="G75" s="543"/>
      <c r="H75" s="519" t="s">
        <v>524</v>
      </c>
      <c r="I75" s="543"/>
      <c r="J75" s="543" t="s">
        <v>633</v>
      </c>
      <c r="K75" s="543" t="s">
        <v>397</v>
      </c>
      <c r="L75" s="543">
        <f t="shared" si="9"/>
        <v>0</v>
      </c>
      <c r="M75" s="543" t="str">
        <f t="shared" si="12"/>
        <v>Compensation Not Required</v>
      </c>
      <c r="N75" s="543" t="s">
        <v>156</v>
      </c>
      <c r="O75" s="543">
        <f t="shared" si="10"/>
        <v>1</v>
      </c>
      <c r="P75" s="543" t="s">
        <v>156</v>
      </c>
      <c r="Q75" s="543">
        <f t="shared" si="11"/>
        <v>1</v>
      </c>
      <c r="R75" s="519"/>
      <c r="S75" s="543"/>
    </row>
    <row r="76" spans="1:19" x14ac:dyDescent="0.3">
      <c r="A76" s="215" t="s">
        <v>635</v>
      </c>
      <c r="B76" s="119" t="s">
        <v>636</v>
      </c>
      <c r="C76" s="543">
        <v>350</v>
      </c>
      <c r="D76" s="543" t="s">
        <v>372</v>
      </c>
      <c r="E76" s="543"/>
      <c r="F76" s="519" t="s">
        <v>74</v>
      </c>
      <c r="G76" s="543"/>
      <c r="H76" s="519" t="s">
        <v>524</v>
      </c>
      <c r="I76" s="543"/>
      <c r="J76" s="543" t="s">
        <v>635</v>
      </c>
      <c r="K76" s="543" t="s">
        <v>156</v>
      </c>
      <c r="L76" s="543">
        <f t="shared" si="9"/>
        <v>2</v>
      </c>
      <c r="M76" s="543" t="str">
        <f t="shared" si="12"/>
        <v>Same distinctiveness or better habitat required ≥</v>
      </c>
      <c r="N76" s="543" t="s">
        <v>156</v>
      </c>
      <c r="O76" s="543">
        <f t="shared" si="10"/>
        <v>1</v>
      </c>
      <c r="P76" s="543" t="s">
        <v>156</v>
      </c>
      <c r="Q76" s="543">
        <f t="shared" si="11"/>
        <v>1</v>
      </c>
      <c r="R76" s="519" t="s">
        <v>637</v>
      </c>
      <c r="S76" s="543"/>
    </row>
    <row r="77" spans="1:19" ht="14.5" thickBot="1" x14ac:dyDescent="0.35">
      <c r="A77" s="215" t="s">
        <v>638</v>
      </c>
      <c r="B77" s="217" t="s">
        <v>639</v>
      </c>
      <c r="C77" s="525">
        <v>231</v>
      </c>
      <c r="D77" s="525" t="s">
        <v>372</v>
      </c>
      <c r="E77" s="525"/>
      <c r="F77" s="507" t="s">
        <v>74</v>
      </c>
      <c r="G77" s="525"/>
      <c r="H77" s="507" t="s">
        <v>524</v>
      </c>
      <c r="I77" s="525"/>
      <c r="J77" s="525" t="s">
        <v>638</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x14ac:dyDescent="0.3">
      <c r="A78" s="215" t="s">
        <v>640</v>
      </c>
      <c r="B78" s="218" t="s">
        <v>641</v>
      </c>
      <c r="C78" s="520" t="s">
        <v>642</v>
      </c>
      <c r="D78" s="520" t="s">
        <v>372</v>
      </c>
      <c r="E78" s="520"/>
      <c r="F78" s="506" t="s">
        <v>75</v>
      </c>
      <c r="G78" s="520"/>
      <c r="H78" s="506" t="s">
        <v>643</v>
      </c>
      <c r="I78" s="520" t="s">
        <v>642</v>
      </c>
      <c r="J78" s="575" t="s">
        <v>640</v>
      </c>
      <c r="K78" s="520" t="s">
        <v>375</v>
      </c>
      <c r="L78" s="520">
        <f t="shared" si="13"/>
        <v>8</v>
      </c>
      <c r="M78" s="520" t="str">
        <f t="shared" si="12"/>
        <v>Bespoke compensation likely to be required 🛠</v>
      </c>
      <c r="N78" s="520" t="s">
        <v>151</v>
      </c>
      <c r="O78" s="520">
        <f t="shared" si="10"/>
        <v>0.1</v>
      </c>
      <c r="P78" s="520" t="s">
        <v>153</v>
      </c>
      <c r="Q78" s="520">
        <f t="shared" si="11"/>
        <v>0.33</v>
      </c>
      <c r="R78" s="506"/>
      <c r="S78" s="520"/>
    </row>
    <row r="79" spans="1:19" x14ac:dyDescent="0.3">
      <c r="A79" s="215" t="s">
        <v>644</v>
      </c>
      <c r="B79" s="119" t="s">
        <v>645</v>
      </c>
      <c r="C79" s="543">
        <v>24</v>
      </c>
      <c r="D79" s="543" t="s">
        <v>372</v>
      </c>
      <c r="E79" s="543" t="s">
        <v>646</v>
      </c>
      <c r="F79" s="519" t="s">
        <v>75</v>
      </c>
      <c r="G79" s="543" t="s">
        <v>647</v>
      </c>
      <c r="H79" s="519" t="s">
        <v>643</v>
      </c>
      <c r="I79" s="543"/>
      <c r="J79" s="576" t="s">
        <v>644</v>
      </c>
      <c r="K79" s="543" t="s">
        <v>375</v>
      </c>
      <c r="L79" s="543">
        <f t="shared" si="13"/>
        <v>8</v>
      </c>
      <c r="M79" s="543" t="str">
        <f t="shared" si="12"/>
        <v>Bespoke compensation likely to be required 🛠</v>
      </c>
      <c r="N79" s="543" t="s">
        <v>151</v>
      </c>
      <c r="O79" s="543">
        <f t="shared" si="10"/>
        <v>0.1</v>
      </c>
      <c r="P79" s="543" t="s">
        <v>153</v>
      </c>
      <c r="Q79" s="543">
        <f t="shared" si="11"/>
        <v>0.33</v>
      </c>
      <c r="R79" s="519"/>
      <c r="S79" s="543"/>
    </row>
    <row r="80" spans="1:19" x14ac:dyDescent="0.3">
      <c r="A80" s="215" t="s">
        <v>648</v>
      </c>
      <c r="B80" s="119" t="s">
        <v>649</v>
      </c>
      <c r="C80" s="543" t="s">
        <v>650</v>
      </c>
      <c r="D80" s="543" t="s">
        <v>372</v>
      </c>
      <c r="E80" s="543"/>
      <c r="F80" s="519" t="s">
        <v>75</v>
      </c>
      <c r="G80" s="543" t="s">
        <v>651</v>
      </c>
      <c r="H80" s="519" t="s">
        <v>652</v>
      </c>
      <c r="I80" s="543" t="s">
        <v>650</v>
      </c>
      <c r="J80" s="571" t="s">
        <v>653</v>
      </c>
      <c r="K80" s="543" t="s">
        <v>375</v>
      </c>
      <c r="L80" s="543">
        <f t="shared" si="13"/>
        <v>8</v>
      </c>
      <c r="M80" s="543" t="str">
        <f t="shared" si="12"/>
        <v>Bespoke compensation likely to be required 🛠</v>
      </c>
      <c r="N80" s="543" t="s">
        <v>153</v>
      </c>
      <c r="O80" s="543">
        <f t="shared" si="10"/>
        <v>0.33</v>
      </c>
      <c r="P80" s="543" t="s">
        <v>153</v>
      </c>
      <c r="Q80" s="543">
        <f t="shared" si="11"/>
        <v>0.33</v>
      </c>
      <c r="R80" s="519"/>
      <c r="S80" s="543"/>
    </row>
    <row r="81" spans="1:19" x14ac:dyDescent="0.3">
      <c r="A81" s="215" t="s">
        <v>654</v>
      </c>
      <c r="B81" s="119" t="s">
        <v>655</v>
      </c>
      <c r="C81" s="543" t="s">
        <v>656</v>
      </c>
      <c r="D81" s="543" t="s">
        <v>372</v>
      </c>
      <c r="E81" s="543"/>
      <c r="F81" s="519" t="s">
        <v>75</v>
      </c>
      <c r="G81" s="543"/>
      <c r="H81" s="519" t="s">
        <v>643</v>
      </c>
      <c r="I81" s="543" t="s">
        <v>656</v>
      </c>
      <c r="J81" s="571" t="s">
        <v>654</v>
      </c>
      <c r="K81" s="543" t="s">
        <v>375</v>
      </c>
      <c r="L81" s="543">
        <f t="shared" si="13"/>
        <v>8</v>
      </c>
      <c r="M81" s="543" t="str">
        <f t="shared" si="12"/>
        <v>Bespoke compensation likely to be required 🛠</v>
      </c>
      <c r="N81" s="543" t="s">
        <v>151</v>
      </c>
      <c r="O81" s="543">
        <f t="shared" si="10"/>
        <v>0.1</v>
      </c>
      <c r="P81" s="543" t="s">
        <v>153</v>
      </c>
      <c r="Q81" s="543">
        <f t="shared" si="11"/>
        <v>0.33</v>
      </c>
      <c r="R81" s="519"/>
      <c r="S81" s="543"/>
    </row>
    <row r="82" spans="1:19" x14ac:dyDescent="0.3">
      <c r="A82" s="215" t="s">
        <v>657</v>
      </c>
      <c r="B82" s="119" t="s">
        <v>658</v>
      </c>
      <c r="C82" s="543" t="s">
        <v>659</v>
      </c>
      <c r="D82" s="543" t="s">
        <v>372</v>
      </c>
      <c r="E82" s="543"/>
      <c r="F82" s="519" t="s">
        <v>75</v>
      </c>
      <c r="G82" s="543"/>
      <c r="H82" s="519" t="s">
        <v>652</v>
      </c>
      <c r="I82" s="543" t="s">
        <v>660</v>
      </c>
      <c r="J82" s="543" t="s">
        <v>657</v>
      </c>
      <c r="K82" s="543" t="s">
        <v>375</v>
      </c>
      <c r="L82" s="543">
        <f t="shared" si="13"/>
        <v>8</v>
      </c>
      <c r="M82" s="543" t="str">
        <f t="shared" si="12"/>
        <v>Bespoke compensation likely to be required 🛠</v>
      </c>
      <c r="N82" s="543" t="s">
        <v>151</v>
      </c>
      <c r="O82" s="543">
        <f t="shared" si="10"/>
        <v>0.1</v>
      </c>
      <c r="P82" s="543" t="s">
        <v>153</v>
      </c>
      <c r="Q82" s="543">
        <f t="shared" si="11"/>
        <v>0.33</v>
      </c>
      <c r="R82" s="519"/>
      <c r="S82" s="543"/>
    </row>
    <row r="83" spans="1:19" x14ac:dyDescent="0.3">
      <c r="A83" s="215" t="s">
        <v>661</v>
      </c>
      <c r="B83" s="119" t="s">
        <v>662</v>
      </c>
      <c r="C83" s="543" t="s">
        <v>663</v>
      </c>
      <c r="D83" s="543" t="s">
        <v>372</v>
      </c>
      <c r="E83" s="543"/>
      <c r="F83" s="519" t="s">
        <v>75</v>
      </c>
      <c r="G83" s="543"/>
      <c r="H83" s="519" t="s">
        <v>652</v>
      </c>
      <c r="I83" s="543" t="s">
        <v>663</v>
      </c>
      <c r="J83" s="571" t="s">
        <v>661</v>
      </c>
      <c r="K83" s="543" t="s">
        <v>375</v>
      </c>
      <c r="L83" s="543">
        <f t="shared" si="13"/>
        <v>8</v>
      </c>
      <c r="M83" s="543" t="str">
        <f t="shared" si="12"/>
        <v>Bespoke compensation likely to be required 🛠</v>
      </c>
      <c r="N83" s="543" t="s">
        <v>153</v>
      </c>
      <c r="O83" s="543">
        <f t="shared" si="10"/>
        <v>0.33</v>
      </c>
      <c r="P83" s="543" t="s">
        <v>153</v>
      </c>
      <c r="Q83" s="543">
        <f t="shared" si="11"/>
        <v>0.33</v>
      </c>
      <c r="R83" s="519"/>
      <c r="S83" s="543"/>
    </row>
    <row r="84" spans="1:19" x14ac:dyDescent="0.3">
      <c r="A84" s="215" t="s">
        <v>664</v>
      </c>
      <c r="B84" s="119" t="s">
        <v>665</v>
      </c>
      <c r="C84" s="543" t="s">
        <v>666</v>
      </c>
      <c r="D84" s="543" t="s">
        <v>372</v>
      </c>
      <c r="E84" s="543"/>
      <c r="F84" s="519" t="s">
        <v>75</v>
      </c>
      <c r="G84" s="543"/>
      <c r="H84" s="519" t="s">
        <v>652</v>
      </c>
      <c r="I84" s="543" t="s">
        <v>666</v>
      </c>
      <c r="J84" s="571" t="s">
        <v>664</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4.5" thickBot="1" x14ac:dyDescent="0.35">
      <c r="A85" s="215" t="s">
        <v>667</v>
      </c>
      <c r="B85" s="217" t="s">
        <v>668</v>
      </c>
      <c r="C85" s="577" t="s">
        <v>669</v>
      </c>
      <c r="D85" s="525" t="s">
        <v>372</v>
      </c>
      <c r="E85" s="525"/>
      <c r="F85" s="507" t="s">
        <v>75</v>
      </c>
      <c r="G85" s="525"/>
      <c r="H85" s="507" t="s">
        <v>652</v>
      </c>
      <c r="I85" s="525"/>
      <c r="J85" s="578" t="s">
        <v>668</v>
      </c>
      <c r="K85" s="525" t="s">
        <v>375</v>
      </c>
      <c r="L85" s="525">
        <f t="shared" si="13"/>
        <v>8</v>
      </c>
      <c r="M85" s="525" t="str">
        <f t="shared" si="12"/>
        <v>Bespoke compensation likely to be required 🛠</v>
      </c>
      <c r="N85" s="525" t="s">
        <v>151</v>
      </c>
      <c r="O85" s="525">
        <f t="shared" si="10"/>
        <v>0.1</v>
      </c>
      <c r="P85" s="525" t="s">
        <v>153</v>
      </c>
      <c r="Q85" s="525">
        <f t="shared" si="11"/>
        <v>0.33</v>
      </c>
      <c r="R85" s="507"/>
      <c r="S85" s="525"/>
    </row>
    <row r="86" spans="1:19" x14ac:dyDescent="0.3">
      <c r="A86" s="215" t="s">
        <v>670</v>
      </c>
      <c r="B86" s="218" t="s">
        <v>671</v>
      </c>
      <c r="C86" s="520">
        <v>53</v>
      </c>
      <c r="D86" s="520" t="s">
        <v>372</v>
      </c>
      <c r="E86" s="520"/>
      <c r="F86" s="506" t="s">
        <v>76</v>
      </c>
      <c r="G86" s="520"/>
      <c r="H86" s="506" t="s">
        <v>672</v>
      </c>
      <c r="I86" s="520"/>
      <c r="J86" s="520" t="s">
        <v>670</v>
      </c>
      <c r="K86" s="520" t="s">
        <v>153</v>
      </c>
      <c r="L86" s="520">
        <f t="shared" si="13"/>
        <v>6</v>
      </c>
      <c r="M86" s="520" t="str">
        <f t="shared" si="12"/>
        <v>Same habitat required =</v>
      </c>
      <c r="N86" s="520" t="s">
        <v>156</v>
      </c>
      <c r="O86" s="520">
        <f t="shared" si="10"/>
        <v>1</v>
      </c>
      <c r="P86" s="520" t="s">
        <v>156</v>
      </c>
      <c r="Q86" s="520">
        <f t="shared" si="11"/>
        <v>1</v>
      </c>
      <c r="R86" s="506"/>
      <c r="S86" s="520"/>
    </row>
    <row r="87" spans="1:19" x14ac:dyDescent="0.3">
      <c r="A87" s="215" t="s">
        <v>673</v>
      </c>
      <c r="B87" s="119" t="s">
        <v>674</v>
      </c>
      <c r="C87" s="543" t="s">
        <v>675</v>
      </c>
      <c r="D87" s="543" t="s">
        <v>372</v>
      </c>
      <c r="E87" s="543"/>
      <c r="F87" s="519" t="s">
        <v>76</v>
      </c>
      <c r="G87" s="543"/>
      <c r="H87" s="519" t="s">
        <v>676</v>
      </c>
      <c r="I87" s="543" t="s">
        <v>675</v>
      </c>
      <c r="J87" s="571" t="s">
        <v>673</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x14ac:dyDescent="0.3">
      <c r="A88" s="215" t="s">
        <v>677</v>
      </c>
      <c r="B88" s="119" t="s">
        <v>678</v>
      </c>
      <c r="C88" s="543" t="s">
        <v>679</v>
      </c>
      <c r="D88" s="543" t="s">
        <v>372</v>
      </c>
      <c r="E88" s="543"/>
      <c r="F88" s="519" t="s">
        <v>76</v>
      </c>
      <c r="G88" s="543"/>
      <c r="H88" s="519" t="s">
        <v>676</v>
      </c>
      <c r="I88" s="543" t="s">
        <v>679</v>
      </c>
      <c r="J88" s="571" t="s">
        <v>677</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x14ac:dyDescent="0.3">
      <c r="A89" s="215" t="s">
        <v>680</v>
      </c>
      <c r="B89" s="119" t="s">
        <v>681</v>
      </c>
      <c r="C89" s="543" t="s">
        <v>682</v>
      </c>
      <c r="D89" s="543" t="s">
        <v>372</v>
      </c>
      <c r="E89" s="543"/>
      <c r="F89" s="519" t="s">
        <v>76</v>
      </c>
      <c r="G89" s="543" t="s">
        <v>683</v>
      </c>
      <c r="H89" s="519" t="s">
        <v>684</v>
      </c>
      <c r="I89" s="543" t="s">
        <v>682</v>
      </c>
      <c r="J89" s="571" t="s">
        <v>680</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x14ac:dyDescent="0.3">
      <c r="A90" s="215" t="s">
        <v>685</v>
      </c>
      <c r="B90" s="119" t="s">
        <v>686</v>
      </c>
      <c r="C90" s="543" t="s">
        <v>687</v>
      </c>
      <c r="D90" s="543" t="s">
        <v>372</v>
      </c>
      <c r="E90" s="543"/>
      <c r="F90" s="519" t="s">
        <v>76</v>
      </c>
      <c r="G90" s="543"/>
      <c r="H90" s="519" t="s">
        <v>684</v>
      </c>
      <c r="I90" s="543" t="s">
        <v>687</v>
      </c>
      <c r="J90" s="543" t="s">
        <v>685</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x14ac:dyDescent="0.3">
      <c r="A91" s="215" t="s">
        <v>688</v>
      </c>
      <c r="B91" s="119" t="s">
        <v>689</v>
      </c>
      <c r="C91" s="543" t="s">
        <v>690</v>
      </c>
      <c r="D91" s="543" t="s">
        <v>372</v>
      </c>
      <c r="E91" s="543"/>
      <c r="F91" s="519" t="s">
        <v>76</v>
      </c>
      <c r="G91" s="543"/>
      <c r="H91" s="519" t="s">
        <v>684</v>
      </c>
      <c r="I91" s="543" t="s">
        <v>690</v>
      </c>
      <c r="J91" s="543" t="s">
        <v>688</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x14ac:dyDescent="0.3">
      <c r="A92" s="215" t="s">
        <v>691</v>
      </c>
      <c r="B92" s="119" t="s">
        <v>692</v>
      </c>
      <c r="C92" s="543" t="s">
        <v>693</v>
      </c>
      <c r="D92" s="543" t="s">
        <v>372</v>
      </c>
      <c r="E92" s="543"/>
      <c r="F92" s="519" t="s">
        <v>76</v>
      </c>
      <c r="G92" s="543"/>
      <c r="H92" s="519" t="s">
        <v>676</v>
      </c>
      <c r="I92" s="543" t="s">
        <v>693</v>
      </c>
      <c r="J92" s="543" t="s">
        <v>691</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x14ac:dyDescent="0.3">
      <c r="A93" s="215" t="s">
        <v>694</v>
      </c>
      <c r="B93" s="119" t="s">
        <v>695</v>
      </c>
      <c r="C93" s="543" t="s">
        <v>696</v>
      </c>
      <c r="D93" s="543" t="s">
        <v>372</v>
      </c>
      <c r="E93" s="543"/>
      <c r="F93" s="519" t="s">
        <v>76</v>
      </c>
      <c r="G93" s="543"/>
      <c r="H93" s="519" t="s">
        <v>676</v>
      </c>
      <c r="I93" s="543" t="s">
        <v>696</v>
      </c>
      <c r="J93" s="543" t="s">
        <v>694</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x14ac:dyDescent="0.3">
      <c r="A94" s="215" t="s">
        <v>697</v>
      </c>
      <c r="B94" s="119" t="s">
        <v>698</v>
      </c>
      <c r="C94" s="543" t="s">
        <v>699</v>
      </c>
      <c r="D94" s="543" t="s">
        <v>372</v>
      </c>
      <c r="E94" s="543"/>
      <c r="F94" s="519" t="s">
        <v>76</v>
      </c>
      <c r="G94" s="543"/>
      <c r="H94" s="519" t="s">
        <v>676</v>
      </c>
      <c r="I94" s="543" t="s">
        <v>699</v>
      </c>
      <c r="J94" s="571" t="s">
        <v>697</v>
      </c>
      <c r="K94" s="543" t="s">
        <v>153</v>
      </c>
      <c r="L94" s="543">
        <f t="shared" si="13"/>
        <v>6</v>
      </c>
      <c r="M94" s="543" t="str">
        <f t="shared" si="12"/>
        <v>Same habitat required =</v>
      </c>
      <c r="N94" s="543" t="s">
        <v>23</v>
      </c>
      <c r="O94" s="543">
        <f t="shared" si="14"/>
        <v>0.67</v>
      </c>
      <c r="P94" s="543" t="s">
        <v>23</v>
      </c>
      <c r="Q94" s="543">
        <f t="shared" si="15"/>
        <v>0.67</v>
      </c>
      <c r="R94" s="519"/>
      <c r="S94" s="543"/>
    </row>
    <row r="95" spans="1:19" x14ac:dyDescent="0.3">
      <c r="A95" s="215" t="s">
        <v>700</v>
      </c>
      <c r="B95" s="119" t="s">
        <v>701</v>
      </c>
      <c r="C95" s="543" t="s">
        <v>702</v>
      </c>
      <c r="D95" s="543" t="s">
        <v>372</v>
      </c>
      <c r="E95" s="543"/>
      <c r="F95" s="519" t="s">
        <v>76</v>
      </c>
      <c r="G95" s="543"/>
      <c r="H95" s="519" t="s">
        <v>676</v>
      </c>
      <c r="I95" s="543" t="s">
        <v>702</v>
      </c>
      <c r="J95" s="571" t="s">
        <v>700</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x14ac:dyDescent="0.3">
      <c r="A96" s="215" t="s">
        <v>703</v>
      </c>
      <c r="B96" s="119" t="s">
        <v>704</v>
      </c>
      <c r="C96" s="543" t="s">
        <v>705</v>
      </c>
      <c r="D96" s="543" t="s">
        <v>372</v>
      </c>
      <c r="E96" s="543" t="s">
        <v>706</v>
      </c>
      <c r="F96" s="519" t="s">
        <v>76</v>
      </c>
      <c r="G96" s="543" t="s">
        <v>707</v>
      </c>
      <c r="H96" s="519" t="s">
        <v>676</v>
      </c>
      <c r="I96" s="543" t="s">
        <v>705</v>
      </c>
      <c r="J96" s="571" t="s">
        <v>703</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x14ac:dyDescent="0.3">
      <c r="A97" s="215" t="s">
        <v>708</v>
      </c>
      <c r="B97" s="119" t="s">
        <v>709</v>
      </c>
      <c r="C97" s="543" t="s">
        <v>710</v>
      </c>
      <c r="D97" s="543" t="s">
        <v>372</v>
      </c>
      <c r="E97" s="543"/>
      <c r="F97" s="519" t="s">
        <v>76</v>
      </c>
      <c r="G97" s="543"/>
      <c r="H97" s="519" t="s">
        <v>676</v>
      </c>
      <c r="I97" s="543" t="s">
        <v>710</v>
      </c>
      <c r="J97" s="571" t="s">
        <v>708</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4.5" thickBot="1" x14ac:dyDescent="0.35">
      <c r="A98" s="215" t="s">
        <v>711</v>
      </c>
      <c r="B98" s="217" t="s">
        <v>712</v>
      </c>
      <c r="C98" s="525">
        <v>20</v>
      </c>
      <c r="D98" s="525" t="s">
        <v>372</v>
      </c>
      <c r="E98" s="525"/>
      <c r="F98" s="507" t="s">
        <v>76</v>
      </c>
      <c r="G98" s="525"/>
      <c r="H98" s="507" t="s">
        <v>672</v>
      </c>
      <c r="I98" s="525"/>
      <c r="J98" s="525" t="s">
        <v>711</v>
      </c>
      <c r="K98" s="525" t="s">
        <v>375</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4.5" thickBot="1" x14ac:dyDescent="0.35">
      <c r="A99" s="215" t="s">
        <v>80</v>
      </c>
      <c r="B99" s="219" t="s">
        <v>713</v>
      </c>
      <c r="C99" s="579" t="s">
        <v>714</v>
      </c>
      <c r="D99" s="580" t="s">
        <v>715</v>
      </c>
      <c r="E99" s="580" t="s">
        <v>716</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x14ac:dyDescent="0.3">
      <c r="A100" s="215" t="s">
        <v>717</v>
      </c>
      <c r="B100" s="218" t="s">
        <v>718</v>
      </c>
      <c r="C100" s="583" t="s">
        <v>719</v>
      </c>
      <c r="D100" s="584" t="s">
        <v>715</v>
      </c>
      <c r="E100" s="584" t="s">
        <v>720</v>
      </c>
      <c r="F100" s="520" t="s">
        <v>79</v>
      </c>
      <c r="G100" s="584"/>
      <c r="H100" s="520" t="s">
        <v>717</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x14ac:dyDescent="0.3">
      <c r="A101" s="220" t="s">
        <v>721</v>
      </c>
      <c r="B101" s="119" t="s">
        <v>722</v>
      </c>
      <c r="C101" s="583" t="s">
        <v>723</v>
      </c>
      <c r="D101" s="585" t="s">
        <v>715</v>
      </c>
      <c r="E101" s="585" t="s">
        <v>720</v>
      </c>
      <c r="F101" s="543" t="s">
        <v>79</v>
      </c>
      <c r="G101" s="585"/>
      <c r="H101" s="571" t="s">
        <v>724</v>
      </c>
      <c r="I101" s="543"/>
      <c r="J101" s="585"/>
      <c r="K101" s="543" t="s">
        <v>375</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x14ac:dyDescent="0.3">
      <c r="A102" s="215" t="s">
        <v>725</v>
      </c>
      <c r="B102" s="119" t="s">
        <v>726</v>
      </c>
      <c r="C102" s="570" t="s">
        <v>727</v>
      </c>
      <c r="D102" s="585" t="s">
        <v>715</v>
      </c>
      <c r="E102" s="585" t="s">
        <v>720</v>
      </c>
      <c r="F102" s="543" t="s">
        <v>79</v>
      </c>
      <c r="G102" s="585"/>
      <c r="H102" s="543" t="s">
        <v>725</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x14ac:dyDescent="0.3">
      <c r="A103" s="220" t="s">
        <v>728</v>
      </c>
      <c r="B103" s="119" t="s">
        <v>729</v>
      </c>
      <c r="C103" s="570" t="s">
        <v>730</v>
      </c>
      <c r="D103" s="585" t="s">
        <v>715</v>
      </c>
      <c r="E103" s="585" t="s">
        <v>720</v>
      </c>
      <c r="F103" s="543" t="s">
        <v>79</v>
      </c>
      <c r="G103" s="585"/>
      <c r="H103" s="571" t="s">
        <v>731</v>
      </c>
      <c r="I103" s="543"/>
      <c r="J103" s="585"/>
      <c r="K103" s="543" t="s">
        <v>375</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x14ac:dyDescent="0.3">
      <c r="A104" s="215" t="s">
        <v>732</v>
      </c>
      <c r="B104" s="119" t="s">
        <v>733</v>
      </c>
      <c r="C104" s="570" t="s">
        <v>734</v>
      </c>
      <c r="D104" s="585" t="s">
        <v>715</v>
      </c>
      <c r="E104" s="585" t="s">
        <v>720</v>
      </c>
      <c r="F104" s="543" t="s">
        <v>79</v>
      </c>
      <c r="G104" s="585"/>
      <c r="H104" s="543" t="s">
        <v>732</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x14ac:dyDescent="0.3">
      <c r="A105" s="220" t="s">
        <v>735</v>
      </c>
      <c r="B105" s="119" t="s">
        <v>736</v>
      </c>
      <c r="C105" s="570" t="s">
        <v>737</v>
      </c>
      <c r="D105" s="585" t="s">
        <v>715</v>
      </c>
      <c r="E105" s="585" t="s">
        <v>720</v>
      </c>
      <c r="F105" s="543" t="s">
        <v>79</v>
      </c>
      <c r="G105" s="585"/>
      <c r="H105" s="571" t="s">
        <v>738</v>
      </c>
      <c r="I105" s="543"/>
      <c r="J105" s="585"/>
      <c r="K105" s="543" t="s">
        <v>375</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x14ac:dyDescent="0.3">
      <c r="A106" s="215" t="s">
        <v>739</v>
      </c>
      <c r="B106" s="119" t="s">
        <v>740</v>
      </c>
      <c r="C106" s="570" t="s">
        <v>741</v>
      </c>
      <c r="D106" s="585" t="s">
        <v>715</v>
      </c>
      <c r="E106" s="585" t="s">
        <v>720</v>
      </c>
      <c r="F106" s="543" t="s">
        <v>79</v>
      </c>
      <c r="G106" s="585"/>
      <c r="H106" s="543" t="s">
        <v>739</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4.5" thickBot="1" x14ac:dyDescent="0.35">
      <c r="A107" s="220" t="s">
        <v>742</v>
      </c>
      <c r="B107" s="217" t="s">
        <v>743</v>
      </c>
      <c r="C107" s="577" t="s">
        <v>744</v>
      </c>
      <c r="D107" s="586" t="s">
        <v>715</v>
      </c>
      <c r="E107" s="586" t="s">
        <v>720</v>
      </c>
      <c r="F107" s="525" t="s">
        <v>79</v>
      </c>
      <c r="G107" s="586"/>
      <c r="H107" s="574" t="s">
        <v>745</v>
      </c>
      <c r="I107" s="525"/>
      <c r="J107" s="586"/>
      <c r="K107" s="525" t="s">
        <v>375</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x14ac:dyDescent="0.3">
      <c r="A108" s="215" t="s">
        <v>746</v>
      </c>
      <c r="B108" s="218" t="s">
        <v>747</v>
      </c>
      <c r="C108" s="583" t="s">
        <v>748</v>
      </c>
      <c r="D108" s="584" t="s">
        <v>715</v>
      </c>
      <c r="E108" s="584" t="s">
        <v>749</v>
      </c>
      <c r="F108" s="520" t="s">
        <v>78</v>
      </c>
      <c r="G108" s="584"/>
      <c r="H108" s="520" t="s">
        <v>750</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4.5" thickBot="1" x14ac:dyDescent="0.35">
      <c r="A109" s="215" t="s">
        <v>751</v>
      </c>
      <c r="B109" s="217" t="s">
        <v>752</v>
      </c>
      <c r="C109" s="577" t="s">
        <v>753</v>
      </c>
      <c r="D109" s="586"/>
      <c r="E109" s="586"/>
      <c r="F109" s="525" t="s">
        <v>78</v>
      </c>
      <c r="G109" s="586"/>
      <c r="H109" s="525" t="s">
        <v>751</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x14ac:dyDescent="0.3">
      <c r="A110" s="215" t="s">
        <v>754</v>
      </c>
      <c r="B110" s="218" t="s">
        <v>755</v>
      </c>
      <c r="C110" s="583" t="s">
        <v>756</v>
      </c>
      <c r="D110" s="584" t="s">
        <v>715</v>
      </c>
      <c r="E110" s="584" t="s">
        <v>749</v>
      </c>
      <c r="F110" s="520" t="s">
        <v>77</v>
      </c>
      <c r="G110" s="584"/>
      <c r="H110" s="520" t="s">
        <v>754</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x14ac:dyDescent="0.3">
      <c r="A111" s="215" t="s">
        <v>757</v>
      </c>
      <c r="B111" s="119" t="s">
        <v>758</v>
      </c>
      <c r="C111" s="570" t="s">
        <v>759</v>
      </c>
      <c r="D111" s="585" t="s">
        <v>715</v>
      </c>
      <c r="E111" s="585" t="s">
        <v>749</v>
      </c>
      <c r="F111" s="543" t="s">
        <v>77</v>
      </c>
      <c r="G111" s="585"/>
      <c r="H111" s="543" t="s">
        <v>757</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x14ac:dyDescent="0.3">
      <c r="A112" s="215" t="s">
        <v>760</v>
      </c>
      <c r="B112" s="119" t="s">
        <v>761</v>
      </c>
      <c r="C112" s="570" t="s">
        <v>762</v>
      </c>
      <c r="D112" s="585" t="s">
        <v>715</v>
      </c>
      <c r="E112" s="585" t="s">
        <v>749</v>
      </c>
      <c r="F112" s="543" t="s">
        <v>77</v>
      </c>
      <c r="G112" s="585"/>
      <c r="H112" s="543" t="s">
        <v>760</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x14ac:dyDescent="0.3">
      <c r="A113" s="215" t="s">
        <v>763</v>
      </c>
      <c r="B113" s="119" t="s">
        <v>764</v>
      </c>
      <c r="C113" s="570" t="s">
        <v>765</v>
      </c>
      <c r="D113" s="585" t="s">
        <v>715</v>
      </c>
      <c r="E113" s="585" t="s">
        <v>749</v>
      </c>
      <c r="F113" s="543" t="s">
        <v>77</v>
      </c>
      <c r="G113" s="585"/>
      <c r="H113" s="543" t="s">
        <v>766</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x14ac:dyDescent="0.3">
      <c r="A114" s="220" t="s">
        <v>767</v>
      </c>
      <c r="B114" s="119" t="s">
        <v>768</v>
      </c>
      <c r="C114" s="570" t="s">
        <v>769</v>
      </c>
      <c r="D114" s="585" t="s">
        <v>715</v>
      </c>
      <c r="E114" s="585" t="s">
        <v>749</v>
      </c>
      <c r="F114" s="543" t="s">
        <v>77</v>
      </c>
      <c r="G114" s="585"/>
      <c r="H114" s="571" t="s">
        <v>770</v>
      </c>
      <c r="I114" s="543"/>
      <c r="J114" s="585"/>
      <c r="K114" s="543" t="s">
        <v>375</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x14ac:dyDescent="0.3">
      <c r="A115" s="215" t="s">
        <v>771</v>
      </c>
      <c r="B115" s="119" t="s">
        <v>772</v>
      </c>
      <c r="C115" s="570" t="s">
        <v>773</v>
      </c>
      <c r="D115" s="585"/>
      <c r="E115" s="585"/>
      <c r="F115" s="543" t="s">
        <v>77</v>
      </c>
      <c r="G115" s="585"/>
      <c r="H115" s="543" t="s">
        <v>774</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x14ac:dyDescent="0.3">
      <c r="A116" s="215" t="s">
        <v>775</v>
      </c>
      <c r="B116" s="119" t="s">
        <v>776</v>
      </c>
      <c r="C116" s="570" t="s">
        <v>777</v>
      </c>
      <c r="D116" s="585" t="s">
        <v>715</v>
      </c>
      <c r="E116" s="585" t="s">
        <v>749</v>
      </c>
      <c r="F116" s="543" t="s">
        <v>77</v>
      </c>
      <c r="G116" s="585"/>
      <c r="H116" s="543" t="s">
        <v>775</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x14ac:dyDescent="0.3">
      <c r="A117" s="215" t="s">
        <v>778</v>
      </c>
      <c r="B117" s="119" t="s">
        <v>779</v>
      </c>
      <c r="C117" s="570" t="s">
        <v>780</v>
      </c>
      <c r="D117" s="585" t="s">
        <v>715</v>
      </c>
      <c r="E117" s="585" t="s">
        <v>749</v>
      </c>
      <c r="F117" s="543" t="s">
        <v>77</v>
      </c>
      <c r="G117" s="585"/>
      <c r="H117" s="543" t="s">
        <v>778</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x14ac:dyDescent="0.3">
      <c r="A118" s="215" t="s">
        <v>781</v>
      </c>
      <c r="B118" s="119" t="s">
        <v>782</v>
      </c>
      <c r="C118" s="570" t="s">
        <v>783</v>
      </c>
      <c r="D118" s="585" t="s">
        <v>715</v>
      </c>
      <c r="E118" s="585" t="s">
        <v>749</v>
      </c>
      <c r="F118" s="543" t="s">
        <v>77</v>
      </c>
      <c r="G118" s="585"/>
      <c r="H118" s="543" t="s">
        <v>781</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x14ac:dyDescent="0.3">
      <c r="A119" s="215" t="s">
        <v>784</v>
      </c>
      <c r="B119" s="119" t="s">
        <v>785</v>
      </c>
      <c r="C119" s="570" t="s">
        <v>786</v>
      </c>
      <c r="D119" s="585"/>
      <c r="E119" s="585"/>
      <c r="F119" s="543" t="s">
        <v>77</v>
      </c>
      <c r="G119" s="585"/>
      <c r="H119" s="543" t="s">
        <v>784</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x14ac:dyDescent="0.3">
      <c r="A120" s="215" t="s">
        <v>787</v>
      </c>
      <c r="B120" s="119" t="s">
        <v>788</v>
      </c>
      <c r="C120" s="570" t="s">
        <v>789</v>
      </c>
      <c r="D120" s="585"/>
      <c r="E120" s="585"/>
      <c r="F120" s="543" t="s">
        <v>77</v>
      </c>
      <c r="G120" s="585"/>
      <c r="H120" s="573" t="s">
        <v>787</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x14ac:dyDescent="0.3">
      <c r="A121" s="215" t="s">
        <v>790</v>
      </c>
      <c r="B121" s="119" t="s">
        <v>791</v>
      </c>
      <c r="C121" s="570" t="s">
        <v>792</v>
      </c>
      <c r="D121" s="585" t="s">
        <v>715</v>
      </c>
      <c r="E121" s="585" t="s">
        <v>749</v>
      </c>
      <c r="F121" s="543" t="s">
        <v>77</v>
      </c>
      <c r="G121" s="585"/>
      <c r="H121" s="543" t="s">
        <v>784</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x14ac:dyDescent="0.3">
      <c r="A122" s="215" t="s">
        <v>793</v>
      </c>
      <c r="B122" s="119" t="s">
        <v>794</v>
      </c>
      <c r="C122" s="570" t="s">
        <v>795</v>
      </c>
      <c r="D122" s="585" t="s">
        <v>715</v>
      </c>
      <c r="E122" s="585" t="s">
        <v>749</v>
      </c>
      <c r="F122" s="543" t="s">
        <v>77</v>
      </c>
      <c r="G122" s="585"/>
      <c r="H122" s="543" t="s">
        <v>793</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x14ac:dyDescent="0.3">
      <c r="A123" s="215" t="s">
        <v>796</v>
      </c>
      <c r="B123" s="119" t="s">
        <v>797</v>
      </c>
      <c r="C123" s="570" t="s">
        <v>798</v>
      </c>
      <c r="D123" s="585" t="s">
        <v>715</v>
      </c>
      <c r="E123" s="585" t="s">
        <v>749</v>
      </c>
      <c r="F123" s="543" t="s">
        <v>77</v>
      </c>
      <c r="G123" s="585"/>
      <c r="H123" s="543" t="s">
        <v>796</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x14ac:dyDescent="0.3">
      <c r="A124" s="215" t="s">
        <v>799</v>
      </c>
      <c r="B124" s="119" t="s">
        <v>800</v>
      </c>
      <c r="C124" s="570" t="s">
        <v>801</v>
      </c>
      <c r="D124" s="585" t="s">
        <v>715</v>
      </c>
      <c r="E124" s="585" t="s">
        <v>749</v>
      </c>
      <c r="F124" s="543" t="s">
        <v>77</v>
      </c>
      <c r="G124" s="585"/>
      <c r="H124" s="543" t="s">
        <v>799</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x14ac:dyDescent="0.3">
      <c r="A125" s="156" t="s">
        <v>802</v>
      </c>
      <c r="B125" s="105" t="s">
        <v>803</v>
      </c>
      <c r="C125" s="570" t="s">
        <v>804</v>
      </c>
      <c r="D125" s="585" t="s">
        <v>715</v>
      </c>
      <c r="E125" s="585"/>
      <c r="F125" s="543" t="s">
        <v>77</v>
      </c>
      <c r="G125" s="585"/>
      <c r="H125" s="587" t="s">
        <v>802</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4.5" thickBot="1" x14ac:dyDescent="0.35">
      <c r="A126" s="156" t="s">
        <v>805</v>
      </c>
      <c r="B126" s="221" t="s">
        <v>806</v>
      </c>
      <c r="C126" s="577" t="s">
        <v>807</v>
      </c>
      <c r="D126" s="586" t="s">
        <v>715</v>
      </c>
      <c r="E126" s="586"/>
      <c r="F126" s="525" t="s">
        <v>77</v>
      </c>
      <c r="G126" s="586"/>
      <c r="H126" s="588" t="s">
        <v>805</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x14ac:dyDescent="0.3">
      <c r="A127" s="156" t="s">
        <v>808</v>
      </c>
      <c r="B127" s="222" t="s">
        <v>809</v>
      </c>
      <c r="C127" s="583" t="s">
        <v>810</v>
      </c>
      <c r="D127" s="584" t="s">
        <v>715</v>
      </c>
      <c r="E127" s="584"/>
      <c r="F127" s="520" t="s">
        <v>81</v>
      </c>
      <c r="G127" s="584"/>
      <c r="H127" s="589" t="s">
        <v>808</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x14ac:dyDescent="0.3">
      <c r="A128" s="156" t="s">
        <v>811</v>
      </c>
      <c r="B128" s="105" t="s">
        <v>812</v>
      </c>
      <c r="C128" s="570" t="s">
        <v>813</v>
      </c>
      <c r="D128" s="585" t="s">
        <v>715</v>
      </c>
      <c r="E128" s="585"/>
      <c r="F128" s="520" t="s">
        <v>81</v>
      </c>
      <c r="G128" s="585"/>
      <c r="H128" s="587" t="s">
        <v>811</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28" x14ac:dyDescent="0.3">
      <c r="A129" s="156" t="s">
        <v>814</v>
      </c>
      <c r="B129" s="105" t="s">
        <v>815</v>
      </c>
      <c r="C129" s="570" t="s">
        <v>816</v>
      </c>
      <c r="D129" s="585" t="s">
        <v>715</v>
      </c>
      <c r="E129" s="585"/>
      <c r="F129" s="520" t="s">
        <v>81</v>
      </c>
      <c r="G129" s="585"/>
      <c r="H129" s="587" t="s">
        <v>814</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x14ac:dyDescent="0.3"/>
    <row r="131" spans="1:19" x14ac:dyDescent="0.3"/>
    <row r="132" spans="1:19" x14ac:dyDescent="0.3"/>
    <row r="133" spans="1:19" x14ac:dyDescent="0.3"/>
    <row r="134" spans="1:19" x14ac:dyDescent="0.3"/>
    <row r="135" spans="1:19" x14ac:dyDescent="0.3"/>
    <row r="136" spans="1:19" x14ac:dyDescent="0.3"/>
    <row r="137" spans="1:19" x14ac:dyDescent="0.3"/>
    <row r="138" spans="1:19" x14ac:dyDescent="0.3"/>
    <row r="139" spans="1:19" x14ac:dyDescent="0.3"/>
    <row r="140" spans="1:19" x14ac:dyDescent="0.3"/>
    <row r="144" spans="1:19" x14ac:dyDescent="0.3"/>
    <row r="148" x14ac:dyDescent="0.3"/>
    <row r="149" x14ac:dyDescent="0.3"/>
    <row r="150" x14ac:dyDescent="0.3"/>
    <row r="151" x14ac:dyDescent="0.3"/>
    <row r="152" x14ac:dyDescent="0.3"/>
    <row r="153" x14ac:dyDescent="0.3"/>
    <row r="154" x14ac:dyDescent="0.3"/>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defaultColWidth="16.453125" defaultRowHeight="14" x14ac:dyDescent="0.3"/>
  <cols>
    <col min="1" max="1" width="88.81640625" style="31" bestFit="1" customWidth="1"/>
    <col min="2" max="2" width="27.7265625" style="31" customWidth="1"/>
    <col min="3" max="3" width="18.54296875" style="31" customWidth="1"/>
    <col min="4" max="4" width="62.81640625" style="31" bestFit="1" customWidth="1"/>
    <col min="5" max="35" width="16.453125" style="31"/>
    <col min="36" max="36" width="23.7265625" style="31" customWidth="1"/>
    <col min="37" max="38" width="16.453125" style="31"/>
    <col min="39" max="39" width="23" style="31" customWidth="1"/>
    <col min="40" max="40" width="23.453125" style="31" customWidth="1"/>
    <col min="41" max="41" width="21.7265625" style="31" customWidth="1"/>
    <col min="42" max="42" width="23.54296875" style="31" customWidth="1"/>
    <col min="43" max="46" width="16.453125" style="31"/>
    <col min="47" max="47" width="78.453125" style="31" customWidth="1"/>
    <col min="48" max="48" width="24.453125" style="31" bestFit="1" customWidth="1"/>
    <col min="49" max="49" width="16.81640625" style="31" bestFit="1" customWidth="1"/>
    <col min="50" max="50" width="23.54296875" style="31" bestFit="1" customWidth="1"/>
    <col min="51" max="51" width="28.1796875" style="31" customWidth="1"/>
    <col min="52" max="52" width="29.26953125" style="31" bestFit="1" customWidth="1"/>
    <col min="53" max="53" width="26.1796875" style="31" bestFit="1" customWidth="1"/>
    <col min="54" max="54" width="25.81640625" style="31" bestFit="1" customWidth="1"/>
    <col min="55" max="55" width="28.1796875" style="31" bestFit="1" customWidth="1"/>
    <col min="56" max="57" width="34.7265625" style="31" bestFit="1" customWidth="1"/>
    <col min="58" max="58" width="27.1796875" style="31" bestFit="1" customWidth="1"/>
    <col min="59" max="59" width="9.1796875" style="31" bestFit="1" customWidth="1"/>
    <col min="60" max="16384" width="16.453125" style="31"/>
  </cols>
  <sheetData>
    <row r="1" spans="1:59" ht="51.65" customHeight="1" x14ac:dyDescent="0.7">
      <c r="A1" s="1044" t="s">
        <v>817</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818</v>
      </c>
      <c r="AK1" s="1042"/>
      <c r="AL1" s="1042"/>
      <c r="AM1" s="1042"/>
      <c r="AN1" s="1042"/>
      <c r="AO1" s="1042"/>
      <c r="AP1" s="1043"/>
      <c r="AU1" s="1041" t="s">
        <v>819</v>
      </c>
      <c r="AV1" s="1042"/>
      <c r="AW1" s="1042"/>
      <c r="AX1" s="1042"/>
      <c r="AY1" s="1042"/>
      <c r="AZ1" s="1042"/>
      <c r="BA1" s="1042"/>
      <c r="BB1" s="1042"/>
      <c r="BC1" s="1042"/>
      <c r="BD1" s="1042"/>
      <c r="BE1" s="1042"/>
      <c r="BF1" s="1042"/>
      <c r="BG1" s="1043"/>
    </row>
    <row r="2" spans="1:59" ht="22.5" x14ac:dyDescent="0.45">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5" customHeight="1" x14ac:dyDescent="0.7">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30" x14ac:dyDescent="0.3">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5" customHeight="1" x14ac:dyDescent="0.3">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8.0000000000000004E-4</v>
      </c>
      <c r="AL5" s="100">
        <f t="shared" si="11"/>
        <v>1.6000000000000001E-3</v>
      </c>
      <c r="AM5" s="100">
        <f t="shared" si="12"/>
        <v>0</v>
      </c>
      <c r="AN5" s="100">
        <f t="shared" si="13"/>
        <v>0</v>
      </c>
      <c r="AO5" s="111">
        <f t="shared" si="14"/>
        <v>-8.0000000000000004E-4</v>
      </c>
      <c r="AP5" s="111">
        <f t="shared" si="15"/>
        <v>-1.6000000000000001E-3</v>
      </c>
      <c r="AU5" s="119" t="s">
        <v>439</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5" customHeight="1" x14ac:dyDescent="0.3">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0</v>
      </c>
      <c r="AL6" s="100">
        <f t="shared" si="11"/>
        <v>0</v>
      </c>
      <c r="AM6" s="100">
        <f t="shared" si="12"/>
        <v>0</v>
      </c>
      <c r="AN6" s="100">
        <f t="shared" si="13"/>
        <v>0</v>
      </c>
      <c r="AO6" s="111">
        <f t="shared" si="14"/>
        <v>0</v>
      </c>
      <c r="AP6" s="111">
        <f t="shared" si="15"/>
        <v>0</v>
      </c>
      <c r="AU6" s="119" t="s">
        <v>444</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5" customHeight="1" x14ac:dyDescent="0.3">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5" customHeight="1" x14ac:dyDescent="0.3">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v>
      </c>
      <c r="AL8" s="100">
        <f t="shared" si="11"/>
        <v>0</v>
      </c>
      <c r="AM8" s="100">
        <f t="shared" si="12"/>
        <v>0</v>
      </c>
      <c r="AN8" s="100">
        <f t="shared" si="13"/>
        <v>0</v>
      </c>
      <c r="AO8" s="111">
        <f t="shared" si="14"/>
        <v>0</v>
      </c>
      <c r="AP8" s="111">
        <f t="shared" si="15"/>
        <v>0</v>
      </c>
      <c r="AU8" s="119" t="s">
        <v>500</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5" customHeight="1" x14ac:dyDescent="0.3">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0.44769999999999999</v>
      </c>
      <c r="AL9" s="100">
        <f t="shared" si="11"/>
        <v>1.4599999999999998E-2</v>
      </c>
      <c r="AM9" s="100">
        <f t="shared" si="12"/>
        <v>0.63162479999999999</v>
      </c>
      <c r="AN9" s="100">
        <f t="shared" si="13"/>
        <v>0.67600177752251378</v>
      </c>
      <c r="AO9" s="111">
        <f t="shared" si="14"/>
        <v>0.18392479999999994</v>
      </c>
      <c r="AP9" s="111">
        <f t="shared" si="15"/>
        <v>0.66140177752251372</v>
      </c>
      <c r="AU9" s="119" t="s">
        <v>518</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x14ac:dyDescent="0.3">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5" customHeight="1" x14ac:dyDescent="0.3">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v>
      </c>
      <c r="AL11" s="100">
        <f t="shared" si="11"/>
        <v>0</v>
      </c>
      <c r="AM11" s="100">
        <f t="shared" si="12"/>
        <v>0</v>
      </c>
      <c r="AN11" s="100">
        <f t="shared" si="13"/>
        <v>0</v>
      </c>
      <c r="AO11" s="111">
        <f t="shared" si="14"/>
        <v>0</v>
      </c>
      <c r="AP11" s="111">
        <f t="shared" si="15"/>
        <v>0</v>
      </c>
      <c r="AU11" s="119" t="s">
        <v>574</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5" customHeight="1" x14ac:dyDescent="0.3">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5" customHeight="1" x14ac:dyDescent="0.3">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5" customHeight="1" x14ac:dyDescent="0.3">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x14ac:dyDescent="0.3">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x14ac:dyDescent="0.3">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x14ac:dyDescent="0.3">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662</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x14ac:dyDescent="0.3">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668</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0" x14ac:dyDescent="0.3">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862</v>
      </c>
      <c r="AK19" s="127" t="s">
        <v>851</v>
      </c>
      <c r="AL19" s="127" t="s">
        <v>852</v>
      </c>
      <c r="AM19" s="127" t="s">
        <v>857</v>
      </c>
      <c r="AN19" s="127" t="s">
        <v>863</v>
      </c>
      <c r="AO19" s="127" t="s">
        <v>864</v>
      </c>
      <c r="AP19" s="127" t="s">
        <v>865</v>
      </c>
      <c r="AU19" s="119" t="s">
        <v>712</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x14ac:dyDescent="0.3">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8.0000000000000004E-4</v>
      </c>
      <c r="F20" s="493">
        <f>SUMIF('A-1 Site Habitat Baseline'!$G$11:$G$258,'G-2 Habitat groups'!A20,'A-1 Site Habitat Baseline'!$Q$11:$Q$258)</f>
        <v>1.6000000000000001E-3</v>
      </c>
      <c r="G20" s="493">
        <f>SUMIF('A-1 Site Habitat Baseline'!$G$11:$G$258,'G-2 Habitat groups'!A20,'A-1 Site Habitat Baseline'!$S$11:$S$258)</f>
        <v>0</v>
      </c>
      <c r="H20" s="493">
        <f>SUMIF('A-1 Site Habitat Baseline'!$G$11:$G$258,'G-2 Habitat groups'!A20,'A-1 Site Habitat Baseline'!$U$11:$U$258)</f>
        <v>0</v>
      </c>
      <c r="I20" s="493">
        <f>SUMIF('A-1 Site Habitat Baseline'!$G$11:$G$258,'G-2 Habitat groups'!A20,'A-1 Site Habitat Baseline'!$W$11:$W$258)</f>
        <v>8.0000000000000004E-4</v>
      </c>
      <c r="J20" s="493">
        <f>SUMIF('A-1 Site Habitat Baseline'!$G$11:$G$258,'G-2 Habitat groups'!A20,'A-1 Site Habitat Baseline'!$X$11:$X$258)</f>
        <v>1.6000000000000001E-3</v>
      </c>
      <c r="K20" s="493">
        <f>SUMIF('A-2 Site Habitat Creation'!$F$11:$F$256,'G-2 Habitat groups'!A20,'A-2 Site Habitat Creation'!$G$11:$G$256)</f>
        <v>0</v>
      </c>
      <c r="L20" s="493">
        <f>SUMIF('A-2 Site Habitat Creation'!$F$11:$F$256,'G-2 Habitat groups'!A20,'A-2 Site Habitat Creation'!$Y$11:$Y$256)</f>
        <v>0</v>
      </c>
      <c r="M20" s="493">
        <f>SUMIF('A-3 Site Habitat Enhancement'!$S$12:$S$257,'G-2 Habitat groups'!A20,'A-3 Site Habitat Enhancement'!$V$12:$V$257)</f>
        <v>0</v>
      </c>
      <c r="N20" s="493">
        <f>SUMIF('A-3 Site Habitat Enhancement'!$S$12:$S$257,'G-2 Habitat groups'!A20,'A-3 Site Habitat Enhancement'!$AN$12:$AN$257)</f>
        <v>0</v>
      </c>
      <c r="O20" s="493">
        <f t="shared" si="0"/>
        <v>0</v>
      </c>
      <c r="P20" s="493">
        <f t="shared" si="1"/>
        <v>0</v>
      </c>
      <c r="Q20" s="493">
        <f t="shared" si="2"/>
        <v>-8.0000000000000004E-4</v>
      </c>
      <c r="R20" s="493">
        <f t="shared" si="3"/>
        <v>-1.6000000000000001E-3</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-8.0000000000000004E-4</v>
      </c>
      <c r="AF20" s="493">
        <f t="shared" si="9"/>
        <v>-1.6000000000000001E-3</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x14ac:dyDescent="0.3">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x14ac:dyDescent="0.3">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0</v>
      </c>
      <c r="L22" s="493">
        <f>SUMIF('A-2 Site Habitat Creation'!$F$11:$F$256,'G-2 Habitat groups'!A22,'A-2 Site Habitat Creation'!$Y$11:$Y$256)</f>
        <v>0</v>
      </c>
      <c r="M22" s="493">
        <f>SUMIF('A-3 Site Habitat Enhancement'!$S$12:$S$257,'G-2 Habitat groups'!A22,'A-3 Site Habitat Enhancement'!$V$12:$V$257)</f>
        <v>0</v>
      </c>
      <c r="N22" s="493">
        <f>SUMIF('A-3 Site Habitat Enhancement'!$S$12:$S$257,'G-2 Habitat groups'!A22,'A-3 Site Habitat Enhancement'!$AN$12:$AN$257)</f>
        <v>0</v>
      </c>
      <c r="O22" s="493">
        <f t="shared" si="0"/>
        <v>0</v>
      </c>
      <c r="P22" s="493">
        <f t="shared" si="1"/>
        <v>0</v>
      </c>
      <c r="Q22" s="493">
        <f t="shared" si="2"/>
        <v>0</v>
      </c>
      <c r="R22" s="493">
        <f t="shared" si="3"/>
        <v>0</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0</v>
      </c>
      <c r="AF22" s="493">
        <f t="shared" si="9"/>
        <v>0</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649999999999999" customHeight="1" x14ac:dyDescent="0.3">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x14ac:dyDescent="0.3">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x14ac:dyDescent="0.3">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3">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65" customHeight="1" x14ac:dyDescent="0.3">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65" customHeight="1" x14ac:dyDescent="0.3">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3">
        <f>SUMIF('A-1 Site Habitat Baseline'!$G$11:$G$258,'G-2 Habitat groups'!A28,'A-1 Site Habitat Baseline'!$Q$11:$Q$258)</f>
        <v>0</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0</v>
      </c>
      <c r="J28" s="493">
        <f>SUMIF('A-1 Site Habitat Baseline'!$G$11:$G$258,'G-2 Habitat groups'!A28,'A-1 Site Habitat Baseline'!$X$11:$X$258)</f>
        <v>0</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0</v>
      </c>
      <c r="R28" s="493">
        <f t="shared" si="3"/>
        <v>0</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0</v>
      </c>
      <c r="AF28" s="493">
        <f t="shared" si="9"/>
        <v>0</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x14ac:dyDescent="0.3">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x14ac:dyDescent="0.3">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x14ac:dyDescent="0.3">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x14ac:dyDescent="0.3">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x14ac:dyDescent="0.3">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v>
      </c>
      <c r="L33" s="493">
        <f>SUMIF('A-2 Site Habitat Creation'!$F$11:$F$256,'G-2 Habitat groups'!A33,'A-2 Site Habitat Creation'!$Y$11:$Y$256)</f>
        <v>0</v>
      </c>
      <c r="M33" s="493">
        <f>SUMIF('A-3 Site Habitat Enhancement'!$S$12:$S$257,'G-2 Habitat groups'!A33,'A-3 Site Habitat Enhancement'!$V$12:$V$257)</f>
        <v>0</v>
      </c>
      <c r="N33" s="493">
        <f>SUMIF('A-3 Site Habitat Enhancement'!$S$12:$S$257,'G-2 Habitat groups'!A33,'A-3 Site Habitat Enhancement'!$AN$12:$AN$257)</f>
        <v>0</v>
      </c>
      <c r="O33" s="493">
        <f t="shared" si="0"/>
        <v>0</v>
      </c>
      <c r="P33" s="493">
        <f t="shared" si="1"/>
        <v>0</v>
      </c>
      <c r="Q33" s="493">
        <f t="shared" si="2"/>
        <v>0</v>
      </c>
      <c r="R33" s="493">
        <f t="shared" si="3"/>
        <v>0</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v>
      </c>
      <c r="AF33" s="493">
        <f t="shared" si="9"/>
        <v>0</v>
      </c>
      <c r="AU33" s="113" t="s">
        <v>459</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x14ac:dyDescent="0.3">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467</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x14ac:dyDescent="0.3">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490</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x14ac:dyDescent="0.3">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506</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x14ac:dyDescent="0.3">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515</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x14ac:dyDescent="0.3">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526</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x14ac:dyDescent="0.3">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529</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x14ac:dyDescent="0.3">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532</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x14ac:dyDescent="0.3">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535</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x14ac:dyDescent="0.3">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538</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x14ac:dyDescent="0.3">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541</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x14ac:dyDescent="0.3">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550</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x14ac:dyDescent="0.3">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558</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x14ac:dyDescent="0.3">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562</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x14ac:dyDescent="0.3">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569</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x14ac:dyDescent="0.3">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577</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x14ac:dyDescent="0.3">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618</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x14ac:dyDescent="0.3">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665</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x14ac:dyDescent="0.3">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671</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x14ac:dyDescent="0.3">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674</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x14ac:dyDescent="0.3">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3">
        <f>SUMIF('A-1 Site Habitat Baseline'!$G$11:$G$258,'G-2 Habitat groups'!A53,'A-1 Site Habitat Baseline'!$Q$11:$Q$258)</f>
        <v>0</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v>
      </c>
      <c r="J53" s="493">
        <f>SUMIF('A-1 Site Habitat Baseline'!$G$11:$G$258,'G-2 Habitat groups'!A53,'A-1 Site Habitat Baseline'!$X$11:$X$258)</f>
        <v>0</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v>
      </c>
      <c r="R53" s="493">
        <f t="shared" si="56"/>
        <v>0</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v>
      </c>
      <c r="AF53" s="493">
        <f t="shared" si="62"/>
        <v>0</v>
      </c>
      <c r="AU53" s="113" t="s">
        <v>678</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x14ac:dyDescent="0.3">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681</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x14ac:dyDescent="0.3">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698</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x14ac:dyDescent="0.3">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701</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x14ac:dyDescent="0.3">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704</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x14ac:dyDescent="0.3">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709</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x14ac:dyDescent="0.3">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713</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x14ac:dyDescent="0.3">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718</v>
      </c>
      <c r="AV60" s="88" t="s">
        <v>866</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x14ac:dyDescent="0.3">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0</v>
      </c>
      <c r="L61" s="493">
        <f>SUMIF('A-2 Site Habitat Creation'!$F$11:$F$256,'G-2 Habitat groups'!A61,'A-2 Site Habitat Creation'!$Y$11:$Y$256)</f>
        <v>0</v>
      </c>
      <c r="M61" s="493">
        <f>SUMIF('A-3 Site Habitat Enhancement'!$S$12:$S$257,'G-2 Habitat groups'!A61,'A-3 Site Habitat Enhancement'!$V$12:$V$257)</f>
        <v>0</v>
      </c>
      <c r="N61" s="493">
        <f>SUMIF('A-3 Site Habitat Enhancement'!$S$12:$S$257,'G-2 Habitat groups'!A61,'A-3 Site Habitat Enhancement'!$AN$12:$AN$257)</f>
        <v>0</v>
      </c>
      <c r="O61" s="493">
        <f t="shared" si="53"/>
        <v>0</v>
      </c>
      <c r="P61" s="493">
        <f t="shared" si="54"/>
        <v>0</v>
      </c>
      <c r="Q61" s="493">
        <f t="shared" si="55"/>
        <v>0</v>
      </c>
      <c r="R61" s="493">
        <f t="shared" si="56"/>
        <v>0</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0</v>
      </c>
      <c r="AF61" s="493">
        <f t="shared" si="62"/>
        <v>0</v>
      </c>
      <c r="AU61" s="118" t="s">
        <v>726</v>
      </c>
      <c r="AV61" s="88" t="s">
        <v>866</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x14ac:dyDescent="0.3">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733</v>
      </c>
      <c r="AV62" s="88" t="s">
        <v>866</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x14ac:dyDescent="0.3">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740</v>
      </c>
      <c r="AV63" s="88" t="s">
        <v>866</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x14ac:dyDescent="0.3">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0.44040000000000001</v>
      </c>
      <c r="F64" s="493">
        <f>SUMIF('A-1 Site Habitat Baseline'!$G$11:$G$258,'G-2 Habitat groups'!A64,'A-1 Site Habitat Baseline'!$Q$11:$Q$258)</f>
        <v>0</v>
      </c>
      <c r="G64" s="493">
        <f>SUMIF('A-1 Site Habitat Baseline'!$G$11:$G$258,'G-2 Habitat groups'!A64,'A-1 Site Habitat Baseline'!$S$11:$S$258)</f>
        <v>0</v>
      </c>
      <c r="H64" s="493">
        <f>SUMIF('A-1 Site Habitat Baseline'!$G$11:$G$258,'G-2 Habitat groups'!A64,'A-1 Site Habitat Baseline'!$U$11:$U$258)</f>
        <v>0</v>
      </c>
      <c r="I64" s="493">
        <f>SUMIF('A-1 Site Habitat Baseline'!$G$11:$G$258,'G-2 Habitat groups'!A64,'A-1 Site Habitat Baseline'!$W$11:$W$258)</f>
        <v>0.44040000000000001</v>
      </c>
      <c r="J64" s="493">
        <f>SUMIF('A-1 Site Habitat Baseline'!$G$11:$G$258,'G-2 Habitat groups'!A64,'A-1 Site Habitat Baseline'!$X$11:$X$258)</f>
        <v>0</v>
      </c>
      <c r="K64" s="493">
        <f>SUMIF('A-2 Site Habitat Creation'!$F$11:$F$256,'G-2 Habitat groups'!A64,'A-2 Site Habitat Creation'!$G$11:$G$256)</f>
        <v>0.376</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0.376</v>
      </c>
      <c r="P64" s="493">
        <f t="shared" si="54"/>
        <v>0</v>
      </c>
      <c r="Q64" s="493">
        <f t="shared" si="55"/>
        <v>-6.4400000000000013E-2</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-6.4400000000000013E-2</v>
      </c>
      <c r="AF64" s="493">
        <f t="shared" si="62"/>
        <v>0</v>
      </c>
      <c r="AU64" s="118" t="s">
        <v>758</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x14ac:dyDescent="0.3">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761</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x14ac:dyDescent="0.3">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747</v>
      </c>
      <c r="AV66" s="88" t="s">
        <v>867</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x14ac:dyDescent="0.3">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772</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x14ac:dyDescent="0.3">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776</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x14ac:dyDescent="0.3">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0</v>
      </c>
      <c r="L69" s="493">
        <f>SUMIF('A-2 Site Habitat Creation'!$F$11:$F$256,'G-2 Habitat groups'!A69,'A-2 Site Habitat Creation'!$Y$11:$Y$256)</f>
        <v>0</v>
      </c>
      <c r="M69" s="493">
        <f>SUMIF('A-3 Site Habitat Enhancement'!$S$12:$S$257,'G-2 Habitat groups'!A69,'A-3 Site Habitat Enhancement'!$V$12:$V$257)</f>
        <v>0</v>
      </c>
      <c r="N69" s="493">
        <f>SUMIF('A-3 Site Habitat Enhancement'!$S$12:$S$257,'G-2 Habitat groups'!A69,'A-3 Site Habitat Enhancement'!$AN$12:$AN$257)</f>
        <v>0</v>
      </c>
      <c r="O69" s="493">
        <f t="shared" si="63"/>
        <v>0</v>
      </c>
      <c r="P69" s="493">
        <f t="shared" si="64"/>
        <v>0</v>
      </c>
      <c r="Q69" s="493">
        <f t="shared" si="65"/>
        <v>0</v>
      </c>
      <c r="R69" s="493">
        <f t="shared" si="66"/>
        <v>0</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0</v>
      </c>
      <c r="AF69" s="493">
        <f t="shared" si="72"/>
        <v>0</v>
      </c>
      <c r="AU69" s="118" t="s">
        <v>779</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x14ac:dyDescent="0.3">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6.7999999999999996E-3</v>
      </c>
      <c r="F70" s="493">
        <f>SUMIF('A-1 Site Habitat Baseline'!$G$11:$G$258,'G-2 Habitat groups'!A70,'A-1 Site Habitat Baseline'!$Q$11:$Q$258)</f>
        <v>1.3599999999999999E-2</v>
      </c>
      <c r="G70" s="493">
        <f>SUMIF('A-1 Site Habitat Baseline'!$G$11:$G$258,'G-2 Habitat groups'!A70,'A-1 Site Habitat Baseline'!$S$11:$S$258)</f>
        <v>5.1999999999999998E-3</v>
      </c>
      <c r="H70" s="493">
        <f>SUMIF('A-1 Site Habitat Baseline'!$G$11:$G$258,'G-2 Habitat groups'!A70,'A-1 Site Habitat Baseline'!$U$11:$U$258)</f>
        <v>1.04E-2</v>
      </c>
      <c r="I70" s="493">
        <f>SUMIF('A-1 Site Habitat Baseline'!$G$11:$G$258,'G-2 Habitat groups'!A70,'A-1 Site Habitat Baseline'!$W$11:$W$258)</f>
        <v>1.5999999999999999E-3</v>
      </c>
      <c r="J70" s="493">
        <f>SUMIF('A-1 Site Habitat Baseline'!$G$11:$G$258,'G-2 Habitat groups'!A70,'A-1 Site Habitat Baseline'!$X$11:$X$258)</f>
        <v>3.1999999999999997E-3</v>
      </c>
      <c r="K70" s="493">
        <f>SUMIF('A-2 Site Habitat Creation'!$F$11:$F$256,'G-2 Habitat groups'!A70,'A-2 Site Habitat Creation'!$G$11:$G$256)</f>
        <v>6.7299999999999999E-2</v>
      </c>
      <c r="L70" s="493">
        <f>SUMIF('A-2 Site Habitat Creation'!$F$11:$F$256,'G-2 Habitat groups'!A70,'A-2 Site Habitat Creation'!$Y$11:$Y$256)</f>
        <v>0.12534288499999999</v>
      </c>
      <c r="M70" s="493">
        <f>SUMIF('A-3 Site Habitat Enhancement'!$S$12:$S$257,'G-2 Habitat groups'!A70,'A-3 Site Habitat Enhancement'!$V$12:$V$257)</f>
        <v>0</v>
      </c>
      <c r="N70" s="493">
        <f>SUMIF('A-3 Site Habitat Enhancement'!$S$12:$S$257,'G-2 Habitat groups'!A70,'A-3 Site Habitat Enhancement'!$AN$12:$AN$257)</f>
        <v>0</v>
      </c>
      <c r="O70" s="493">
        <f t="shared" si="63"/>
        <v>7.2499999999999995E-2</v>
      </c>
      <c r="P70" s="493">
        <f t="shared" si="64"/>
        <v>0.13574288499999998</v>
      </c>
      <c r="Q70" s="493">
        <f t="shared" si="65"/>
        <v>6.5699999999999995E-2</v>
      </c>
      <c r="R70" s="493">
        <f t="shared" si="66"/>
        <v>0.12214288499999998</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6.5699999999999995E-2</v>
      </c>
      <c r="AF70" s="493">
        <f t="shared" si="72"/>
        <v>0.12214288499999998</v>
      </c>
      <c r="AU70" s="105" t="s">
        <v>806</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x14ac:dyDescent="0.3">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x14ac:dyDescent="0.3">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x14ac:dyDescent="0.3">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x14ac:dyDescent="0.3">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0</v>
      </c>
      <c r="F74" s="493">
        <f>SUMIF('A-1 Site Habitat Baseline'!$G$11:$G$258,'G-2 Habitat groups'!A74,'A-1 Site Habitat Baseline'!$Q$11:$Q$258)</f>
        <v>0</v>
      </c>
      <c r="G74" s="493">
        <f>SUMIF('A-1 Site Habitat Baseline'!$G$11:$G$258,'G-2 Habitat groups'!A74,'A-1 Site Habitat Baseline'!$S$11:$S$258)</f>
        <v>0</v>
      </c>
      <c r="H74" s="493">
        <f>SUMIF('A-1 Site Habitat Baseline'!$G$11:$G$258,'G-2 Habitat groups'!A74,'A-1 Site Habitat Baseline'!$U$11:$U$258)</f>
        <v>0</v>
      </c>
      <c r="I74" s="493">
        <f>SUMIF('A-1 Site Habitat Baseline'!$G$11:$G$258,'G-2 Habitat groups'!A74,'A-1 Site Habitat Baseline'!$W$11:$W$258)</f>
        <v>0</v>
      </c>
      <c r="J74" s="493">
        <f>SUMIF('A-1 Site Habitat Baseline'!$G$11:$G$258,'G-2 Habitat groups'!A74,'A-1 Site Habitat Baseline'!$X$11:$X$258)</f>
        <v>0</v>
      </c>
      <c r="K74" s="493">
        <f>SUMIF('A-2 Site Habitat Creation'!$F$11:$F$256,'G-2 Habitat groups'!A74,'A-2 Site Habitat Creation'!$G$11:$G$256)</f>
        <v>0.18312479999999998</v>
      </c>
      <c r="L74" s="493">
        <f>SUMIF('A-2 Site Habitat Creation'!$F$11:$F$256,'G-2 Habitat groups'!A74,'A-2 Site Habitat Creation'!$Y$11:$Y$256)</f>
        <v>0.5402588925225138</v>
      </c>
      <c r="M74" s="493">
        <f>SUMIF('A-3 Site Habitat Enhancement'!$S$12:$S$257,'G-2 Habitat groups'!A74,'A-3 Site Habitat Enhancement'!$V$12:$V$257)</f>
        <v>0</v>
      </c>
      <c r="N74" s="493">
        <f>SUMIF('A-3 Site Habitat Enhancement'!$S$12:$S$257,'G-2 Habitat groups'!A74,'A-3 Site Habitat Enhancement'!$AN$12:$AN$257)</f>
        <v>0</v>
      </c>
      <c r="O74" s="493">
        <f t="shared" si="63"/>
        <v>0.18312479999999998</v>
      </c>
      <c r="P74" s="493">
        <f t="shared" si="64"/>
        <v>0.5402588925225138</v>
      </c>
      <c r="Q74" s="493">
        <f t="shared" si="65"/>
        <v>0.18312479999999998</v>
      </c>
      <c r="R74" s="493">
        <f t="shared" si="66"/>
        <v>0.5402588925225138</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0.18312479999999998</v>
      </c>
      <c r="AF74" s="493">
        <f t="shared" si="72"/>
        <v>0.5402588925225138</v>
      </c>
    </row>
    <row r="75" spans="1:59" ht="35" x14ac:dyDescent="0.7">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x14ac:dyDescent="0.3">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v>
      </c>
      <c r="AF76" s="493">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x14ac:dyDescent="0.3">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3">
        <f>SUMIF('A-1 Site Habitat Baseline'!$G$11:$G$258,'G-2 Habitat groups'!A77,'A-1 Site Habitat Baseline'!$Q$11:$Q$258)</f>
        <v>0</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0</v>
      </c>
      <c r="J77" s="493">
        <f>SUMIF('A-1 Site Habitat Baseline'!$G$11:$G$258,'G-2 Habitat groups'!A77,'A-1 Site Habitat Baseline'!$X$11:$X$258)</f>
        <v>0</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0</v>
      </c>
      <c r="R77" s="493">
        <f t="shared" si="66"/>
        <v>0</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0</v>
      </c>
      <c r="AF77" s="493">
        <f t="shared" si="72"/>
        <v>0</v>
      </c>
      <c r="AU77" s="104" t="s">
        <v>370</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x14ac:dyDescent="0.3">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5.0000000000000001E-4</v>
      </c>
      <c r="F78" s="493">
        <f>SUMIF('A-1 Site Habitat Baseline'!$G$11:$G$258,'G-2 Habitat groups'!A78,'A-1 Site Habitat Baseline'!$Q$11:$Q$258)</f>
        <v>1E-3</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5.0000000000000001E-4</v>
      </c>
      <c r="J78" s="493">
        <f>SUMIF('A-1 Site Habitat Baseline'!$G$11:$G$258,'G-2 Habitat groups'!A78,'A-1 Site Habitat Baseline'!$X$11:$X$258)</f>
        <v>1E-3</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-5.0000000000000001E-4</v>
      </c>
      <c r="R78" s="493">
        <f t="shared" si="66"/>
        <v>-1E-3</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-5.0000000000000001E-4</v>
      </c>
      <c r="AF78" s="493">
        <f t="shared" si="72"/>
        <v>-1E-3</v>
      </c>
      <c r="AU78" s="104" t="s">
        <v>379</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x14ac:dyDescent="0.3">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385</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x14ac:dyDescent="0.3">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389</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x14ac:dyDescent="0.3">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453</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x14ac:dyDescent="0.3">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456</v>
      </c>
      <c r="AV82" s="88" t="s">
        <v>70</v>
      </c>
      <c r="AW82" s="493">
        <f t="shared" si="89"/>
        <v>0</v>
      </c>
      <c r="AX82" s="493">
        <f t="shared" si="90"/>
        <v>0</v>
      </c>
      <c r="AY82" s="493">
        <f t="shared" si="91"/>
        <v>0</v>
      </c>
      <c r="AZ82" s="493">
        <f t="shared" si="92"/>
        <v>0</v>
      </c>
      <c r="BA82" s="493">
        <f t="shared" si="93"/>
        <v>0</v>
      </c>
      <c r="BB82" s="493">
        <f t="shared" si="94"/>
        <v>0</v>
      </c>
      <c r="BC82" s="493">
        <f t="shared" si="95"/>
        <v>0</v>
      </c>
      <c r="BD82" s="493">
        <f t="shared" si="96"/>
        <v>0</v>
      </c>
      <c r="BE82" s="493">
        <f t="shared" si="97"/>
        <v>0</v>
      </c>
      <c r="BF82" s="493" t="str">
        <f t="shared" si="98"/>
        <v/>
      </c>
    </row>
    <row r="83" spans="1:58" x14ac:dyDescent="0.3">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464</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x14ac:dyDescent="0.3">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473</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x14ac:dyDescent="0.3">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478</v>
      </c>
      <c r="AV85" s="88" t="s">
        <v>71</v>
      </c>
      <c r="AW85" s="493">
        <f t="shared" si="89"/>
        <v>0</v>
      </c>
      <c r="AX85" s="493">
        <f t="shared" si="90"/>
        <v>0</v>
      </c>
      <c r="AY85" s="493">
        <f t="shared" si="91"/>
        <v>0</v>
      </c>
      <c r="AZ85" s="493">
        <f t="shared" si="92"/>
        <v>0</v>
      </c>
      <c r="BA85" s="493">
        <f t="shared" si="93"/>
        <v>0</v>
      </c>
      <c r="BB85" s="493">
        <f t="shared" si="94"/>
        <v>0</v>
      </c>
      <c r="BC85" s="493">
        <f t="shared" si="95"/>
        <v>0</v>
      </c>
      <c r="BD85" s="493">
        <f t="shared" si="96"/>
        <v>0</v>
      </c>
      <c r="BE85" s="493">
        <f t="shared" si="97"/>
        <v>0</v>
      </c>
      <c r="BF85" s="493" t="str">
        <f t="shared" si="98"/>
        <v/>
      </c>
    </row>
    <row r="86" spans="1:58" x14ac:dyDescent="0.3">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481</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x14ac:dyDescent="0.3">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484</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x14ac:dyDescent="0.3">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487</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x14ac:dyDescent="0.3">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496</v>
      </c>
      <c r="AV89" s="88" t="s">
        <v>71</v>
      </c>
      <c r="AW89" s="493">
        <f t="shared" si="89"/>
        <v>0</v>
      </c>
      <c r="AX89" s="493">
        <f t="shared" si="90"/>
        <v>0</v>
      </c>
      <c r="AY89" s="493">
        <f t="shared" si="91"/>
        <v>0</v>
      </c>
      <c r="AZ89" s="493">
        <f t="shared" si="92"/>
        <v>0</v>
      </c>
      <c r="BA89" s="493">
        <f t="shared" si="93"/>
        <v>0</v>
      </c>
      <c r="BB89" s="493">
        <f t="shared" si="94"/>
        <v>0</v>
      </c>
      <c r="BC89" s="493">
        <f t="shared" si="95"/>
        <v>0</v>
      </c>
      <c r="BD89" s="493">
        <f t="shared" si="96"/>
        <v>0</v>
      </c>
      <c r="BE89" s="493">
        <f t="shared" si="97"/>
        <v>0</v>
      </c>
      <c r="BF89" s="493" t="str">
        <f t="shared" si="98"/>
        <v/>
      </c>
    </row>
    <row r="90" spans="1:58" x14ac:dyDescent="0.3">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544</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x14ac:dyDescent="0.3">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548</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x14ac:dyDescent="0.3">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582</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x14ac:dyDescent="0.3">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598</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x14ac:dyDescent="0.3">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613</v>
      </c>
      <c r="AV94" s="88" t="s">
        <v>74</v>
      </c>
      <c r="AW94" s="493">
        <f t="shared" si="89"/>
        <v>0</v>
      </c>
      <c r="AX94" s="493">
        <f t="shared" si="90"/>
        <v>0</v>
      </c>
      <c r="AY94" s="493">
        <f t="shared" si="91"/>
        <v>0</v>
      </c>
      <c r="AZ94" s="493">
        <f t="shared" si="92"/>
        <v>0</v>
      </c>
      <c r="BA94" s="493">
        <f t="shared" si="93"/>
        <v>0</v>
      </c>
      <c r="BB94" s="493">
        <f t="shared" si="94"/>
        <v>0</v>
      </c>
      <c r="BC94" s="493">
        <f t="shared" si="95"/>
        <v>0</v>
      </c>
      <c r="BD94" s="493">
        <f t="shared" si="96"/>
        <v>0</v>
      </c>
      <c r="BE94" s="493">
        <f>BB94+BD94</f>
        <v>0</v>
      </c>
      <c r="BF94" s="493" t="str">
        <f>IF(BE94&lt;0,BE94,"")</f>
        <v/>
      </c>
    </row>
    <row r="95" spans="1:58" x14ac:dyDescent="0.3">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689</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x14ac:dyDescent="0.3">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692</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x14ac:dyDescent="0.3">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695</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x14ac:dyDescent="0.3">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755</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x14ac:dyDescent="0.3">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803</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28" x14ac:dyDescent="0.3">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815</v>
      </c>
      <c r="AV100" s="327" t="s">
        <v>869</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x14ac:dyDescent="0.3">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x14ac:dyDescent="0.3">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x14ac:dyDescent="0.3">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x14ac:dyDescent="0.3">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x14ac:dyDescent="0.3">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x14ac:dyDescent="0.3">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x14ac:dyDescent="0.3">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5" x14ac:dyDescent="0.7">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x14ac:dyDescent="0.3">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x14ac:dyDescent="0.3">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395</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x14ac:dyDescent="0.3">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405</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x14ac:dyDescent="0.3">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409</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x14ac:dyDescent="0.3">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413</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x14ac:dyDescent="0.3">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417</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x14ac:dyDescent="0.3">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401</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x14ac:dyDescent="0.3">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449</v>
      </c>
      <c r="AV116" s="88" t="s">
        <v>70</v>
      </c>
      <c r="AW116" s="493">
        <f t="shared" si="115"/>
        <v>8.0000000000000004E-4</v>
      </c>
      <c r="AX116" s="493">
        <f t="shared" si="125"/>
        <v>1.6000000000000001E-3</v>
      </c>
      <c r="AY116" s="493">
        <f t="shared" si="126"/>
        <v>0</v>
      </c>
      <c r="AZ116" s="493">
        <f t="shared" si="127"/>
        <v>0</v>
      </c>
      <c r="BA116" s="493">
        <f t="shared" si="128"/>
        <v>-8.0000000000000004E-4</v>
      </c>
      <c r="BB116" s="493">
        <f t="shared" si="129"/>
        <v>-1.6000000000000001E-3</v>
      </c>
      <c r="BC116" s="493">
        <f t="shared" si="130"/>
        <v>0</v>
      </c>
      <c r="BD116" s="493">
        <f t="shared" si="131"/>
        <v>0</v>
      </c>
      <c r="BE116" s="493">
        <f t="shared" si="123"/>
        <v>-1.6000000000000001E-3</v>
      </c>
      <c r="BF116" s="493">
        <f t="shared" si="124"/>
        <v>-1.6000000000000001E-3</v>
      </c>
    </row>
    <row r="117" spans="1:58" x14ac:dyDescent="0.3">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424</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x14ac:dyDescent="0.3">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503</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x14ac:dyDescent="0.3">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523</v>
      </c>
      <c r="AV119" s="88" t="s">
        <v>72</v>
      </c>
      <c r="AW119" s="493">
        <f>VLOOKUP($AU120,AllHabsSummaryData,5,FALSE)</f>
        <v>0</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x14ac:dyDescent="0.3">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565</v>
      </c>
      <c r="AV120" s="88" t="s">
        <v>73</v>
      </c>
      <c r="AW120" s="493">
        <f>VLOOKUP($AU121,AllHabsSummaryData,5,FALSE)</f>
        <v>0</v>
      </c>
      <c r="AX120" s="493">
        <f t="shared" si="125"/>
        <v>0</v>
      </c>
      <c r="AY120" s="493">
        <f t="shared" si="126"/>
        <v>0</v>
      </c>
      <c r="AZ120" s="493">
        <f t="shared" si="127"/>
        <v>0</v>
      </c>
      <c r="BA120" s="493">
        <f t="shared" si="128"/>
        <v>0</v>
      </c>
      <c r="BB120" s="493">
        <f t="shared" si="129"/>
        <v>0</v>
      </c>
      <c r="BC120" s="493">
        <f t="shared" si="130"/>
        <v>0</v>
      </c>
      <c r="BD120" s="493">
        <f t="shared" si="131"/>
        <v>0</v>
      </c>
      <c r="BE120" s="493">
        <f t="shared" si="123"/>
        <v>0</v>
      </c>
      <c r="BF120" s="493" t="str">
        <f t="shared" si="124"/>
        <v/>
      </c>
    </row>
    <row r="121" spans="1:58" x14ac:dyDescent="0.3">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590</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x14ac:dyDescent="0.3">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585</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x14ac:dyDescent="0.3">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606</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x14ac:dyDescent="0.3">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609</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x14ac:dyDescent="0.3">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611</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x14ac:dyDescent="0.3">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603</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x14ac:dyDescent="0.3">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616</v>
      </c>
      <c r="AV127" s="88" t="s">
        <v>74</v>
      </c>
      <c r="AW127" s="493">
        <f t="shared" si="132"/>
        <v>6.7999999999999996E-3</v>
      </c>
      <c r="AX127" s="493">
        <f t="shared" si="125"/>
        <v>3.1999999999999997E-3</v>
      </c>
      <c r="AY127" s="493">
        <f t="shared" si="126"/>
        <v>7.2499999999999995E-2</v>
      </c>
      <c r="AZ127" s="493">
        <f t="shared" si="127"/>
        <v>0.13574288499999998</v>
      </c>
      <c r="BA127" s="493">
        <f t="shared" si="128"/>
        <v>6.5699999999999995E-2</v>
      </c>
      <c r="BB127" s="493">
        <f t="shared" si="129"/>
        <v>0.12214288499999998</v>
      </c>
      <c r="BC127" s="493">
        <f t="shared" si="130"/>
        <v>0</v>
      </c>
      <c r="BD127" s="493">
        <f t="shared" si="131"/>
        <v>0</v>
      </c>
      <c r="BE127" s="493">
        <f t="shared" si="123"/>
        <v>0.12214288499999998</v>
      </c>
      <c r="BF127" s="493" t="str">
        <f t="shared" si="124"/>
        <v/>
      </c>
    </row>
    <row r="128" spans="1:58" x14ac:dyDescent="0.3">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623</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x14ac:dyDescent="0.3">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625</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x14ac:dyDescent="0.3">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628</v>
      </c>
      <c r="AV130" s="88" t="s">
        <v>74</v>
      </c>
      <c r="AW130" s="493">
        <f t="shared" si="132"/>
        <v>0</v>
      </c>
      <c r="AX130" s="493">
        <f t="shared" si="125"/>
        <v>0</v>
      </c>
      <c r="AY130" s="493">
        <f t="shared" si="126"/>
        <v>0.18312479999999998</v>
      </c>
      <c r="AZ130" s="493">
        <f t="shared" si="127"/>
        <v>0.5402588925225138</v>
      </c>
      <c r="BA130" s="493">
        <f t="shared" si="128"/>
        <v>0.18312479999999998</v>
      </c>
      <c r="BB130" s="493">
        <f t="shared" si="129"/>
        <v>0.5402588925225138</v>
      </c>
      <c r="BC130" s="493">
        <f t="shared" si="130"/>
        <v>0</v>
      </c>
      <c r="BD130" s="493">
        <f t="shared" si="131"/>
        <v>0</v>
      </c>
      <c r="BE130" s="493">
        <f t="shared" si="123"/>
        <v>0.5402588925225138</v>
      </c>
      <c r="BF130" s="493" t="str">
        <f t="shared" si="124"/>
        <v/>
      </c>
    </row>
    <row r="131" spans="1:58" x14ac:dyDescent="0.3">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632</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x14ac:dyDescent="0.3">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636</v>
      </c>
      <c r="AV132" s="88" t="s">
        <v>74</v>
      </c>
      <c r="AW132" s="493">
        <f t="shared" si="132"/>
        <v>0</v>
      </c>
      <c r="AX132" s="493">
        <f t="shared" si="125"/>
        <v>0</v>
      </c>
      <c r="AY132" s="493">
        <f t="shared" si="126"/>
        <v>0</v>
      </c>
      <c r="AZ132" s="493">
        <f t="shared" si="127"/>
        <v>0</v>
      </c>
      <c r="BA132" s="493">
        <f t="shared" si="128"/>
        <v>0</v>
      </c>
      <c r="BB132" s="493">
        <f t="shared" si="129"/>
        <v>0</v>
      </c>
      <c r="BC132" s="493">
        <f t="shared" si="130"/>
        <v>0</v>
      </c>
      <c r="BD132" s="493">
        <f t="shared" si="131"/>
        <v>0</v>
      </c>
      <c r="BE132" s="493">
        <f t="shared" si="123"/>
        <v>0</v>
      </c>
      <c r="BF132" s="493" t="str">
        <f t="shared" si="124"/>
        <v/>
      </c>
    </row>
    <row r="133" spans="1:58" x14ac:dyDescent="0.3">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639</v>
      </c>
      <c r="AV133" s="88" t="s">
        <v>74</v>
      </c>
      <c r="AW133" s="493">
        <f t="shared" si="132"/>
        <v>5.0000000000000001E-4</v>
      </c>
      <c r="AX133" s="493">
        <f t="shared" si="125"/>
        <v>1E-3</v>
      </c>
      <c r="AY133" s="493">
        <f t="shared" si="126"/>
        <v>0</v>
      </c>
      <c r="AZ133" s="493">
        <f t="shared" si="127"/>
        <v>0</v>
      </c>
      <c r="BA133" s="493">
        <f t="shared" si="128"/>
        <v>-5.0000000000000001E-4</v>
      </c>
      <c r="BB133" s="493">
        <f t="shared" si="129"/>
        <v>-1E-3</v>
      </c>
      <c r="BC133" s="493">
        <f t="shared" si="130"/>
        <v>0</v>
      </c>
      <c r="BD133" s="493">
        <f t="shared" si="131"/>
        <v>0</v>
      </c>
      <c r="BE133" s="493">
        <f t="shared" si="123"/>
        <v>-1E-3</v>
      </c>
      <c r="BF133" s="493">
        <f t="shared" si="124"/>
        <v>-1E-3</v>
      </c>
    </row>
    <row r="134" spans="1:58" x14ac:dyDescent="0.3">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686</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x14ac:dyDescent="0.3">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752</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x14ac:dyDescent="0.3">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782</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x14ac:dyDescent="0.3">
      <c r="AU137" s="104" t="s">
        <v>785</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x14ac:dyDescent="0.3">
      <c r="AU138" s="104" t="s">
        <v>788</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x14ac:dyDescent="0.3">
      <c r="AU139" s="104" t="s">
        <v>791</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x14ac:dyDescent="0.3">
      <c r="AU140" s="104" t="s">
        <v>794</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27.5" x14ac:dyDescent="0.55000000000000004">
      <c r="A141" s="325" t="s">
        <v>96</v>
      </c>
      <c r="AU141" s="104" t="s">
        <v>797</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x14ac:dyDescent="0.3">
      <c r="AU142" s="104" t="s">
        <v>800</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x14ac:dyDescent="0.3">
      <c r="AU143" s="130" t="s">
        <v>809</v>
      </c>
      <c r="AV143" s="119" t="s">
        <v>869</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2.5" x14ac:dyDescent="0.45">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70" x14ac:dyDescent="0.3">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6" t="s">
        <v>511</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x14ac:dyDescent="0.3">
      <c r="A146" s="104" t="str">
        <f>'G-6 Hedgerow Data'!B3</f>
        <v>Native Species Rich Hedgerow with trees - Associated with bank or ditch</v>
      </c>
      <c r="B146" s="88" t="s">
        <v>894</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592</v>
      </c>
      <c r="AV146" s="327" t="s">
        <v>74</v>
      </c>
      <c r="AW146" s="591">
        <f t="shared" si="132"/>
        <v>0</v>
      </c>
      <c r="AX146" s="591">
        <f t="shared" si="125"/>
        <v>0</v>
      </c>
      <c r="AY146" s="591">
        <f t="shared" si="126"/>
        <v>0</v>
      </c>
      <c r="AZ146" s="591">
        <f t="shared" si="127"/>
        <v>0</v>
      </c>
      <c r="BA146" s="591">
        <f t="shared" si="128"/>
        <v>0</v>
      </c>
      <c r="BB146" s="591">
        <f t="shared" si="129"/>
        <v>0</v>
      </c>
      <c r="BC146" s="591">
        <f t="shared" si="130"/>
        <v>0</v>
      </c>
      <c r="BD146" s="591">
        <f t="shared" si="131"/>
        <v>0</v>
      </c>
      <c r="BE146" s="591">
        <f t="shared" si="123"/>
        <v>0</v>
      </c>
      <c r="BF146" s="591" t="str">
        <f t="shared" si="124"/>
        <v/>
      </c>
    </row>
    <row r="147" spans="1:59" x14ac:dyDescent="0.3">
      <c r="A147" s="104" t="str">
        <f>'G-6 Hedgerow Data'!B4</f>
        <v>Native Species Rich Hedgerow with trees</v>
      </c>
      <c r="B147" s="88" t="s">
        <v>894</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x14ac:dyDescent="0.3">
      <c r="A148" s="104" t="str">
        <f>'G-6 Hedgerow Data'!B5</f>
        <v>Native Species Rich Hedgerow - Associated with bank or ditch</v>
      </c>
      <c r="B148" s="88" t="s">
        <v>894</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x14ac:dyDescent="0.3">
      <c r="A149" s="104" t="str">
        <f>'G-6 Hedgerow Data'!B6</f>
        <v>Native Hedgerow with trees - Associated with bank or ditch</v>
      </c>
      <c r="B149" s="88" t="s">
        <v>894</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5" x14ac:dyDescent="0.7">
      <c r="A150" s="326" t="str">
        <f>'G-6 Hedgerow Data'!B7</f>
        <v>Native Species Rich Hedgerow</v>
      </c>
      <c r="B150" s="327" t="s">
        <v>894</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0</v>
      </c>
      <c r="L150" s="591">
        <f>SUMIF('B-2 Site Hedge Creation'!$D$12:$D$259,'G-2 Habitat groups'!A150,'B-2 Site Hedge Creation'!$W$12:$W$259)</f>
        <v>0</v>
      </c>
      <c r="M150" s="591">
        <f>SUMIF('B-3 Site Hedge Enhancement'!$M$12:$M$257,'G-2 Habitat groups'!A150,'B-3 Site Hedge Enhancement'!$P$12:$P$257)</f>
        <v>0</v>
      </c>
      <c r="N150" s="591">
        <f>SUMIF('B-3 Site Hedge Enhancement'!$M$12:$M$257,'G-2 Habitat groups'!A150,'B-3 Site Hedge Enhancement'!$AH$12:$AH$257)</f>
        <v>0</v>
      </c>
      <c r="O150" s="591">
        <f t="shared" si="143"/>
        <v>0</v>
      </c>
      <c r="P150" s="591">
        <f t="shared" si="144"/>
        <v>0</v>
      </c>
      <c r="Q150" s="591">
        <f t="shared" si="145"/>
        <v>0</v>
      </c>
      <c r="R150" s="591">
        <f t="shared" si="146"/>
        <v>0</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0</v>
      </c>
      <c r="AF150" s="591">
        <f t="shared" si="150"/>
        <v>0</v>
      </c>
      <c r="AU150" s="359" t="s">
        <v>895</v>
      </c>
      <c r="AV150" s="99"/>
      <c r="AW150" s="99"/>
      <c r="AX150" s="99"/>
      <c r="AY150" s="99"/>
      <c r="AZ150" s="99"/>
      <c r="BA150" s="99"/>
      <c r="BB150" s="99"/>
      <c r="BC150" s="99"/>
      <c r="BD150" s="99"/>
      <c r="BE150" s="99"/>
      <c r="BF150" s="99"/>
      <c r="BG150" s="121"/>
    </row>
    <row r="151" spans="1:59" ht="30" x14ac:dyDescent="0.3">
      <c r="A151" s="326" t="str">
        <f>'G-6 Hedgerow Data'!B8</f>
        <v>Native Hedgerow - Associated with bank or ditch</v>
      </c>
      <c r="B151" s="327" t="s">
        <v>894</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x14ac:dyDescent="0.3">
      <c r="A152" s="104" t="str">
        <f>'G-6 Hedgerow Data'!B9</f>
        <v>Native Hedgerow with trees</v>
      </c>
      <c r="B152" s="88" t="s">
        <v>894</v>
      </c>
      <c r="C152" s="88" t="str">
        <f>'G-6 Hedgerow Data'!C9</f>
        <v>Medium</v>
      </c>
      <c r="D152" s="88" t="str">
        <f>'G-6 Hedgerow Data'!AH9</f>
        <v>Like for like or better</v>
      </c>
      <c r="E152" s="493">
        <f>SUMIF('B-1 Site Hedge Baseline'!$D$10:$D$257,'G-2 Habitat groups'!A152,'B-1 Site Hedge Baseline'!$E$10:$E$257)</f>
        <v>0</v>
      </c>
      <c r="F152" s="493">
        <f>SUMIF('B-1 Site Hedge Baseline'!$D$10:$D$257,'G-2 Habitat groups'!A152,'B-1 Site Hedge Baseline'!$N$10:$N$257)</f>
        <v>0</v>
      </c>
      <c r="G152" s="493">
        <f>SUMIF('B-1 Site Hedge Baseline'!$D$10:$D$257,'G-2 Habitat groups'!A152,'B-1 Site Hedge Baseline'!$P$10:$P$257)</f>
        <v>0</v>
      </c>
      <c r="H152" s="493">
        <f>SUMIF('B-1 Site Hedge Baseline'!$D$10:$D$257,'G-2 Habitat groups'!A152,'B-1 Site Hedge Baseline'!$R$10:$R$257)</f>
        <v>0</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0</v>
      </c>
      <c r="P152" s="493">
        <f t="shared" si="144"/>
        <v>0</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587</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x14ac:dyDescent="0.3">
      <c r="A153" s="104" t="str">
        <f>'G-6 Hedgerow Data'!B10</f>
        <v>Line of Trees (Ecologically Valuable)</v>
      </c>
      <c r="B153" s="88" t="s">
        <v>894</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595</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x14ac:dyDescent="0.3">
      <c r="A154" s="104" t="str">
        <f>'G-6 Hedgerow Data'!B11</f>
        <v>Line of Trees (Ecologically Valuable) - with Bank or Ditch</v>
      </c>
      <c r="B154" s="88" t="s">
        <v>894</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600</v>
      </c>
      <c r="AV154" s="88" t="s">
        <v>74</v>
      </c>
      <c r="AW154" s="493">
        <f>VLOOKUP($AU154,AllHabsSummaryData,5,FALSE)</f>
        <v>0.44040000000000001</v>
      </c>
      <c r="AX154" s="493">
        <f>VLOOKUP($AU154,AllHabsSummaryData,10,FALSE)</f>
        <v>0</v>
      </c>
      <c r="AY154" s="493">
        <f>VLOOKUP($AU154,AllHabsSummaryData,15,FALSE)</f>
        <v>0.376</v>
      </c>
      <c r="AZ154" s="493">
        <f>VLOOKUP($AU154,AllHabsSummaryData,16,FALSE)</f>
        <v>0</v>
      </c>
      <c r="BA154" s="493">
        <f>VLOOKUP($AU154,AllHabsSummaryData,17,FALSE)</f>
        <v>-6.4400000000000013E-2</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x14ac:dyDescent="0.3">
      <c r="A155" s="104" t="str">
        <f>'G-6 Hedgerow Data'!B12</f>
        <v>Native Hedgerow</v>
      </c>
      <c r="B155" s="88" t="s">
        <v>894</v>
      </c>
      <c r="C155" s="88" t="str">
        <f>'G-6 Hedgerow Data'!C12</f>
        <v>Low</v>
      </c>
      <c r="D155" s="88" t="str">
        <f>'G-6 Hedgerow Data'!AH12</f>
        <v>Same distinctiveness band or better</v>
      </c>
      <c r="E155" s="493">
        <f>SUMIF('B-1 Site Hedge Baseline'!$D$10:$D$257,'G-2 Habitat groups'!A155,'B-1 Site Hedge Baseline'!$E$10:$E$257)</f>
        <v>0</v>
      </c>
      <c r="F155" s="493">
        <f>SUMIF('B-1 Site Hedge Baseline'!$D$10:$D$257,'G-2 Habitat groups'!A155,'B-1 Site Hedge Baseline'!$N$10:$N$257)</f>
        <v>0</v>
      </c>
      <c r="G155" s="493">
        <f>SUMIF('B-1 Site Hedge Baseline'!$D$10:$D$257,'G-2 Habitat groups'!A155,'B-1 Site Hedge Baseline'!$P$10:$P$257)</f>
        <v>0</v>
      </c>
      <c r="H155" s="493">
        <f>SUMIF('B-1 Site Hedge Baseline'!$D$10:$D$257,'G-2 Habitat groups'!A155,'B-1 Site Hedge Baseline'!$R$10:$R$257)</f>
        <v>0</v>
      </c>
      <c r="I155" s="493">
        <f>SUMIF('B-1 Site Hedge Baseline'!$D$10:$D$257,'G-2 Habitat groups'!A155,'B-1 Site Hedge Baseline'!$T$10:$T$257)</f>
        <v>0</v>
      </c>
      <c r="J155" s="493">
        <f>SUMIF('A-1 Site Habitat Baseline'!$G$11:$G$258,'G-2 Habitat groups'!A155,'A-1 Site Habitat Baseline'!$X$11:$X$258)</f>
        <v>0</v>
      </c>
      <c r="K155" s="493">
        <f>SUMIF('B-2 Site Hedge Creation'!$D$12:$D$259,'G-2 Habitat groups'!A155,'B-2 Site Hedge Creation'!$E$12:$E$259)</f>
        <v>2.5000000000000001E-2</v>
      </c>
      <c r="L155" s="493">
        <f>SUMIF('B-2 Site Hedge Creation'!$D$12:$D$259,'G-2 Habitat groups'!A155,'B-2 Site Hedge Creation'!$W$12:$W$259)</f>
        <v>4.4931606250000006E-2</v>
      </c>
      <c r="M155" s="493">
        <f>SUMIF('B-3 Site Hedge Enhancement'!$M$12:$M$257,'G-2 Habitat groups'!A155,'B-3 Site Hedge Enhancement'!$P$12:$P$257)</f>
        <v>0</v>
      </c>
      <c r="N155" s="493">
        <f>SUMIF('B-3 Site Hedge Enhancement'!$M$12:$M$257,'G-2 Habitat groups'!A155,'B-3 Site Hedge Enhancement'!$AH$12:$AH$257)</f>
        <v>0</v>
      </c>
      <c r="O155" s="493">
        <f t="shared" si="143"/>
        <v>2.5000000000000001E-2</v>
      </c>
      <c r="P155" s="493">
        <f t="shared" si="144"/>
        <v>4.4931606250000006E-2</v>
      </c>
      <c r="Q155" s="493">
        <f t="shared" si="145"/>
        <v>2.5000000000000001E-2</v>
      </c>
      <c r="R155" s="493">
        <f t="shared" si="146"/>
        <v>4.4931606250000006E-2</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2.5000000000000001E-2</v>
      </c>
      <c r="AF155" s="493">
        <f t="shared" si="150"/>
        <v>4.4931606250000006E-2</v>
      </c>
      <c r="AU155" s="104" t="s">
        <v>634</v>
      </c>
      <c r="AV155" s="88" t="s">
        <v>74</v>
      </c>
      <c r="AW155" s="493">
        <f>VLOOKUP($AU155,AllHabsSummaryData,5,FALSE)</f>
        <v>0</v>
      </c>
      <c r="AX155" s="493">
        <f>VLOOKUP($AU155,AllHabsSummaryData,10,FALSE)</f>
        <v>0</v>
      </c>
      <c r="AY155" s="493">
        <f>VLOOKUP($AU155,AllHabsSummaryData,15,FALSE)</f>
        <v>0</v>
      </c>
      <c r="AZ155" s="493">
        <f>VLOOKUP($AU155,AllHabsSummaryData,16,FALSE)</f>
        <v>0</v>
      </c>
      <c r="BA155" s="493">
        <f>VLOOKUP($AU155,AllHabsSummaryData,17,FALSE)</f>
        <v>0</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x14ac:dyDescent="0.3">
      <c r="A156" s="104" t="str">
        <f>'G-6 Hedgerow Data'!B13</f>
        <v>Line of Trees</v>
      </c>
      <c r="B156" s="88" t="s">
        <v>894</v>
      </c>
      <c r="C156" s="88" t="str">
        <f>'G-6 Hedgerow Data'!C13</f>
        <v>Low</v>
      </c>
      <c r="D156" s="88" t="str">
        <f>'G-6 Hedgerow Data'!AH13</f>
        <v>Same distinctiveness band or better</v>
      </c>
      <c r="E156" s="493">
        <f>SUMIF('B-1 Site Hedge Baseline'!$D$10:$D$257,'G-2 Habitat groups'!A156,'B-1 Site Hedge Baseline'!$E$10:$E$257)</f>
        <v>0</v>
      </c>
      <c r="F156" s="493">
        <f>SUMIF('B-1 Site Hedge Baseline'!$D$10:$D$257,'G-2 Habitat groups'!A156,'B-1 Site Hedge Baseline'!$N$10:$N$257)</f>
        <v>0</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0</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0</v>
      </c>
      <c r="R156" s="493">
        <f t="shared" si="146"/>
        <v>0</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0</v>
      </c>
      <c r="AF156" s="493">
        <f t="shared" si="150"/>
        <v>0</v>
      </c>
    </row>
    <row r="157" spans="1:59" x14ac:dyDescent="0.3">
      <c r="A157" s="104" t="str">
        <f>'G-6 Hedgerow Data'!B14</f>
        <v>Line of Trees - Associated with bank or ditch</v>
      </c>
      <c r="B157" s="88" t="s">
        <v>894</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x14ac:dyDescent="0.3">
      <c r="A158" s="104" t="str">
        <f>'G-6 Hedgerow Data'!B15</f>
        <v>Hedge Ornamental Non Native</v>
      </c>
      <c r="B158" s="88" t="s">
        <v>894</v>
      </c>
      <c r="C158" s="88" t="str">
        <f>'G-6 Hedgerow Data'!C15</f>
        <v>V.Low</v>
      </c>
      <c r="D158" s="88" t="str">
        <f>'G-6 Hedgerow Data'!AH15</f>
        <v>Same distinctiveness band or better</v>
      </c>
      <c r="E158" s="493">
        <f>SUMIF('B-1 Site Hedge Baseline'!$D$10:$D$257,'G-2 Habitat groups'!A158,'B-1 Site Hedge Baseline'!$E$10:$E$257)</f>
        <v>0</v>
      </c>
      <c r="F158" s="493">
        <f>SUMIF('B-1 Site Hedge Baseline'!$D$10:$D$257,'G-2 Habitat groups'!A158,'B-1 Site Hedge Baseline'!$N$10:$N$257)</f>
        <v>0</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0</v>
      </c>
      <c r="J158" s="493">
        <f>SUMIF('A-1 Site Habitat Baseline'!$G$11:$G$258,'G-2 Habitat groups'!A158,'A-1 Site Habitat Baseline'!$X$11:$X$258)</f>
        <v>0</v>
      </c>
      <c r="K158" s="493">
        <f>SUMIF('B-2 Site Hedge Creation'!$D$12:$D$259,'G-2 Habitat groups'!A158,'B-2 Site Hedge Creation'!$E$12:$E$259)</f>
        <v>0</v>
      </c>
      <c r="L158" s="493">
        <f>SUMIF('B-2 Site Hedge Creation'!$D$12:$D$259,'G-2 Habitat groups'!A158,'B-2 Site Hedge Creation'!$W$12:$W$259)</f>
        <v>0</v>
      </c>
      <c r="M158" s="493">
        <f>SUMIF('B-3 Site Hedge Enhancement'!$M$12:$M$257,'G-2 Habitat groups'!A158,'B-3 Site Hedge Enhancement'!$P$12:$P$257)</f>
        <v>0</v>
      </c>
      <c r="N158" s="493">
        <f>SUMIF('B-3 Site Hedge Enhancement'!$M$12:$M$257,'G-2 Habitat groups'!A158,'B-3 Site Hedge Enhancement'!$AH$12:$AH$257)</f>
        <v>0</v>
      </c>
      <c r="O158" s="493">
        <f t="shared" si="143"/>
        <v>0</v>
      </c>
      <c r="P158" s="493">
        <f t="shared" si="144"/>
        <v>0</v>
      </c>
      <c r="Q158" s="493">
        <f t="shared" si="145"/>
        <v>0</v>
      </c>
      <c r="R158" s="493">
        <f t="shared" si="146"/>
        <v>0</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0</v>
      </c>
      <c r="AF158" s="493">
        <f t="shared" si="150"/>
        <v>0</v>
      </c>
    </row>
    <row r="163" spans="1:32" ht="27.5" x14ac:dyDescent="0.55000000000000004">
      <c r="A163" s="325" t="s">
        <v>136</v>
      </c>
    </row>
    <row r="166" spans="1:32" ht="22.5" x14ac:dyDescent="0.45">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70" x14ac:dyDescent="0.3">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x14ac:dyDescent="0.3">
      <c r="A168" s="104" t="str">
        <f>'G-7 Rivers Data'!B4</f>
        <v>Priority Habitat</v>
      </c>
      <c r="B168" s="88" t="s">
        <v>897</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x14ac:dyDescent="0.3">
      <c r="A169" s="104" t="str">
        <f>'G-7 Rivers Data'!B5</f>
        <v>Other Rivers and Streams</v>
      </c>
      <c r="B169" s="88" t="s">
        <v>897</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x14ac:dyDescent="0.3">
      <c r="A170" s="104" t="str">
        <f>'G-7 Rivers Data'!B6</f>
        <v>Ditches</v>
      </c>
      <c r="B170" s="88" t="s">
        <v>897</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x14ac:dyDescent="0.3">
      <c r="A171" s="104" t="str">
        <f>'G-7 Rivers Data'!B7</f>
        <v>Canals</v>
      </c>
      <c r="B171" s="88" t="s">
        <v>897</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x14ac:dyDescent="0.3">
      <c r="A172" s="104" t="str">
        <f>'G-7 Rivers Data'!B8</f>
        <v>Culvert</v>
      </c>
      <c r="B172" s="88" t="s">
        <v>897</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defaultColWidth="0" defaultRowHeight="14" zeroHeight="1" x14ac:dyDescent="0.3"/>
  <cols>
    <col min="1" max="1" width="76.453125" style="31" customWidth="1"/>
    <col min="2" max="2" width="28.81640625" style="31" bestFit="1" customWidth="1"/>
    <col min="3" max="3" width="18.54296875" style="31" bestFit="1" customWidth="1"/>
    <col min="4" max="4" width="30.54296875" style="31" bestFit="1" customWidth="1"/>
    <col min="5" max="5" width="18.54296875" style="31" bestFit="1" customWidth="1"/>
    <col min="6" max="7" width="9.1796875" style="31" customWidth="1"/>
    <col min="8" max="8" width="16.26953125" style="31" hidden="1" customWidth="1"/>
    <col min="9" max="9" width="32.81640625" style="31" hidden="1" customWidth="1"/>
    <col min="10" max="10" width="8.1796875" style="31" hidden="1" customWidth="1"/>
    <col min="11" max="11" width="9.1796875" style="31" customWidth="1"/>
    <col min="12" max="12" width="38.54296875" style="31" customWidth="1"/>
    <col min="13" max="13" width="26.26953125" style="31" customWidth="1"/>
    <col min="14" max="14" width="12" style="31" bestFit="1" customWidth="1"/>
    <col min="15" max="15" width="9.1796875" style="31" customWidth="1"/>
    <col min="16" max="16" width="11.7265625" style="31" bestFit="1" customWidth="1"/>
    <col min="17" max="17" width="9.1796875" style="31" customWidth="1"/>
    <col min="18" max="18" width="18.81640625" style="31" customWidth="1"/>
    <col min="19" max="19" width="40" style="31" customWidth="1"/>
    <col min="20" max="20" width="19.453125" style="31" customWidth="1"/>
    <col min="21" max="21" width="9.1796875" style="31" customWidth="1"/>
    <col min="22" max="22" width="11.26953125" style="31" customWidth="1"/>
    <col min="23" max="23" width="12" style="31" bestFit="1" customWidth="1"/>
    <col min="24" max="24" width="14.26953125" style="31" bestFit="1" customWidth="1"/>
    <col min="25" max="25" width="17.7265625" style="31" bestFit="1" customWidth="1"/>
    <col min="26" max="26" width="10.1796875" style="31" bestFit="1" customWidth="1"/>
    <col min="27" max="28" width="9.1796875" style="31" customWidth="1"/>
    <col min="29" max="34" width="0" style="31" hidden="1" customWidth="1"/>
    <col min="35" max="16384" width="9.1796875" style="31" hidden="1"/>
  </cols>
  <sheetData>
    <row r="1" spans="1:26" ht="36.65" customHeight="1" thickBot="1" x14ac:dyDescent="0.55000000000000004">
      <c r="A1" s="825" t="s">
        <v>898</v>
      </c>
      <c r="B1" s="826"/>
      <c r="C1" s="826"/>
      <c r="D1" s="826"/>
      <c r="E1" s="827"/>
      <c r="J1" s="285"/>
      <c r="L1" s="825" t="s">
        <v>899</v>
      </c>
      <c r="M1" s="826"/>
      <c r="N1" s="827"/>
      <c r="P1" s="825" t="s">
        <v>291</v>
      </c>
      <c r="Q1" s="827"/>
    </row>
    <row r="2" spans="1:26" ht="42" customHeight="1" thickBot="1" x14ac:dyDescent="0.55000000000000004">
      <c r="A2" s="286" t="s">
        <v>820</v>
      </c>
      <c r="B2" s="200" t="s">
        <v>359</v>
      </c>
      <c r="C2" s="200" t="s">
        <v>323</v>
      </c>
      <c r="D2" s="200" t="s">
        <v>360</v>
      </c>
      <c r="E2" s="286" t="s">
        <v>323</v>
      </c>
      <c r="H2" s="1048" t="s">
        <v>900</v>
      </c>
      <c r="I2" s="1049"/>
      <c r="J2" s="1050"/>
      <c r="L2" s="1045" t="s">
        <v>901</v>
      </c>
      <c r="M2" s="1046"/>
      <c r="N2" s="1047"/>
      <c r="P2" s="286" t="s">
        <v>902</v>
      </c>
      <c r="Q2" s="286" t="s">
        <v>903</v>
      </c>
      <c r="S2" s="863" t="s">
        <v>904</v>
      </c>
      <c r="T2" s="876"/>
      <c r="W2" s="825" t="s">
        <v>905</v>
      </c>
      <c r="X2" s="826"/>
      <c r="Y2" s="826"/>
      <c r="Z2" s="827"/>
    </row>
    <row r="3" spans="1:26" x14ac:dyDescent="0.3">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906</v>
      </c>
      <c r="J3" s="279" t="s">
        <v>907</v>
      </c>
      <c r="L3" s="279" t="s">
        <v>906</v>
      </c>
      <c r="M3" s="103" t="s">
        <v>908</v>
      </c>
      <c r="N3" s="279" t="s">
        <v>323</v>
      </c>
      <c r="P3" s="130" t="s">
        <v>156</v>
      </c>
      <c r="Q3" s="543">
        <v>1</v>
      </c>
      <c r="S3" s="286" t="s">
        <v>66</v>
      </c>
      <c r="T3" s="286" t="s">
        <v>323</v>
      </c>
      <c r="W3" s="286" t="s">
        <v>16</v>
      </c>
      <c r="X3" s="286" t="s">
        <v>909</v>
      </c>
      <c r="Y3" s="286" t="s">
        <v>910</v>
      </c>
      <c r="Z3" s="286" t="s">
        <v>911</v>
      </c>
    </row>
    <row r="4" spans="1:26" ht="42" x14ac:dyDescent="0.3">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912</v>
      </c>
      <c r="J4" s="188">
        <v>1.1499999999999999</v>
      </c>
      <c r="L4" s="130" t="s">
        <v>913</v>
      </c>
      <c r="M4" s="519" t="s">
        <v>914</v>
      </c>
      <c r="N4" s="543">
        <v>1.1499999999999999</v>
      </c>
      <c r="P4" s="130" t="s">
        <v>23</v>
      </c>
      <c r="Q4" s="543">
        <v>0.67</v>
      </c>
      <c r="S4" s="130" t="s">
        <v>915</v>
      </c>
      <c r="T4" s="519">
        <v>1</v>
      </c>
      <c r="W4" s="104" t="s">
        <v>22</v>
      </c>
      <c r="X4" s="543">
        <v>0.3</v>
      </c>
      <c r="Y4" s="543">
        <f>X4*12</f>
        <v>3.5999999999999996</v>
      </c>
      <c r="Z4" s="657">
        <f>3.14*(Y4*Y4)/10000</f>
        <v>4.0694399999999997E-3</v>
      </c>
    </row>
    <row r="5" spans="1:26" ht="42" x14ac:dyDescent="0.3">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916</v>
      </c>
      <c r="J5" s="188">
        <v>1.1000000000000001</v>
      </c>
      <c r="L5" s="130" t="s">
        <v>917</v>
      </c>
      <c r="M5" s="519" t="s">
        <v>918</v>
      </c>
      <c r="N5" s="543">
        <v>1.1000000000000001</v>
      </c>
      <c r="P5" s="130" t="s">
        <v>153</v>
      </c>
      <c r="Q5" s="543">
        <v>0.33</v>
      </c>
      <c r="S5" s="130" t="s">
        <v>919</v>
      </c>
      <c r="T5" s="519">
        <v>0.75</v>
      </c>
      <c r="W5" s="104" t="s">
        <v>23</v>
      </c>
      <c r="X5" s="543">
        <v>0.9</v>
      </c>
      <c r="Y5" s="543">
        <f t="shared" ref="Y5:Y6" si="0">X5*12</f>
        <v>10.8</v>
      </c>
      <c r="Z5" s="657">
        <f t="shared" ref="Z5:Z6" si="1">3.14*(Y5*Y5)/10000</f>
        <v>3.6624960000000005E-2</v>
      </c>
    </row>
    <row r="6" spans="1:26" ht="42" x14ac:dyDescent="0.3">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920</v>
      </c>
      <c r="J6" s="188">
        <v>1</v>
      </c>
      <c r="L6" s="130" t="s">
        <v>921</v>
      </c>
      <c r="M6" s="519" t="s">
        <v>922</v>
      </c>
      <c r="N6" s="543">
        <v>1</v>
      </c>
      <c r="P6" s="130" t="s">
        <v>151</v>
      </c>
      <c r="Q6" s="543">
        <v>0.1</v>
      </c>
      <c r="S6" s="337" t="s">
        <v>923</v>
      </c>
      <c r="T6" s="519">
        <v>0.5</v>
      </c>
      <c r="W6" s="104" t="s">
        <v>24</v>
      </c>
      <c r="X6" s="543">
        <v>1.3</v>
      </c>
      <c r="Y6" s="543">
        <f t="shared" si="0"/>
        <v>15.600000000000001</v>
      </c>
      <c r="Z6" s="657">
        <f t="shared" si="1"/>
        <v>7.6415040000000017E-2</v>
      </c>
    </row>
    <row r="7" spans="1:26" ht="49.9" customHeight="1" x14ac:dyDescent="0.3">
      <c r="A7" s="110" t="str">
        <f>'G-1 All Habitats'!B5</f>
        <v>Cropland - Arable field margins pollen &amp; nectar</v>
      </c>
      <c r="B7" s="543" t="str">
        <f>'G-1 All Habitats'!N5</f>
        <v>Low</v>
      </c>
      <c r="C7" s="543">
        <f>'G-1 All Habitats'!O5</f>
        <v>1</v>
      </c>
      <c r="D7" s="543" t="str">
        <f>'G-1 All Habitats'!P5</f>
        <v>Low</v>
      </c>
      <c r="E7" s="543">
        <f>'G-1 All Habitats'!Q5</f>
        <v>1</v>
      </c>
      <c r="H7" s="287" t="s">
        <v>924</v>
      </c>
      <c r="I7" s="147" t="s">
        <v>925</v>
      </c>
      <c r="J7" s="188">
        <v>1</v>
      </c>
      <c r="S7" s="338" t="s">
        <v>926</v>
      </c>
      <c r="T7" s="519">
        <v>1</v>
      </c>
    </row>
    <row r="8" spans="1:26" ht="49.9" customHeight="1" x14ac:dyDescent="0.3">
      <c r="A8" s="110" t="str">
        <f>'G-1 All Habitats'!B6</f>
        <v>Cropland - Arable field margins tussocky</v>
      </c>
      <c r="B8" s="543" t="str">
        <f>'G-1 All Habitats'!N6</f>
        <v>Low</v>
      </c>
      <c r="C8" s="543">
        <f>'G-1 All Habitats'!O6</f>
        <v>1</v>
      </c>
      <c r="D8" s="543" t="str">
        <f>'G-1 All Habitats'!P6</f>
        <v>Low</v>
      </c>
      <c r="E8" s="543">
        <f>'G-1 All Habitats'!Q6</f>
        <v>1</v>
      </c>
      <c r="S8" s="338" t="s">
        <v>927</v>
      </c>
      <c r="T8" s="519">
        <v>0.75</v>
      </c>
    </row>
    <row r="9" spans="1:26" ht="49.9" customHeight="1" x14ac:dyDescent="0.3">
      <c r="A9" s="110" t="str">
        <f>'G-1 All Habitats'!B7</f>
        <v>Cropland - Cereal crops</v>
      </c>
      <c r="B9" s="543" t="str">
        <f>'G-1 All Habitats'!N7</f>
        <v>Low</v>
      </c>
      <c r="C9" s="543">
        <f>'G-1 All Habitats'!O7</f>
        <v>1</v>
      </c>
      <c r="D9" s="543" t="str">
        <f>'G-1 All Habitats'!P7</f>
        <v>Low</v>
      </c>
      <c r="E9" s="543">
        <f>'G-1 All Habitats'!Q7</f>
        <v>1</v>
      </c>
      <c r="S9" s="338" t="s">
        <v>928</v>
      </c>
      <c r="T9" s="519">
        <v>0.5</v>
      </c>
    </row>
    <row r="10" spans="1:26" x14ac:dyDescent="0.3">
      <c r="A10" s="110" t="str">
        <f>'G-1 All Habitats'!B8</f>
        <v>Cropland - Cereal crops winter stubble</v>
      </c>
      <c r="B10" s="543" t="str">
        <f>'G-1 All Habitats'!N8</f>
        <v>Low</v>
      </c>
      <c r="C10" s="543">
        <f>'G-1 All Habitats'!O8</f>
        <v>1</v>
      </c>
      <c r="D10" s="543" t="str">
        <f>'G-1 All Habitats'!P8</f>
        <v>Low</v>
      </c>
      <c r="E10" s="543">
        <f>'G-1 All Habitats'!Q8</f>
        <v>1</v>
      </c>
    </row>
    <row r="11" spans="1:26" x14ac:dyDescent="0.3">
      <c r="A11" s="110" t="str">
        <f>'G-1 All Habitats'!B9</f>
        <v>Cropland - Horticulture</v>
      </c>
      <c r="B11" s="543" t="str">
        <f>'G-1 All Habitats'!N9</f>
        <v>Low</v>
      </c>
      <c r="C11" s="543">
        <f>'G-1 All Habitats'!O9</f>
        <v>1</v>
      </c>
      <c r="D11" s="543" t="str">
        <f>'G-1 All Habitats'!P9</f>
        <v>Low</v>
      </c>
      <c r="E11" s="543">
        <f>'G-1 All Habitats'!Q9</f>
        <v>1</v>
      </c>
    </row>
    <row r="12" spans="1:26" x14ac:dyDescent="0.3">
      <c r="A12" s="110" t="str">
        <f>'G-1 All Habitats'!B10</f>
        <v>Cropland - Intensive orchards</v>
      </c>
      <c r="B12" s="543" t="str">
        <f>'G-1 All Habitats'!N10</f>
        <v>Low</v>
      </c>
      <c r="C12" s="543">
        <f>'G-1 All Habitats'!O10</f>
        <v>1</v>
      </c>
      <c r="D12" s="543" t="str">
        <f>'G-1 All Habitats'!P10</f>
        <v>Low</v>
      </c>
      <c r="E12" s="543">
        <f>'G-1 All Habitats'!Q10</f>
        <v>1</v>
      </c>
    </row>
    <row r="13" spans="1:26" x14ac:dyDescent="0.3">
      <c r="A13" s="110" t="str">
        <f>'G-1 All Habitats'!B11</f>
        <v>Cropland - Non-cereal crops</v>
      </c>
      <c r="B13" s="543" t="str">
        <f>'G-1 All Habitats'!N11</f>
        <v>Low</v>
      </c>
      <c r="C13" s="543">
        <f>'G-1 All Habitats'!O11</f>
        <v>1</v>
      </c>
      <c r="D13" s="543" t="str">
        <f>'G-1 All Habitats'!P11</f>
        <v>Low</v>
      </c>
      <c r="E13" s="543">
        <f>'G-1 All Habitats'!Q11</f>
        <v>1</v>
      </c>
    </row>
    <row r="14" spans="1:26" x14ac:dyDescent="0.3">
      <c r="A14" s="110" t="str">
        <f>'G-1 All Habitats'!B12</f>
        <v>Cropland - Temporary grass and clover leys</v>
      </c>
      <c r="B14" s="543" t="str">
        <f>'G-1 All Habitats'!N12</f>
        <v>Low</v>
      </c>
      <c r="C14" s="543">
        <f>'G-1 All Habitats'!O12</f>
        <v>1</v>
      </c>
      <c r="D14" s="543" t="str">
        <f>'G-1 All Habitats'!P12</f>
        <v>Low</v>
      </c>
      <c r="E14" s="543">
        <f>'G-1 All Habitats'!Q12</f>
        <v>1</v>
      </c>
    </row>
    <row r="15" spans="1:26" x14ac:dyDescent="0.3">
      <c r="A15" s="110" t="str">
        <f>'G-1 All Habitats'!B13</f>
        <v>Grassland - Traditional orchards</v>
      </c>
      <c r="B15" s="543" t="str">
        <f>'G-1 All Habitats'!N13</f>
        <v>Low</v>
      </c>
      <c r="C15" s="543">
        <f>'G-1 All Habitats'!O13</f>
        <v>1</v>
      </c>
      <c r="D15" s="543" t="str">
        <f>'G-1 All Habitats'!P13</f>
        <v>Medium</v>
      </c>
      <c r="E15" s="543">
        <f>'G-1 All Habitats'!Q13</f>
        <v>0.67</v>
      </c>
    </row>
    <row r="16" spans="1:26" x14ac:dyDescent="0.3">
      <c r="A16" s="110" t="str">
        <f>'G-1 All Habitats'!B14</f>
        <v>Grassland - Bracken</v>
      </c>
      <c r="B16" s="543" t="str">
        <f>'G-1 All Habitats'!N14</f>
        <v>Low</v>
      </c>
      <c r="C16" s="543">
        <f>'G-1 All Habitats'!O14</f>
        <v>1</v>
      </c>
      <c r="D16" s="543" t="str">
        <f>'G-1 All Habitats'!P14</f>
        <v>Low</v>
      </c>
      <c r="E16" s="543">
        <f>'G-1 All Habitats'!Q14</f>
        <v>1</v>
      </c>
    </row>
    <row r="17" spans="1:5" x14ac:dyDescent="0.3">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x14ac:dyDescent="0.3">
      <c r="A18" s="110" t="str">
        <f>'G-1 All Habitats'!B16</f>
        <v>Grassland - Lowland calcareous grassland</v>
      </c>
      <c r="B18" s="543" t="str">
        <f>'G-1 All Habitats'!N16</f>
        <v>High</v>
      </c>
      <c r="C18" s="543">
        <f>'G-1 All Habitats'!O16</f>
        <v>0.33</v>
      </c>
      <c r="D18" s="543" t="str">
        <f>'G-1 All Habitats'!P16</f>
        <v>High</v>
      </c>
      <c r="E18" s="543">
        <f>'G-1 All Habitats'!Q16</f>
        <v>0.33</v>
      </c>
    </row>
    <row r="19" spans="1:5" x14ac:dyDescent="0.3">
      <c r="A19" s="110" t="str">
        <f>'G-1 All Habitats'!B17</f>
        <v>Grassland - Lowland dry acid grassland</v>
      </c>
      <c r="B19" s="543" t="str">
        <f>'G-1 All Habitats'!N17</f>
        <v>High</v>
      </c>
      <c r="C19" s="543">
        <f>'G-1 All Habitats'!O17</f>
        <v>0.33</v>
      </c>
      <c r="D19" s="543" t="str">
        <f>'G-1 All Habitats'!P17</f>
        <v>High</v>
      </c>
      <c r="E19" s="543">
        <f>'G-1 All Habitats'!Q17</f>
        <v>0.33</v>
      </c>
    </row>
    <row r="20" spans="1:5" x14ac:dyDescent="0.3">
      <c r="A20" s="110" t="str">
        <f>'G-1 All Habitats'!B18</f>
        <v>Grassland - Lowland meadows</v>
      </c>
      <c r="B20" s="543" t="str">
        <f>'G-1 All Habitats'!N18</f>
        <v>High</v>
      </c>
      <c r="C20" s="543">
        <f>'G-1 All Habitats'!O18</f>
        <v>0.33</v>
      </c>
      <c r="D20" s="543" t="str">
        <f>'G-1 All Habitats'!P18</f>
        <v>Medium</v>
      </c>
      <c r="E20" s="543">
        <f>'G-1 All Habitats'!Q18</f>
        <v>0.67</v>
      </c>
    </row>
    <row r="21" spans="1:5" x14ac:dyDescent="0.3">
      <c r="A21" s="110" t="str">
        <f>'G-1 All Habitats'!B19</f>
        <v>Grassland - Modified grassland</v>
      </c>
      <c r="B21" s="543" t="str">
        <f>'G-1 All Habitats'!N19</f>
        <v>Low</v>
      </c>
      <c r="C21" s="543">
        <f>'G-1 All Habitats'!O19</f>
        <v>1</v>
      </c>
      <c r="D21" s="543" t="str">
        <f>'G-1 All Habitats'!P19</f>
        <v>Low</v>
      </c>
      <c r="E21" s="543">
        <f>'G-1 All Habitats'!Q19</f>
        <v>1</v>
      </c>
    </row>
    <row r="22" spans="1:5" x14ac:dyDescent="0.3">
      <c r="A22" s="110" t="str">
        <f>'G-1 All Habitats'!B20</f>
        <v>Grassland - Other lowland acid grassland</v>
      </c>
      <c r="B22" s="543" t="str">
        <f>'G-1 All Habitats'!N20</f>
        <v>Low</v>
      </c>
      <c r="C22" s="543">
        <f>'G-1 All Habitats'!O20</f>
        <v>1</v>
      </c>
      <c r="D22" s="543" t="str">
        <f>'G-1 All Habitats'!P20</f>
        <v>Low</v>
      </c>
      <c r="E22" s="543">
        <f>'G-1 All Habitats'!Q20</f>
        <v>1</v>
      </c>
    </row>
    <row r="23" spans="1:5" x14ac:dyDescent="0.3">
      <c r="A23" s="110" t="str">
        <f>'G-1 All Habitats'!B21</f>
        <v>Grassland - Other neutral grassland</v>
      </c>
      <c r="B23" s="543" t="str">
        <f>'G-1 All Habitats'!N21</f>
        <v>Low</v>
      </c>
      <c r="C23" s="543">
        <f>'G-1 All Habitats'!O21</f>
        <v>1</v>
      </c>
      <c r="D23" s="543" t="str">
        <f>'G-1 All Habitats'!P21</f>
        <v>Low</v>
      </c>
      <c r="E23" s="543">
        <f>'G-1 All Habitats'!Q21</f>
        <v>1</v>
      </c>
    </row>
    <row r="24" spans="1:5" x14ac:dyDescent="0.3">
      <c r="A24" s="110" t="str">
        <f>'G-1 All Habitats'!B22</f>
        <v>Grassland - Tall herb communities (H6430)</v>
      </c>
      <c r="B24" s="543" t="str">
        <f>'G-1 All Habitats'!N22</f>
        <v>High</v>
      </c>
      <c r="C24" s="543">
        <f>'G-1 All Habitats'!O22</f>
        <v>0.33</v>
      </c>
      <c r="D24" s="543" t="str">
        <f>'G-1 All Habitats'!P22</f>
        <v>High</v>
      </c>
      <c r="E24" s="543">
        <f>'G-1 All Habitats'!Q22</f>
        <v>0.33</v>
      </c>
    </row>
    <row r="25" spans="1:5" x14ac:dyDescent="0.3">
      <c r="A25" s="110" t="str">
        <f>'G-1 All Habitats'!B23</f>
        <v>Grassland - Upland acid grassland</v>
      </c>
      <c r="B25" s="543" t="str">
        <f>'G-1 All Habitats'!N23</f>
        <v>Low</v>
      </c>
      <c r="C25" s="543">
        <f>'G-1 All Habitats'!O23</f>
        <v>1</v>
      </c>
      <c r="D25" s="543" t="str">
        <f>'G-1 All Habitats'!P23</f>
        <v>Low</v>
      </c>
      <c r="E25" s="543">
        <f>'G-1 All Habitats'!Q23</f>
        <v>1</v>
      </c>
    </row>
    <row r="26" spans="1:5" x14ac:dyDescent="0.3">
      <c r="A26" s="110" t="str">
        <f>'G-1 All Habitats'!B24</f>
        <v>Grassland - Upland calcareous grassland</v>
      </c>
      <c r="B26" s="543" t="str">
        <f>'G-1 All Habitats'!N24</f>
        <v>High</v>
      </c>
      <c r="C26" s="543">
        <f>'G-1 All Habitats'!O24</f>
        <v>0.33</v>
      </c>
      <c r="D26" s="543" t="str">
        <f>'G-1 All Habitats'!P24</f>
        <v>High</v>
      </c>
      <c r="E26" s="543">
        <f>'G-1 All Habitats'!Q24</f>
        <v>0.33</v>
      </c>
    </row>
    <row r="27" spans="1:5" x14ac:dyDescent="0.3">
      <c r="A27" s="110" t="str">
        <f>'G-1 All Habitats'!B25</f>
        <v>Grassland - Upland hay meadows</v>
      </c>
      <c r="B27" s="543" t="str">
        <f>'G-1 All Habitats'!N25</f>
        <v>High</v>
      </c>
      <c r="C27" s="543">
        <f>'G-1 All Habitats'!O25</f>
        <v>0.33</v>
      </c>
      <c r="D27" s="543" t="str">
        <f>'G-1 All Habitats'!P25</f>
        <v>Medium</v>
      </c>
      <c r="E27" s="543">
        <f>'G-1 All Habitats'!Q25</f>
        <v>0.67</v>
      </c>
    </row>
    <row r="28" spans="1:5" x14ac:dyDescent="0.3">
      <c r="A28" s="110" t="str">
        <f>'G-1 All Habitats'!B26</f>
        <v>Heathland and shrub - Blackthorn scrub</v>
      </c>
      <c r="B28" s="543" t="str">
        <f>'G-1 All Habitats'!N26</f>
        <v>Low</v>
      </c>
      <c r="C28" s="543">
        <f>'G-1 All Habitats'!O26</f>
        <v>1</v>
      </c>
      <c r="D28" s="543" t="str">
        <f>'G-1 All Habitats'!P26</f>
        <v>Low</v>
      </c>
      <c r="E28" s="543">
        <f>'G-1 All Habitats'!Q26</f>
        <v>1</v>
      </c>
    </row>
    <row r="29" spans="1:5" x14ac:dyDescent="0.3">
      <c r="A29" s="110" t="str">
        <f>'G-1 All Habitats'!B27</f>
        <v>Heathland and shrub - Bramble scrub</v>
      </c>
      <c r="B29" s="543" t="str">
        <f>'G-1 All Habitats'!N27</f>
        <v>Low</v>
      </c>
      <c r="C29" s="543">
        <f>'G-1 All Habitats'!O27</f>
        <v>1</v>
      </c>
      <c r="D29" s="543" t="str">
        <f>'G-1 All Habitats'!P27</f>
        <v>Low</v>
      </c>
      <c r="E29" s="543">
        <f>'G-1 All Habitats'!Q27</f>
        <v>1</v>
      </c>
    </row>
    <row r="30" spans="1:5" x14ac:dyDescent="0.3">
      <c r="A30" s="110" t="str">
        <f>'G-1 All Habitats'!B28</f>
        <v>Heathland and shrub - Gorse scrub</v>
      </c>
      <c r="B30" s="543" t="str">
        <f>'G-1 All Habitats'!N28</f>
        <v>Low</v>
      </c>
      <c r="C30" s="543">
        <f>'G-1 All Habitats'!O28</f>
        <v>1</v>
      </c>
      <c r="D30" s="543" t="str">
        <f>'G-1 All Habitats'!P28</f>
        <v>Low</v>
      </c>
      <c r="E30" s="543">
        <f>'G-1 All Habitats'!Q28</f>
        <v>1</v>
      </c>
    </row>
    <row r="31" spans="1:5" x14ac:dyDescent="0.3">
      <c r="A31" s="110" t="str">
        <f>'G-1 All Habitats'!B29</f>
        <v>Heathland and shrub - Hawthorn scrub</v>
      </c>
      <c r="B31" s="543" t="str">
        <f>'G-1 All Habitats'!N29</f>
        <v>Low</v>
      </c>
      <c r="C31" s="543">
        <f>'G-1 All Habitats'!O29</f>
        <v>1</v>
      </c>
      <c r="D31" s="543" t="str">
        <f>'G-1 All Habitats'!P29</f>
        <v>Low</v>
      </c>
      <c r="E31" s="543">
        <f>'G-1 All Habitats'!Q29</f>
        <v>1</v>
      </c>
    </row>
    <row r="32" spans="1:5" x14ac:dyDescent="0.3">
      <c r="A32" s="110" t="str">
        <f>'G-1 All Habitats'!B30</f>
        <v>Heathland and shrub - Hazel scrub</v>
      </c>
      <c r="B32" s="543" t="s">
        <v>23</v>
      </c>
      <c r="C32" s="543">
        <f>'G-1 All Habitats'!O30</f>
        <v>1</v>
      </c>
      <c r="D32" s="543" t="s">
        <v>23</v>
      </c>
      <c r="E32" s="543">
        <f>'G-1 All Habitats'!Q30</f>
        <v>1</v>
      </c>
    </row>
    <row r="33" spans="1:5" x14ac:dyDescent="0.3">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x14ac:dyDescent="0.3">
      <c r="A34" s="110" t="str">
        <f>'G-1 All Habitats'!B32</f>
        <v>Heathland and shrub - Mixed scrub</v>
      </c>
      <c r="B34" s="543" t="str">
        <f>'G-1 All Habitats'!N32</f>
        <v>Low</v>
      </c>
      <c r="C34" s="543">
        <f>'G-1 All Habitats'!O32</f>
        <v>1</v>
      </c>
      <c r="D34" s="543" t="str">
        <f>'G-1 All Habitats'!P32</f>
        <v>Low</v>
      </c>
      <c r="E34" s="543">
        <f>'G-1 All Habitats'!Q32</f>
        <v>1</v>
      </c>
    </row>
    <row r="35" spans="1:5" x14ac:dyDescent="0.3">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x14ac:dyDescent="0.3">
      <c r="A36" s="110" t="str">
        <f>'G-1 All Habitats'!B34</f>
        <v>Heathland and shrub - Rhododendron scrub</v>
      </c>
      <c r="B36" s="543" t="str">
        <f>'G-1 All Habitats'!N34</f>
        <v>Low</v>
      </c>
      <c r="C36" s="543">
        <f>'G-1 All Habitats'!O34</f>
        <v>1</v>
      </c>
      <c r="D36" s="543" t="str">
        <f>'G-1 All Habitats'!P34</f>
        <v>Low</v>
      </c>
      <c r="E36" s="543">
        <f>'G-1 All Habitats'!Q34</f>
        <v>1</v>
      </c>
    </row>
    <row r="37" spans="1:5" x14ac:dyDescent="0.3">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x14ac:dyDescent="0.3">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x14ac:dyDescent="0.3">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x14ac:dyDescent="0.3">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x14ac:dyDescent="0.3">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x14ac:dyDescent="0.3">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x14ac:dyDescent="0.3">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x14ac:dyDescent="0.3">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x14ac:dyDescent="0.3">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x14ac:dyDescent="0.3">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x14ac:dyDescent="0.3">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x14ac:dyDescent="0.3">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x14ac:dyDescent="0.3">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x14ac:dyDescent="0.3">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x14ac:dyDescent="0.3">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x14ac:dyDescent="0.3">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x14ac:dyDescent="0.3">
      <c r="A53" s="110" t="str">
        <f>'G-1 All Habitats'!B39</f>
        <v>Lakes - Ornamental lake or pond</v>
      </c>
      <c r="B53" s="543" t="str">
        <f>'G-1 All Habitats'!N39</f>
        <v>Low</v>
      </c>
      <c r="C53" s="543">
        <f>'G-1 All Habitats'!O39</f>
        <v>1</v>
      </c>
      <c r="D53" s="543" t="str">
        <f>'G-1 All Habitats'!P39</f>
        <v>High</v>
      </c>
      <c r="E53" s="543">
        <f>'G-1 All Habitats'!Q39</f>
        <v>0.33</v>
      </c>
    </row>
    <row r="54" spans="1:5" x14ac:dyDescent="0.3">
      <c r="A54" s="110" t="str">
        <f>'G-1 All Habitats'!B40</f>
        <v>Lakes - High alkalinity lakes</v>
      </c>
      <c r="B54" s="543" t="str">
        <f>'G-1 All Habitats'!N40</f>
        <v>High</v>
      </c>
      <c r="C54" s="543">
        <f>'G-1 All Habitats'!O40</f>
        <v>0.33</v>
      </c>
      <c r="D54" s="543" t="str">
        <f>'G-1 All Habitats'!P40</f>
        <v>High</v>
      </c>
      <c r="E54" s="543">
        <f>'G-1 All Habitats'!Q40</f>
        <v>0.33</v>
      </c>
    </row>
    <row r="55" spans="1:5" x14ac:dyDescent="0.3">
      <c r="A55" s="110" t="str">
        <f>'G-1 All Habitats'!B41</f>
        <v>Lakes - Low alkalinity lakes</v>
      </c>
      <c r="B55" s="543" t="str">
        <f>'G-1 All Habitats'!N41</f>
        <v>High</v>
      </c>
      <c r="C55" s="543">
        <f>'G-1 All Habitats'!O41</f>
        <v>0.33</v>
      </c>
      <c r="D55" s="543" t="str">
        <f>'G-1 All Habitats'!P41</f>
        <v>Medium</v>
      </c>
      <c r="E55" s="543">
        <f>'G-1 All Habitats'!Q41</f>
        <v>0.67</v>
      </c>
    </row>
    <row r="56" spans="1:5" x14ac:dyDescent="0.3">
      <c r="A56" s="110" t="str">
        <f>'G-1 All Habitats'!B42</f>
        <v>Lakes - Marl Lakes</v>
      </c>
      <c r="B56" s="543" t="str">
        <f>'G-1 All Habitats'!N42</f>
        <v>High</v>
      </c>
      <c r="C56" s="543">
        <f>'G-1 All Habitats'!O42</f>
        <v>0.33</v>
      </c>
      <c r="D56" s="543" t="str">
        <f>'G-1 All Habitats'!P42</f>
        <v>High</v>
      </c>
      <c r="E56" s="543">
        <f>'G-1 All Habitats'!Q42</f>
        <v>0.33</v>
      </c>
    </row>
    <row r="57" spans="1:5" x14ac:dyDescent="0.3">
      <c r="A57" s="110" t="str">
        <f>'G-1 All Habitats'!B43</f>
        <v>Lakes - Moderate alkalinity lakes</v>
      </c>
      <c r="B57" s="543" t="str">
        <f>'G-1 All Habitats'!N43</f>
        <v>High</v>
      </c>
      <c r="C57" s="543">
        <f>'G-1 All Habitats'!O43</f>
        <v>0.33</v>
      </c>
      <c r="D57" s="543" t="str">
        <f>'G-1 All Habitats'!P43</f>
        <v>High</v>
      </c>
      <c r="E57" s="543">
        <f>'G-1 All Habitats'!Q43</f>
        <v>0.33</v>
      </c>
    </row>
    <row r="58" spans="1:5" x14ac:dyDescent="0.3">
      <c r="A58" s="110" t="str">
        <f>'G-1 All Habitats'!B44</f>
        <v>Lakes - Peat Lakes</v>
      </c>
      <c r="B58" s="543" t="str">
        <f>'G-1 All Habitats'!N44</f>
        <v>High</v>
      </c>
      <c r="C58" s="543">
        <f>'G-1 All Habitats'!O44</f>
        <v>0.33</v>
      </c>
      <c r="D58" s="543" t="str">
        <f>'G-1 All Habitats'!P44</f>
        <v>High</v>
      </c>
      <c r="E58" s="543">
        <f>'G-1 All Habitats'!Q44</f>
        <v>0.33</v>
      </c>
    </row>
    <row r="59" spans="1:5" x14ac:dyDescent="0.3">
      <c r="A59" s="110" t="str">
        <f>'G-1 All Habitats'!B46</f>
        <v>Lakes - Ponds (Non- Priority Habitat)</v>
      </c>
      <c r="B59" s="543" t="str">
        <f>'G-1 All Habitats'!N46</f>
        <v>Low</v>
      </c>
      <c r="C59" s="543">
        <f>'G-1 All Habitats'!O46</f>
        <v>1</v>
      </c>
      <c r="D59" s="543" t="str">
        <f>'G-1 All Habitats'!P46</f>
        <v>Medium</v>
      </c>
      <c r="E59" s="543">
        <f>'G-1 All Habitats'!Q46</f>
        <v>0.67</v>
      </c>
    </row>
    <row r="60" spans="1:5" x14ac:dyDescent="0.3">
      <c r="A60" s="110" t="str">
        <f>'G-1 All Habitats'!B45</f>
        <v>Lakes - Ponds (Priority Habitat)</v>
      </c>
      <c r="B60" s="543" t="str">
        <f>'G-1 All Habitats'!N45</f>
        <v>Medium</v>
      </c>
      <c r="C60" s="543">
        <f>'G-1 All Habitats'!O45</f>
        <v>0.67</v>
      </c>
      <c r="D60" s="543" t="str">
        <f>'G-1 All Habitats'!P45</f>
        <v>Medium</v>
      </c>
      <c r="E60" s="543">
        <f>'G-1 All Habitats'!Q45</f>
        <v>0.67</v>
      </c>
    </row>
    <row r="61" spans="1:5" x14ac:dyDescent="0.3">
      <c r="A61" s="110" t="str">
        <f>'G-1 All Habitats'!B47</f>
        <v>Lakes - Reservoirs</v>
      </c>
      <c r="B61" s="543" t="str">
        <f>'G-1 All Habitats'!N47</f>
        <v>Medium</v>
      </c>
      <c r="C61" s="543">
        <f>'G-1 All Habitats'!O47</f>
        <v>0.67</v>
      </c>
      <c r="D61" s="543" t="str">
        <f>'G-1 All Habitats'!P47</f>
        <v>Medium</v>
      </c>
      <c r="E61" s="543">
        <f>'G-1 All Habitats'!Q47</f>
        <v>0.67</v>
      </c>
    </row>
    <row r="62" spans="1:5" x14ac:dyDescent="0.3">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x14ac:dyDescent="0.3">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x14ac:dyDescent="0.3">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x14ac:dyDescent="0.3">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x14ac:dyDescent="0.3">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x14ac:dyDescent="0.3">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x14ac:dyDescent="0.3">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x14ac:dyDescent="0.3">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x14ac:dyDescent="0.3">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x14ac:dyDescent="0.3">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x14ac:dyDescent="0.3">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x14ac:dyDescent="0.3">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x14ac:dyDescent="0.3">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x14ac:dyDescent="0.3">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x14ac:dyDescent="0.3">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x14ac:dyDescent="0.3">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x14ac:dyDescent="0.3">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x14ac:dyDescent="0.3">
      <c r="A79" s="110" t="str">
        <f>'G-1 All Habitats'!B76</f>
        <v>Urban - Vacant/derelict land/ bareground</v>
      </c>
      <c r="B79" s="543" t="str">
        <f>'G-1 All Habitats'!N76</f>
        <v>Low</v>
      </c>
      <c r="C79" s="543">
        <f>'G-1 All Habitats'!O76</f>
        <v>1</v>
      </c>
      <c r="D79" s="543" t="str">
        <f>'G-1 All Habitats'!P76</f>
        <v>Low</v>
      </c>
      <c r="E79" s="543">
        <f>'G-1 All Habitats'!Q76</f>
        <v>1</v>
      </c>
    </row>
    <row r="80" spans="1:5" x14ac:dyDescent="0.3">
      <c r="A80" s="110" t="str">
        <f>'G-1 All Habitats'!B57</f>
        <v>Urban - Allotments</v>
      </c>
      <c r="B80" s="543" t="str">
        <f>'G-1 All Habitats'!N57</f>
        <v>Low</v>
      </c>
      <c r="C80" s="543">
        <f>'G-1 All Habitats'!O57</f>
        <v>1</v>
      </c>
      <c r="D80" s="543" t="str">
        <f>'G-1 All Habitats'!P57</f>
        <v>Low</v>
      </c>
      <c r="E80" s="543">
        <f>'G-1 All Habitats'!Q57</f>
        <v>1</v>
      </c>
    </row>
    <row r="81" spans="1:5" x14ac:dyDescent="0.3">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x14ac:dyDescent="0.3">
      <c r="A82" s="110" t="str">
        <f>'G-1 All Habitats'!B59</f>
        <v>Urban - Bioswale</v>
      </c>
      <c r="B82" s="543" t="str">
        <f>'G-1 All Habitats'!N59</f>
        <v>Medium</v>
      </c>
      <c r="C82" s="543">
        <f>'G-1 All Habitats'!O59</f>
        <v>0.67</v>
      </c>
      <c r="D82" s="543" t="str">
        <f>'G-1 All Habitats'!P59</f>
        <v>Low</v>
      </c>
      <c r="E82" s="543">
        <f>'G-1 All Habitats'!Q59</f>
        <v>1</v>
      </c>
    </row>
    <row r="83" spans="1:5" x14ac:dyDescent="0.3">
      <c r="A83" s="110" t="str">
        <f>'G-1 All Habitats'!B60</f>
        <v>Urban - Intensive green roof</v>
      </c>
      <c r="B83" s="543" t="str">
        <f>'G-1 All Habitats'!N60</f>
        <v>Low</v>
      </c>
      <c r="C83" s="543">
        <f>'G-1 All Habitats'!O60</f>
        <v>1</v>
      </c>
      <c r="D83" s="543" t="str">
        <f>'G-1 All Habitats'!P60</f>
        <v>Low</v>
      </c>
      <c r="E83" s="543">
        <f>'G-1 All Habitats'!Q60</f>
        <v>1</v>
      </c>
    </row>
    <row r="84" spans="1:5" x14ac:dyDescent="0.3">
      <c r="A84" s="110" t="str">
        <f>'G-1 All Habitats'!B61</f>
        <v>Urban - Built linear features</v>
      </c>
      <c r="B84" s="543" t="str">
        <f>'G-1 All Habitats'!N61</f>
        <v>Low</v>
      </c>
      <c r="C84" s="543">
        <f>'G-1 All Habitats'!O61</f>
        <v>1</v>
      </c>
      <c r="D84" s="543" t="str">
        <f>'G-1 All Habitats'!P61</f>
        <v>Low</v>
      </c>
      <c r="E84" s="543">
        <f>'G-1 All Habitats'!Q61</f>
        <v>1</v>
      </c>
    </row>
    <row r="85" spans="1:5" x14ac:dyDescent="0.3">
      <c r="A85" s="110" t="str">
        <f>'G-1 All Habitats'!B62</f>
        <v>Urban - Cemeteries and churchyards</v>
      </c>
      <c r="B85" s="543" t="str">
        <f>'G-1 All Habitats'!N62</f>
        <v>Medium</v>
      </c>
      <c r="C85" s="543">
        <f>'G-1 All Habitats'!O62</f>
        <v>0.67</v>
      </c>
      <c r="D85" s="543" t="str">
        <f>'G-1 All Habitats'!P62</f>
        <v>Low</v>
      </c>
      <c r="E85" s="543">
        <f>'G-1 All Habitats'!Q62</f>
        <v>1</v>
      </c>
    </row>
    <row r="86" spans="1:5" x14ac:dyDescent="0.3">
      <c r="A86" s="110" t="str">
        <f>'G-1 All Habitats'!B63</f>
        <v>Urban - Developed land; sealed surface</v>
      </c>
      <c r="B86" s="543" t="str">
        <f>'G-1 All Habitats'!N63</f>
        <v>Low</v>
      </c>
      <c r="C86" s="543">
        <f>'G-1 All Habitats'!O63</f>
        <v>1</v>
      </c>
      <c r="D86" s="543" t="str">
        <f>'G-1 All Habitats'!P63</f>
        <v>Medium</v>
      </c>
      <c r="E86" s="543">
        <f>'G-1 All Habitats'!Q63</f>
        <v>0.67</v>
      </c>
    </row>
    <row r="87" spans="1:5" x14ac:dyDescent="0.3">
      <c r="A87" s="110" t="str">
        <f>'G-1 All Habitats'!B64</f>
        <v>Urban - Other green roof</v>
      </c>
      <c r="B87" s="543" t="str">
        <f>'G-1 All Habitats'!N64</f>
        <v>Low</v>
      </c>
      <c r="C87" s="543">
        <f>'G-1 All Habitats'!O64</f>
        <v>1</v>
      </c>
      <c r="D87" s="543" t="str">
        <f>'G-1 All Habitats'!P64</f>
        <v>Low</v>
      </c>
      <c r="E87" s="543">
        <f>'G-1 All Habitats'!Q64</f>
        <v>1</v>
      </c>
    </row>
    <row r="88" spans="1:5" x14ac:dyDescent="0.3">
      <c r="A88" s="110" t="str">
        <f>'G-1 All Habitats'!B65</f>
        <v>Urban - Facade-bound green wall</v>
      </c>
      <c r="B88" s="543" t="str">
        <f>'G-1 All Habitats'!N65</f>
        <v>Medium</v>
      </c>
      <c r="C88" s="543">
        <f>'G-1 All Habitats'!O65</f>
        <v>0.67</v>
      </c>
      <c r="D88" s="543" t="str">
        <f>'G-1 All Habitats'!P65</f>
        <v>Medium</v>
      </c>
      <c r="E88" s="543">
        <f>'G-1 All Habitats'!Q65</f>
        <v>0.67</v>
      </c>
    </row>
    <row r="89" spans="1:5" x14ac:dyDescent="0.3">
      <c r="A89" s="110" t="str">
        <f>'G-1 All Habitats'!B66</f>
        <v>Urban - Ground based green wall</v>
      </c>
      <c r="B89" s="543" t="str">
        <f>'G-1 All Habitats'!N66</f>
        <v>Medium</v>
      </c>
      <c r="C89" s="543">
        <f>'G-1 All Habitats'!O66</f>
        <v>0.67</v>
      </c>
      <c r="D89" s="543" t="str">
        <f>'G-1 All Habitats'!P66</f>
        <v>Medium</v>
      </c>
      <c r="E89" s="543">
        <f>'G-1 All Habitats'!Q66</f>
        <v>0.67</v>
      </c>
    </row>
    <row r="90" spans="1:5" x14ac:dyDescent="0.3">
      <c r="A90" s="110" t="str">
        <f>'G-1 All Habitats'!B67</f>
        <v>Urban - Ground level planters</v>
      </c>
      <c r="B90" s="543" t="str">
        <f>'G-1 All Habitats'!N67</f>
        <v>Low</v>
      </c>
      <c r="C90" s="543">
        <f>'G-1 All Habitats'!O67</f>
        <v>1</v>
      </c>
      <c r="D90" s="543" t="str">
        <f>'G-1 All Habitats'!P67</f>
        <v>Low</v>
      </c>
      <c r="E90" s="543">
        <f>'G-1 All Habitats'!Q67</f>
        <v>1</v>
      </c>
    </row>
    <row r="91" spans="1:5" x14ac:dyDescent="0.3">
      <c r="A91" s="110" t="str">
        <f>'G-1 All Habitats'!B68</f>
        <v>Urban - Biodiverse green roof</v>
      </c>
      <c r="B91" s="543" t="str">
        <f>'G-1 All Habitats'!N68</f>
        <v>Medium</v>
      </c>
      <c r="C91" s="543">
        <f>'G-1 All Habitats'!O68</f>
        <v>0.67</v>
      </c>
      <c r="D91" s="543" t="str">
        <f>'G-1 All Habitats'!P68</f>
        <v>Medium</v>
      </c>
      <c r="E91" s="543">
        <f>'G-1 All Habitats'!Q68</f>
        <v>0.67</v>
      </c>
    </row>
    <row r="92" spans="1:5" x14ac:dyDescent="0.3">
      <c r="A92" s="110" t="str">
        <f>'G-1 All Habitats'!B69</f>
        <v>Urban - Introduced shrub</v>
      </c>
      <c r="B92" s="543" t="str">
        <f>'G-1 All Habitats'!N69</f>
        <v>Low</v>
      </c>
      <c r="C92" s="543">
        <f>'G-1 All Habitats'!O69</f>
        <v>1</v>
      </c>
      <c r="D92" s="543" t="str">
        <f>'G-1 All Habitats'!P69</f>
        <v>Low</v>
      </c>
      <c r="E92" s="543">
        <f>'G-1 All Habitats'!Q69</f>
        <v>1</v>
      </c>
    </row>
    <row r="93" spans="1:5" x14ac:dyDescent="0.3">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x14ac:dyDescent="0.3">
      <c r="A94" s="110" t="str">
        <f>'G-1 All Habitats'!B71</f>
        <v>Urban - Rain garden</v>
      </c>
      <c r="B94" s="543" t="str">
        <f>'G-1 All Habitats'!N71</f>
        <v>Low</v>
      </c>
      <c r="C94" s="543">
        <f>'G-1 All Habitats'!O71</f>
        <v>1</v>
      </c>
      <c r="D94" s="543" t="str">
        <f>'G-1 All Habitats'!P71</f>
        <v>Low</v>
      </c>
      <c r="E94" s="543">
        <f>'G-1 All Habitats'!Q71</f>
        <v>1</v>
      </c>
    </row>
    <row r="95" spans="1:5" x14ac:dyDescent="0.3">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x14ac:dyDescent="0.3">
      <c r="A96" s="110" t="str">
        <f>'G-1 All Habitats'!B73</f>
        <v>Urban - Urban Tree</v>
      </c>
      <c r="B96" s="543" t="str">
        <f>'G-1 All Habitats'!N73</f>
        <v>Low</v>
      </c>
      <c r="C96" s="543">
        <f>'G-1 All Habitats'!O73</f>
        <v>1</v>
      </c>
      <c r="D96" s="543" t="str">
        <f>'G-1 All Habitats'!P73</f>
        <v>Low</v>
      </c>
      <c r="E96" s="543">
        <f>'G-1 All Habitats'!Q73</f>
        <v>1</v>
      </c>
    </row>
    <row r="97" spans="1:5" x14ac:dyDescent="0.3">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x14ac:dyDescent="0.3">
      <c r="A98" s="110" t="str">
        <f>'G-1 All Habitats'!B75</f>
        <v>Urban - Un-vegetated garden</v>
      </c>
      <c r="B98" s="543" t="str">
        <f>'G-1 All Habitats'!N75</f>
        <v>Low</v>
      </c>
      <c r="C98" s="543">
        <f>'G-1 All Habitats'!O75</f>
        <v>1</v>
      </c>
      <c r="D98" s="543" t="str">
        <f>'G-1 All Habitats'!P75</f>
        <v>Low</v>
      </c>
      <c r="E98" s="543">
        <f>'G-1 All Habitats'!Q75</f>
        <v>1</v>
      </c>
    </row>
    <row r="99" spans="1:5" x14ac:dyDescent="0.3">
      <c r="A99" s="110" t="str">
        <f>'G-1 All Habitats'!B77</f>
        <v>Urban - Vegetated garden</v>
      </c>
      <c r="B99" s="543" t="str">
        <f>'G-1 All Habitats'!N77</f>
        <v>Low</v>
      </c>
      <c r="C99" s="543">
        <f>'G-1 All Habitats'!O77</f>
        <v>1</v>
      </c>
      <c r="D99" s="543" t="str">
        <f>'G-1 All Habitats'!P77</f>
        <v>Low</v>
      </c>
      <c r="E99" s="543">
        <f>'G-1 All Habitats'!Q77</f>
        <v>1</v>
      </c>
    </row>
    <row r="100" spans="1:5" x14ac:dyDescent="0.3">
      <c r="A100" s="110" t="str">
        <f>'G-1 All Habitats'!B78</f>
        <v>Wetland - Blanket bog</v>
      </c>
      <c r="B100" s="543" t="str">
        <f>'G-1 All Habitats'!N78</f>
        <v>Very High</v>
      </c>
      <c r="C100" s="543">
        <f>'G-1 All Habitats'!O78</f>
        <v>0.1</v>
      </c>
      <c r="D100" s="543" t="str">
        <f>'G-1 All Habitats'!P78</f>
        <v>High</v>
      </c>
      <c r="E100" s="543">
        <f>'G-1 All Habitats'!Q78</f>
        <v>0.33</v>
      </c>
    </row>
    <row r="101" spans="1:5" x14ac:dyDescent="0.3">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x14ac:dyDescent="0.3">
      <c r="A102" s="110" t="str">
        <f>'G-1 All Habitats'!B80</f>
        <v>Wetland - Fens (upland and lowland)</v>
      </c>
      <c r="B102" s="543" t="str">
        <f>'G-1 All Habitats'!N80</f>
        <v>High</v>
      </c>
      <c r="C102" s="543">
        <f>'G-1 All Habitats'!O80</f>
        <v>0.33</v>
      </c>
      <c r="D102" s="543" t="str">
        <f>'G-1 All Habitats'!P80</f>
        <v>High</v>
      </c>
      <c r="E102" s="543">
        <f>'G-1 All Habitats'!Q80</f>
        <v>0.33</v>
      </c>
    </row>
    <row r="103" spans="1:5" x14ac:dyDescent="0.3">
      <c r="A103" s="110" t="str">
        <f>'G-1 All Habitats'!B81</f>
        <v>Wetland - Lowland raised bog</v>
      </c>
      <c r="B103" s="543" t="str">
        <f>'G-1 All Habitats'!N81</f>
        <v>Very High</v>
      </c>
      <c r="C103" s="543">
        <f>'G-1 All Habitats'!O81</f>
        <v>0.1</v>
      </c>
      <c r="D103" s="543" t="str">
        <f>'G-1 All Habitats'!P81</f>
        <v>High</v>
      </c>
      <c r="E103" s="543">
        <f>'G-1 All Habitats'!Q81</f>
        <v>0.33</v>
      </c>
    </row>
    <row r="104" spans="1:5" x14ac:dyDescent="0.3">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x14ac:dyDescent="0.3">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x14ac:dyDescent="0.3">
      <c r="A106" s="110" t="str">
        <f>'G-1 All Habitats'!B84</f>
        <v>Wetland - Reedbeds</v>
      </c>
      <c r="B106" s="543" t="str">
        <f>'G-1 All Habitats'!N84</f>
        <v>Medium</v>
      </c>
      <c r="C106" s="543">
        <f>'G-1 All Habitats'!O84</f>
        <v>0.67</v>
      </c>
      <c r="D106" s="543" t="str">
        <f>'G-1 All Habitats'!P84</f>
        <v>Medium</v>
      </c>
      <c r="E106" s="543">
        <f>'G-1 All Habitats'!Q84</f>
        <v>0.67</v>
      </c>
    </row>
    <row r="107" spans="1:5" x14ac:dyDescent="0.3">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x14ac:dyDescent="0.3">
      <c r="A108" s="110" t="str">
        <f>'G-1 All Habitats'!B86</f>
        <v>Woodland and forest - Felled</v>
      </c>
      <c r="B108" s="543" t="s">
        <v>153</v>
      </c>
      <c r="C108" s="543">
        <f>'G-1 All Habitats'!O86</f>
        <v>1</v>
      </c>
      <c r="D108" s="543" t="str">
        <f>'G-1 All Habitats'!P86</f>
        <v>Low</v>
      </c>
      <c r="E108" s="543">
        <f>'G-1 All Habitats'!Q86</f>
        <v>1</v>
      </c>
    </row>
    <row r="109" spans="1:5" x14ac:dyDescent="0.3">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x14ac:dyDescent="0.3">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x14ac:dyDescent="0.3">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x14ac:dyDescent="0.3">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x14ac:dyDescent="0.3">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x14ac:dyDescent="0.3">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x14ac:dyDescent="0.3">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x14ac:dyDescent="0.3">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x14ac:dyDescent="0.3">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x14ac:dyDescent="0.3">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x14ac:dyDescent="0.3">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x14ac:dyDescent="0.3">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x14ac:dyDescent="0.3">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x14ac:dyDescent="0.3">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x14ac:dyDescent="0.3">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x14ac:dyDescent="0.3">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x14ac:dyDescent="0.3">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x14ac:dyDescent="0.3">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x14ac:dyDescent="0.3">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x14ac:dyDescent="0.3">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x14ac:dyDescent="0.3">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x14ac:dyDescent="0.3"/>
    <row r="131" spans="1:5" x14ac:dyDescent="0.3"/>
    <row r="132" spans="1:5" x14ac:dyDescent="0.3"/>
    <row r="133" spans="1:5" x14ac:dyDescent="0.3"/>
    <row r="134" spans="1:5" x14ac:dyDescent="0.3"/>
    <row r="135" spans="1:5" x14ac:dyDescent="0.3"/>
    <row r="136" spans="1:5" x14ac:dyDescent="0.3"/>
    <row r="137" spans="1:5" x14ac:dyDescent="0.3"/>
    <row r="138" spans="1:5" x14ac:dyDescent="0.3"/>
    <row r="139" spans="1:5" x14ac:dyDescent="0.3"/>
    <row r="140" spans="1:5" x14ac:dyDescent="0.3"/>
    <row r="141" spans="1:5" x14ac:dyDescent="0.3"/>
    <row r="142" spans="1:5" x14ac:dyDescent="0.3"/>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defaultColWidth="0" defaultRowHeight="14" zeroHeight="1" x14ac:dyDescent="0.3"/>
  <cols>
    <col min="1" max="1" width="14.54296875" style="31" customWidth="1"/>
    <col min="2" max="2" width="16.54296875" style="31" customWidth="1"/>
    <col min="3" max="3" width="16.453125" style="31" customWidth="1"/>
    <col min="4" max="4" width="3" style="31" customWidth="1"/>
    <col min="5" max="5" width="4.1796875" style="31" customWidth="1"/>
    <col min="6" max="6" width="88.81640625" style="31" bestFit="1" customWidth="1"/>
    <col min="7" max="7" width="13.1796875" style="31" bestFit="1" customWidth="1"/>
    <col min="8" max="8" width="18.54296875" style="31" bestFit="1" customWidth="1"/>
    <col min="9" max="9" width="16.81640625" style="31" bestFit="1" customWidth="1"/>
    <col min="10" max="10" width="17.7265625" style="31" bestFit="1" customWidth="1"/>
    <col min="11" max="11" width="13" style="31" bestFit="1" customWidth="1"/>
    <col min="12" max="12" width="23.54296875" style="31" bestFit="1" customWidth="1"/>
    <col min="13" max="13" width="18.54296875" style="31" bestFit="1" customWidth="1"/>
    <col min="14" max="14" width="9.1796875" style="31" customWidth="1"/>
    <col min="15" max="16" width="12.1796875" style="31" customWidth="1"/>
    <col min="17" max="17" width="12.81640625" style="31" customWidth="1"/>
    <col min="18" max="18" width="11.453125" style="31" customWidth="1"/>
    <col min="19" max="33" width="9.1796875" style="31" customWidth="1"/>
    <col min="34" max="34" width="8.1796875" style="31" hidden="1" customWidth="1"/>
    <col min="35" max="16384" width="9.1796875" style="31" hidden="1"/>
  </cols>
  <sheetData>
    <row r="1" spans="1:13" ht="55.15" customHeight="1" x14ac:dyDescent="0.6">
      <c r="A1" s="1052"/>
      <c r="B1" s="1052"/>
      <c r="C1" s="1052"/>
      <c r="F1" s="280"/>
      <c r="G1" s="280"/>
      <c r="H1" s="280"/>
      <c r="I1" s="280"/>
      <c r="J1" s="280"/>
      <c r="K1" s="280"/>
      <c r="L1" s="280"/>
      <c r="M1" s="280"/>
    </row>
    <row r="2" spans="1:13" ht="29.5" customHeight="1" x14ac:dyDescent="0.6">
      <c r="A2" s="1051" t="s">
        <v>929</v>
      </c>
      <c r="B2" s="1051"/>
      <c r="C2" s="1051"/>
      <c r="F2" s="281"/>
      <c r="G2" s="1053" t="s">
        <v>930</v>
      </c>
      <c r="H2" s="1053"/>
      <c r="I2" s="1053"/>
      <c r="J2" s="1053"/>
      <c r="K2" s="1053"/>
      <c r="L2" s="1053"/>
      <c r="M2" s="1054"/>
    </row>
    <row r="3" spans="1:13" ht="28" x14ac:dyDescent="0.3">
      <c r="A3" s="103" t="s">
        <v>931</v>
      </c>
      <c r="B3" s="103" t="s">
        <v>932</v>
      </c>
      <c r="C3" s="103" t="s">
        <v>933</v>
      </c>
      <c r="F3" s="282" t="s">
        <v>820</v>
      </c>
      <c r="G3" s="104" t="s">
        <v>21</v>
      </c>
      <c r="H3" s="104" t="s">
        <v>382</v>
      </c>
      <c r="I3" s="104" t="s">
        <v>20</v>
      </c>
      <c r="J3" s="104" t="s">
        <v>393</v>
      </c>
      <c r="K3" s="130" t="s">
        <v>242</v>
      </c>
      <c r="L3" s="130" t="s">
        <v>403</v>
      </c>
      <c r="M3" s="104" t="s">
        <v>407</v>
      </c>
    </row>
    <row r="4" spans="1:13" x14ac:dyDescent="0.3">
      <c r="A4" s="104">
        <v>0</v>
      </c>
      <c r="B4" s="543">
        <v>100</v>
      </c>
      <c r="C4" s="654">
        <v>1</v>
      </c>
      <c r="F4" s="88" t="str">
        <f>'G-1 All Habitats'!B3</f>
        <v>Cropland - Arable field margins cultivated annually</v>
      </c>
      <c r="G4" s="543" t="s">
        <v>934</v>
      </c>
      <c r="H4" s="543" t="s">
        <v>934</v>
      </c>
      <c r="I4" s="543" t="s">
        <v>934</v>
      </c>
      <c r="J4" s="543" t="s">
        <v>934</v>
      </c>
      <c r="K4" s="543" t="s">
        <v>934</v>
      </c>
      <c r="L4" s="543">
        <v>1</v>
      </c>
      <c r="M4" s="543" t="s">
        <v>934</v>
      </c>
    </row>
    <row r="5" spans="1:13" x14ac:dyDescent="0.3">
      <c r="A5" s="104">
        <v>1</v>
      </c>
      <c r="B5" s="543">
        <v>96.5</v>
      </c>
      <c r="C5" s="654">
        <v>0.96499999999999997</v>
      </c>
      <c r="F5" s="88" t="str">
        <f>'G-1 All Habitats'!B4</f>
        <v>Cropland - Arable field margins game bird mix</v>
      </c>
      <c r="G5" s="543" t="s">
        <v>934</v>
      </c>
      <c r="H5" s="543" t="s">
        <v>934</v>
      </c>
      <c r="I5" s="543" t="s">
        <v>934</v>
      </c>
      <c r="J5" s="543" t="s">
        <v>934</v>
      </c>
      <c r="K5" s="543" t="s">
        <v>934</v>
      </c>
      <c r="L5" s="543">
        <v>1</v>
      </c>
      <c r="M5" s="543" t="s">
        <v>934</v>
      </c>
    </row>
    <row r="6" spans="1:13" x14ac:dyDescent="0.3">
      <c r="A6" s="104">
        <v>2</v>
      </c>
      <c r="B6" s="543">
        <v>93.122500000000002</v>
      </c>
      <c r="C6" s="654">
        <v>0.93122499999999997</v>
      </c>
      <c r="F6" s="88" t="str">
        <f>'G-1 All Habitats'!B5</f>
        <v>Cropland - Arable field margins pollen &amp; nectar</v>
      </c>
      <c r="G6" s="543" t="s">
        <v>934</v>
      </c>
      <c r="H6" s="543" t="s">
        <v>934</v>
      </c>
      <c r="I6" s="543" t="s">
        <v>934</v>
      </c>
      <c r="J6" s="543" t="s">
        <v>934</v>
      </c>
      <c r="K6" s="543" t="s">
        <v>934</v>
      </c>
      <c r="L6" s="543">
        <v>1</v>
      </c>
      <c r="M6" s="543" t="s">
        <v>934</v>
      </c>
    </row>
    <row r="7" spans="1:13" x14ac:dyDescent="0.3">
      <c r="A7" s="104">
        <v>3</v>
      </c>
      <c r="B7" s="543">
        <v>89.863212500000003</v>
      </c>
      <c r="C7" s="654">
        <v>0.898632125</v>
      </c>
      <c r="F7" s="88" t="str">
        <f>'G-1 All Habitats'!B6</f>
        <v>Cropland - Arable field margins tussocky</v>
      </c>
      <c r="G7" s="543" t="s">
        <v>934</v>
      </c>
      <c r="H7" s="543" t="s">
        <v>934</v>
      </c>
      <c r="I7" s="543" t="s">
        <v>934</v>
      </c>
      <c r="J7" s="543" t="s">
        <v>934</v>
      </c>
      <c r="K7" s="543" t="s">
        <v>934</v>
      </c>
      <c r="L7" s="543">
        <v>1</v>
      </c>
      <c r="M7" s="543" t="s">
        <v>934</v>
      </c>
    </row>
    <row r="8" spans="1:13" x14ac:dyDescent="0.3">
      <c r="A8" s="104">
        <v>4</v>
      </c>
      <c r="B8" s="543">
        <v>86.718000059999994</v>
      </c>
      <c r="C8" s="654">
        <v>0.86718000059999989</v>
      </c>
      <c r="F8" s="88" t="str">
        <f>'G-1 All Habitats'!B7</f>
        <v>Cropland - Cereal crops</v>
      </c>
      <c r="G8" s="543" t="s">
        <v>934</v>
      </c>
      <c r="H8" s="543" t="s">
        <v>934</v>
      </c>
      <c r="I8" s="543" t="s">
        <v>934</v>
      </c>
      <c r="J8" s="543" t="s">
        <v>934</v>
      </c>
      <c r="K8" s="543" t="s">
        <v>934</v>
      </c>
      <c r="L8" s="543">
        <v>1</v>
      </c>
      <c r="M8" s="543" t="s">
        <v>934</v>
      </c>
    </row>
    <row r="9" spans="1:13" x14ac:dyDescent="0.3">
      <c r="A9" s="104">
        <v>5</v>
      </c>
      <c r="B9" s="543">
        <v>83.682870059999999</v>
      </c>
      <c r="C9" s="654">
        <v>0.83682870060000003</v>
      </c>
      <c r="F9" s="88" t="str">
        <f>'G-1 All Habitats'!B8</f>
        <v>Cropland - Cereal crops winter stubble</v>
      </c>
      <c r="G9" s="543" t="s">
        <v>934</v>
      </c>
      <c r="H9" s="543" t="s">
        <v>934</v>
      </c>
      <c r="I9" s="543" t="s">
        <v>934</v>
      </c>
      <c r="J9" s="543" t="s">
        <v>934</v>
      </c>
      <c r="K9" s="543" t="s">
        <v>934</v>
      </c>
      <c r="L9" s="543">
        <v>1</v>
      </c>
      <c r="M9" s="543" t="s">
        <v>934</v>
      </c>
    </row>
    <row r="10" spans="1:13" x14ac:dyDescent="0.3">
      <c r="A10" s="104">
        <v>6</v>
      </c>
      <c r="B10" s="543">
        <v>80.753969609999999</v>
      </c>
      <c r="C10" s="654">
        <v>0.80753969609999998</v>
      </c>
      <c r="F10" s="88" t="str">
        <f>'G-1 All Habitats'!B9</f>
        <v>Cropland - Horticulture</v>
      </c>
      <c r="G10" s="543" t="s">
        <v>934</v>
      </c>
      <c r="H10" s="543" t="s">
        <v>934</v>
      </c>
      <c r="I10" s="543" t="s">
        <v>934</v>
      </c>
      <c r="J10" s="543" t="s">
        <v>934</v>
      </c>
      <c r="K10" s="543" t="s">
        <v>934</v>
      </c>
      <c r="L10" s="543">
        <v>1</v>
      </c>
      <c r="M10" s="543" t="s">
        <v>934</v>
      </c>
    </row>
    <row r="11" spans="1:13" x14ac:dyDescent="0.3">
      <c r="A11" s="104">
        <v>7</v>
      </c>
      <c r="B11" s="543">
        <v>77.927580669999998</v>
      </c>
      <c r="C11" s="654">
        <v>0.77927580669999996</v>
      </c>
      <c r="F11" s="88" t="str">
        <f>'G-1 All Habitats'!B10</f>
        <v>Cropland - Intensive orchards</v>
      </c>
      <c r="G11" s="543" t="s">
        <v>934</v>
      </c>
      <c r="H11" s="543" t="s">
        <v>934</v>
      </c>
      <c r="I11" s="543" t="s">
        <v>934</v>
      </c>
      <c r="J11" s="543" t="s">
        <v>934</v>
      </c>
      <c r="K11" s="543" t="s">
        <v>934</v>
      </c>
      <c r="L11" s="543">
        <v>1</v>
      </c>
      <c r="M11" s="543" t="s">
        <v>934</v>
      </c>
    </row>
    <row r="12" spans="1:13" x14ac:dyDescent="0.3">
      <c r="A12" s="104">
        <v>8</v>
      </c>
      <c r="B12" s="543">
        <v>75.200115350000004</v>
      </c>
      <c r="C12" s="654">
        <v>0.75200115350000007</v>
      </c>
      <c r="F12" s="88" t="str">
        <f>'G-1 All Habitats'!B11</f>
        <v>Cropland - Non-cereal crops</v>
      </c>
      <c r="G12" s="543" t="s">
        <v>934</v>
      </c>
      <c r="H12" s="543" t="s">
        <v>934</v>
      </c>
      <c r="I12" s="543" t="s">
        <v>934</v>
      </c>
      <c r="J12" s="543" t="s">
        <v>934</v>
      </c>
      <c r="K12" s="543" t="s">
        <v>934</v>
      </c>
      <c r="L12" s="543">
        <v>1</v>
      </c>
      <c r="M12" s="543" t="s">
        <v>934</v>
      </c>
    </row>
    <row r="13" spans="1:13" x14ac:dyDescent="0.3">
      <c r="A13" s="104">
        <v>9</v>
      </c>
      <c r="B13" s="543">
        <v>72.568111310000006</v>
      </c>
      <c r="C13" s="654">
        <v>0.72568111310000005</v>
      </c>
      <c r="F13" s="88" t="str">
        <f>'G-1 All Habitats'!B12</f>
        <v>Cropland - Temporary grass and clover leys</v>
      </c>
      <c r="G13" s="543" t="s">
        <v>934</v>
      </c>
      <c r="H13" s="543" t="s">
        <v>934</v>
      </c>
      <c r="I13" s="543" t="s">
        <v>934</v>
      </c>
      <c r="J13" s="543" t="s">
        <v>934</v>
      </c>
      <c r="K13" s="543" t="s">
        <v>934</v>
      </c>
      <c r="L13" s="543">
        <v>1</v>
      </c>
      <c r="M13" s="543" t="s">
        <v>934</v>
      </c>
    </row>
    <row r="14" spans="1:13" x14ac:dyDescent="0.3">
      <c r="A14" s="104">
        <v>10</v>
      </c>
      <c r="B14" s="543">
        <v>70.028227419999993</v>
      </c>
      <c r="C14" s="654">
        <v>0.70028227419999989</v>
      </c>
      <c r="F14" s="88" t="str">
        <f>'G-1 All Habitats'!B13</f>
        <v>Grassland - Traditional orchards</v>
      </c>
      <c r="G14" s="543">
        <v>30</v>
      </c>
      <c r="H14" s="543">
        <v>25</v>
      </c>
      <c r="I14" s="543">
        <v>20</v>
      </c>
      <c r="J14" s="543">
        <v>10</v>
      </c>
      <c r="K14" s="543">
        <v>5</v>
      </c>
      <c r="L14" s="543" t="s">
        <v>934</v>
      </c>
      <c r="M14" s="543" t="s">
        <v>934</v>
      </c>
    </row>
    <row r="15" spans="1:13" x14ac:dyDescent="0.3">
      <c r="A15" s="104">
        <v>11</v>
      </c>
      <c r="B15" s="543">
        <v>67.577239460000001</v>
      </c>
      <c r="C15" s="654">
        <v>0.67577239460000005</v>
      </c>
      <c r="F15" s="88" t="str">
        <f>'G-1 All Habitats'!B14</f>
        <v>Grassland - Bracken</v>
      </c>
      <c r="G15" s="543" t="s">
        <v>934</v>
      </c>
      <c r="H15" s="543" t="s">
        <v>934</v>
      </c>
      <c r="I15" s="543" t="s">
        <v>934</v>
      </c>
      <c r="J15" s="543" t="s">
        <v>934</v>
      </c>
      <c r="K15" s="543" t="s">
        <v>934</v>
      </c>
      <c r="L15" s="543">
        <v>1</v>
      </c>
      <c r="M15" s="543" t="s">
        <v>934</v>
      </c>
    </row>
    <row r="16" spans="1:13" x14ac:dyDescent="0.3">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934</v>
      </c>
      <c r="M16" s="543" t="s">
        <v>934</v>
      </c>
    </row>
    <row r="17" spans="1:13" x14ac:dyDescent="0.3">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934</v>
      </c>
      <c r="M17" s="543" t="s">
        <v>934</v>
      </c>
    </row>
    <row r="18" spans="1:13" x14ac:dyDescent="0.3">
      <c r="A18" s="104">
        <v>14</v>
      </c>
      <c r="B18" s="543">
        <v>60.727078290000001</v>
      </c>
      <c r="C18" s="654">
        <v>0.60727078290000003</v>
      </c>
      <c r="F18" s="88" t="str">
        <f>'G-1 All Habitats'!B17</f>
        <v>Grassland - Lowland dry acid grassland</v>
      </c>
      <c r="G18" s="543" t="s">
        <v>935</v>
      </c>
      <c r="H18" s="543">
        <v>25</v>
      </c>
      <c r="I18" s="543">
        <v>20</v>
      </c>
      <c r="J18" s="543">
        <v>15</v>
      </c>
      <c r="K18" s="543">
        <v>10</v>
      </c>
      <c r="L18" s="543" t="s">
        <v>934</v>
      </c>
      <c r="M18" s="543" t="s">
        <v>934</v>
      </c>
    </row>
    <row r="19" spans="1:13" x14ac:dyDescent="0.3">
      <c r="A19" s="104">
        <v>15</v>
      </c>
      <c r="B19" s="543">
        <v>58.601630550000003</v>
      </c>
      <c r="C19" s="654">
        <v>0.58601630550000006</v>
      </c>
      <c r="F19" s="88" t="str">
        <f>'G-1 All Habitats'!B18</f>
        <v>Grassland - Lowland meadows</v>
      </c>
      <c r="G19" s="543">
        <v>15</v>
      </c>
      <c r="H19" s="543">
        <v>12</v>
      </c>
      <c r="I19" s="543">
        <v>10</v>
      </c>
      <c r="J19" s="543">
        <v>8</v>
      </c>
      <c r="K19" s="543">
        <v>5</v>
      </c>
      <c r="L19" s="543" t="s">
        <v>934</v>
      </c>
      <c r="M19" s="543" t="s">
        <v>934</v>
      </c>
    </row>
    <row r="20" spans="1:13" x14ac:dyDescent="0.3">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934</v>
      </c>
    </row>
    <row r="21" spans="1:13" ht="15" customHeight="1" x14ac:dyDescent="0.3">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934</v>
      </c>
      <c r="M21" s="543" t="s">
        <v>934</v>
      </c>
    </row>
    <row r="22" spans="1:13" ht="15" customHeight="1" x14ac:dyDescent="0.3">
      <c r="A22" s="104">
        <v>18</v>
      </c>
      <c r="B22" s="543">
        <v>52.661307790000002</v>
      </c>
      <c r="C22" s="654">
        <v>0.5266130779</v>
      </c>
      <c r="F22" s="88" t="str">
        <f>'G-1 All Habitats'!B21</f>
        <v>Grassland - Other neutral grassland</v>
      </c>
      <c r="G22" s="543">
        <v>10</v>
      </c>
      <c r="H22" s="543">
        <v>7</v>
      </c>
      <c r="I22" s="543">
        <v>5</v>
      </c>
      <c r="J22" s="543">
        <v>3</v>
      </c>
      <c r="K22" s="543">
        <v>2</v>
      </c>
      <c r="L22" s="543" t="s">
        <v>934</v>
      </c>
      <c r="M22" s="543" t="s">
        <v>934</v>
      </c>
    </row>
    <row r="23" spans="1:13" ht="15" customHeight="1" x14ac:dyDescent="0.3">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934</v>
      </c>
      <c r="M23" s="543" t="s">
        <v>934</v>
      </c>
    </row>
    <row r="24" spans="1:13" ht="15" customHeight="1" x14ac:dyDescent="0.3">
      <c r="A24" s="104">
        <v>20</v>
      </c>
      <c r="B24" s="543">
        <v>49.039526350000003</v>
      </c>
      <c r="C24" s="654">
        <v>0.49039526350000001</v>
      </c>
      <c r="F24" s="88" t="str">
        <f>'G-1 All Habitats'!B23</f>
        <v>Grassland - Upland acid grassland</v>
      </c>
      <c r="G24" s="543">
        <v>15</v>
      </c>
      <c r="H24" s="543">
        <v>12</v>
      </c>
      <c r="I24" s="543">
        <v>10</v>
      </c>
      <c r="J24" s="543">
        <v>5</v>
      </c>
      <c r="K24" s="543">
        <v>1</v>
      </c>
      <c r="L24" s="543" t="s">
        <v>934</v>
      </c>
      <c r="M24" s="543" t="s">
        <v>934</v>
      </c>
    </row>
    <row r="25" spans="1:13" ht="15" customHeight="1" x14ac:dyDescent="0.3">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934</v>
      </c>
      <c r="M25" s="543" t="s">
        <v>934</v>
      </c>
    </row>
    <row r="26" spans="1:13" ht="15" customHeight="1" x14ac:dyDescent="0.3">
      <c r="A26" s="104">
        <v>22</v>
      </c>
      <c r="B26" s="543">
        <v>45.666832919999997</v>
      </c>
      <c r="C26" s="654">
        <v>0.4566683292</v>
      </c>
      <c r="F26" s="88" t="str">
        <f>'G-1 All Habitats'!B25</f>
        <v>Grassland - Upland hay meadows</v>
      </c>
      <c r="G26" s="543">
        <v>20</v>
      </c>
      <c r="H26" s="543">
        <v>18</v>
      </c>
      <c r="I26" s="543">
        <v>15</v>
      </c>
      <c r="J26" s="543">
        <v>12</v>
      </c>
      <c r="K26" s="543">
        <v>10</v>
      </c>
      <c r="L26" s="543" t="s">
        <v>934</v>
      </c>
      <c r="M26" s="543" t="s">
        <v>934</v>
      </c>
    </row>
    <row r="27" spans="1:13" x14ac:dyDescent="0.3">
      <c r="A27" s="104">
        <v>23</v>
      </c>
      <c r="B27" s="543">
        <v>44.068493770000003</v>
      </c>
      <c r="C27" s="654">
        <v>0.44068493770000006</v>
      </c>
      <c r="F27" s="88" t="str">
        <f>'G-1 All Habitats'!B26</f>
        <v>Heathland and shrub - Blackthorn scrub</v>
      </c>
      <c r="G27" s="543">
        <v>10</v>
      </c>
      <c r="H27" s="543">
        <v>7</v>
      </c>
      <c r="I27" s="543">
        <v>5</v>
      </c>
      <c r="J27" s="543">
        <v>3</v>
      </c>
      <c r="K27" s="543">
        <v>1</v>
      </c>
      <c r="L27" s="543" t="s">
        <v>934</v>
      </c>
      <c r="M27" s="543" t="s">
        <v>934</v>
      </c>
    </row>
    <row r="28" spans="1:13" x14ac:dyDescent="0.3">
      <c r="A28" s="104">
        <v>24</v>
      </c>
      <c r="B28" s="543">
        <v>42.52609649</v>
      </c>
      <c r="C28" s="654">
        <v>0.42526096489999998</v>
      </c>
      <c r="F28" s="88" t="str">
        <f>'G-1 All Habitats'!B27</f>
        <v>Heathland and shrub - Bramble scrub</v>
      </c>
      <c r="G28" s="543" t="s">
        <v>934</v>
      </c>
      <c r="H28" s="543" t="s">
        <v>934</v>
      </c>
      <c r="I28" s="543" t="s">
        <v>934</v>
      </c>
      <c r="J28" s="543" t="s">
        <v>934</v>
      </c>
      <c r="K28" s="543" t="s">
        <v>934</v>
      </c>
      <c r="L28" s="543">
        <v>1</v>
      </c>
      <c r="M28" s="543" t="s">
        <v>934</v>
      </c>
    </row>
    <row r="29" spans="1:13" x14ac:dyDescent="0.3">
      <c r="A29" s="104">
        <v>25</v>
      </c>
      <c r="B29" s="543">
        <v>41.037683110000003</v>
      </c>
      <c r="C29" s="654">
        <v>0.41037683110000001</v>
      </c>
      <c r="F29" s="88" t="str">
        <f>'G-1 All Habitats'!B28</f>
        <v>Heathland and shrub - Gorse scrub</v>
      </c>
      <c r="G29" s="543">
        <v>10</v>
      </c>
      <c r="H29" s="543">
        <v>7</v>
      </c>
      <c r="I29" s="543">
        <v>5</v>
      </c>
      <c r="J29" s="543">
        <v>3</v>
      </c>
      <c r="K29" s="543">
        <v>1</v>
      </c>
      <c r="L29" s="543" t="s">
        <v>934</v>
      </c>
      <c r="M29" s="543" t="s">
        <v>934</v>
      </c>
    </row>
    <row r="30" spans="1:13" x14ac:dyDescent="0.3">
      <c r="A30" s="104">
        <v>26</v>
      </c>
      <c r="B30" s="543">
        <v>39.601364199999999</v>
      </c>
      <c r="C30" s="654">
        <v>0.396013642</v>
      </c>
      <c r="F30" s="88" t="str">
        <f>'G-1 All Habitats'!B29</f>
        <v>Heathland and shrub - Hawthorn scrub</v>
      </c>
      <c r="G30" s="543">
        <v>10</v>
      </c>
      <c r="H30" s="543">
        <v>7</v>
      </c>
      <c r="I30" s="543">
        <v>5</v>
      </c>
      <c r="J30" s="543">
        <v>3</v>
      </c>
      <c r="K30" s="543">
        <v>1</v>
      </c>
      <c r="L30" s="543" t="s">
        <v>934</v>
      </c>
      <c r="M30" s="543" t="s">
        <v>934</v>
      </c>
    </row>
    <row r="31" spans="1:13" x14ac:dyDescent="0.3">
      <c r="A31" s="104">
        <v>27</v>
      </c>
      <c r="B31" s="543">
        <v>38.215316459999997</v>
      </c>
      <c r="C31" s="654">
        <v>0.38215316459999998</v>
      </c>
      <c r="F31" s="88" t="str">
        <f>'G-1 All Habitats'!B30</f>
        <v>Heathland and shrub - Hazel scrub</v>
      </c>
      <c r="G31" s="543">
        <v>15</v>
      </c>
      <c r="H31" s="543">
        <v>12</v>
      </c>
      <c r="I31" s="543">
        <v>10</v>
      </c>
      <c r="J31" s="543">
        <v>7</v>
      </c>
      <c r="K31" s="543">
        <v>5</v>
      </c>
      <c r="L31" s="543" t="s">
        <v>934</v>
      </c>
      <c r="M31" s="543" t="s">
        <v>934</v>
      </c>
    </row>
    <row r="32" spans="1:13" x14ac:dyDescent="0.3">
      <c r="A32" s="104">
        <v>28</v>
      </c>
      <c r="B32" s="543">
        <v>36.877780379999997</v>
      </c>
      <c r="C32" s="654">
        <v>0.36877780379999997</v>
      </c>
      <c r="F32" s="88" t="str">
        <f>'G-1 All Habitats'!B31</f>
        <v>Heathland and shrub - Lowland Heathland</v>
      </c>
      <c r="G32" s="543" t="s">
        <v>935</v>
      </c>
      <c r="H32" s="543">
        <v>25</v>
      </c>
      <c r="I32" s="543">
        <v>20</v>
      </c>
      <c r="J32" s="543">
        <v>15</v>
      </c>
      <c r="K32" s="543">
        <v>10</v>
      </c>
      <c r="L32" s="543" t="s">
        <v>934</v>
      </c>
      <c r="M32" s="543" t="s">
        <v>934</v>
      </c>
    </row>
    <row r="33" spans="1:13" x14ac:dyDescent="0.3">
      <c r="A33" s="104">
        <v>29</v>
      </c>
      <c r="B33" s="543">
        <v>35.587058069999998</v>
      </c>
      <c r="C33" s="654">
        <v>0.35587058069999999</v>
      </c>
      <c r="F33" s="88" t="str">
        <f>'G-1 All Habitats'!B32</f>
        <v>Heathland and shrub - Mixed scrub</v>
      </c>
      <c r="G33" s="543">
        <v>10</v>
      </c>
      <c r="H33" s="543">
        <v>7</v>
      </c>
      <c r="I33" s="543">
        <v>5</v>
      </c>
      <c r="J33" s="543">
        <v>3</v>
      </c>
      <c r="K33" s="543">
        <v>1</v>
      </c>
      <c r="L33" s="543" t="s">
        <v>934</v>
      </c>
      <c r="M33" s="543" t="s">
        <v>934</v>
      </c>
    </row>
    <row r="34" spans="1:13" x14ac:dyDescent="0.3">
      <c r="A34" s="104">
        <v>30</v>
      </c>
      <c r="B34" s="543">
        <v>34.34151104</v>
      </c>
      <c r="C34" s="654">
        <v>0.3434151104</v>
      </c>
      <c r="F34" s="88" t="str">
        <f>'G-1 All Habitats'!B33</f>
        <v>Heathland and shrub - Mountain heaths and willow scrub</v>
      </c>
      <c r="G34" s="543" t="s">
        <v>935</v>
      </c>
      <c r="H34" s="543" t="s">
        <v>935</v>
      </c>
      <c r="I34" s="543">
        <v>25</v>
      </c>
      <c r="J34" s="543">
        <v>23</v>
      </c>
      <c r="K34" s="543">
        <v>15</v>
      </c>
      <c r="L34" s="543" t="s">
        <v>934</v>
      </c>
      <c r="M34" s="543" t="s">
        <v>934</v>
      </c>
    </row>
    <row r="35" spans="1:13" x14ac:dyDescent="0.3">
      <c r="A35" s="104">
        <v>31</v>
      </c>
      <c r="B35" s="543">
        <v>33.139558149999999</v>
      </c>
      <c r="C35" s="654">
        <v>0.33139558149999998</v>
      </c>
      <c r="F35" s="88" t="str">
        <f>'G-1 All Habitats'!B34</f>
        <v>Heathland and shrub - Rhododendron scrub</v>
      </c>
      <c r="G35" s="543" t="s">
        <v>934</v>
      </c>
      <c r="H35" s="543" t="s">
        <v>934</v>
      </c>
      <c r="I35" s="543" t="s">
        <v>934</v>
      </c>
      <c r="J35" s="543" t="s">
        <v>934</v>
      </c>
      <c r="K35" s="543" t="s">
        <v>934</v>
      </c>
      <c r="L35" s="543">
        <v>1</v>
      </c>
      <c r="M35" s="543" t="s">
        <v>934</v>
      </c>
    </row>
    <row r="36" spans="1:13" x14ac:dyDescent="0.3">
      <c r="A36" s="104" t="s">
        <v>935</v>
      </c>
      <c r="B36" s="593">
        <v>31.979673609999999</v>
      </c>
      <c r="C36" s="654">
        <v>0.31979673609999998</v>
      </c>
      <c r="F36" s="88" t="str">
        <f>'G-1 All Habitats'!B35</f>
        <v>Heathland and shrub - Sea buckthorn scrub (Annex 1)</v>
      </c>
      <c r="G36" s="543">
        <v>10</v>
      </c>
      <c r="H36" s="543">
        <v>7</v>
      </c>
      <c r="I36" s="543">
        <v>5</v>
      </c>
      <c r="J36" s="543">
        <v>3</v>
      </c>
      <c r="K36" s="543">
        <v>1</v>
      </c>
      <c r="L36" s="543" t="s">
        <v>934</v>
      </c>
      <c r="M36" s="543" t="s">
        <v>934</v>
      </c>
    </row>
    <row r="37" spans="1:13" x14ac:dyDescent="0.3">
      <c r="A37" s="283" t="s">
        <v>934</v>
      </c>
      <c r="B37" s="655" t="s">
        <v>924</v>
      </c>
      <c r="C37" s="655" t="s">
        <v>924</v>
      </c>
      <c r="F37" s="88" t="str">
        <f>'G-1 All Habitats'!B36</f>
        <v>Heathland and shrub - Sea buckthorn scrub (other)</v>
      </c>
      <c r="G37" s="543" t="s">
        <v>934</v>
      </c>
      <c r="H37" s="543" t="s">
        <v>934</v>
      </c>
      <c r="I37" s="543" t="s">
        <v>934</v>
      </c>
      <c r="J37" s="543" t="s">
        <v>934</v>
      </c>
      <c r="K37" s="543" t="s">
        <v>934</v>
      </c>
      <c r="L37" s="543">
        <v>1</v>
      </c>
      <c r="M37" s="543" t="s">
        <v>934</v>
      </c>
    </row>
    <row r="38" spans="1:13" x14ac:dyDescent="0.3">
      <c r="A38" s="42"/>
      <c r="B38" s="42"/>
      <c r="C38" s="42"/>
      <c r="F38" s="88" t="str">
        <f>'G-1 All Habitats'!B37</f>
        <v>Heathland and shrub - Upland Heathland</v>
      </c>
      <c r="G38" s="543">
        <v>30</v>
      </c>
      <c r="H38" s="543">
        <v>25</v>
      </c>
      <c r="I38" s="543">
        <v>20</v>
      </c>
      <c r="J38" s="543">
        <v>15</v>
      </c>
      <c r="K38" s="543">
        <v>10</v>
      </c>
      <c r="L38" s="543" t="s">
        <v>934</v>
      </c>
      <c r="M38" s="543" t="s">
        <v>934</v>
      </c>
    </row>
    <row r="39" spans="1:13" ht="42" x14ac:dyDescent="0.3">
      <c r="A39" s="284" t="s">
        <v>936</v>
      </c>
      <c r="B39" s="42"/>
      <c r="C39" s="42"/>
      <c r="F39" s="88" t="str">
        <f>'G-1 All Habitats'!B38</f>
        <v>Lakes - Aquifer fed naturally fluctuating water bodies</v>
      </c>
      <c r="G39" s="543">
        <v>30</v>
      </c>
      <c r="H39" s="543">
        <v>20</v>
      </c>
      <c r="I39" s="543">
        <v>15</v>
      </c>
      <c r="J39" s="543">
        <v>10</v>
      </c>
      <c r="K39" s="543">
        <v>1</v>
      </c>
      <c r="L39" s="543" t="s">
        <v>934</v>
      </c>
      <c r="M39" s="543" t="s">
        <v>934</v>
      </c>
    </row>
    <row r="40" spans="1:13" x14ac:dyDescent="0.3">
      <c r="A40" s="103" t="s">
        <v>931</v>
      </c>
      <c r="B40" s="42"/>
      <c r="C40" s="42"/>
      <c r="F40" s="88" t="str">
        <f>'G-1 All Habitats'!B40</f>
        <v>Lakes - High alkalinity lakes</v>
      </c>
      <c r="G40" s="543">
        <v>30</v>
      </c>
      <c r="H40" s="543">
        <v>20</v>
      </c>
      <c r="I40" s="543">
        <v>10</v>
      </c>
      <c r="J40" s="543">
        <v>7</v>
      </c>
      <c r="K40" s="543">
        <v>5</v>
      </c>
      <c r="L40" s="543" t="s">
        <v>934</v>
      </c>
      <c r="M40" s="543" t="s">
        <v>934</v>
      </c>
    </row>
    <row r="41" spans="1:13" x14ac:dyDescent="0.3">
      <c r="A41" s="543">
        <v>0</v>
      </c>
      <c r="B41" s="42"/>
      <c r="C41" s="42"/>
      <c r="F41" s="88" t="str">
        <f>'G-1 All Habitats'!B41</f>
        <v>Lakes - Low alkalinity lakes</v>
      </c>
      <c r="G41" s="543">
        <v>30</v>
      </c>
      <c r="H41" s="543">
        <v>20</v>
      </c>
      <c r="I41" s="543">
        <v>10</v>
      </c>
      <c r="J41" s="543">
        <v>7</v>
      </c>
      <c r="K41" s="543">
        <v>5</v>
      </c>
      <c r="L41" s="543" t="s">
        <v>934</v>
      </c>
      <c r="M41" s="543" t="s">
        <v>934</v>
      </c>
    </row>
    <row r="42" spans="1:13" x14ac:dyDescent="0.3">
      <c r="A42" s="543">
        <v>1</v>
      </c>
      <c r="B42" s="42"/>
      <c r="C42" s="42"/>
      <c r="F42" s="88" t="str">
        <f>'G-1 All Habitats'!B42</f>
        <v>Lakes - Marl Lakes</v>
      </c>
      <c r="G42" s="543">
        <v>30</v>
      </c>
      <c r="H42" s="543">
        <v>20</v>
      </c>
      <c r="I42" s="543">
        <v>10</v>
      </c>
      <c r="J42" s="543">
        <v>7</v>
      </c>
      <c r="K42" s="543">
        <v>5</v>
      </c>
      <c r="L42" s="543" t="s">
        <v>934</v>
      </c>
      <c r="M42" s="543" t="s">
        <v>934</v>
      </c>
    </row>
    <row r="43" spans="1:13" x14ac:dyDescent="0.3">
      <c r="A43" s="543">
        <v>2</v>
      </c>
      <c r="B43" s="42"/>
      <c r="C43" s="42"/>
      <c r="F43" s="88" t="str">
        <f>'G-1 All Habitats'!B43</f>
        <v>Lakes - Moderate alkalinity lakes</v>
      </c>
      <c r="G43" s="543">
        <v>30</v>
      </c>
      <c r="H43" s="543">
        <v>20</v>
      </c>
      <c r="I43" s="543">
        <v>10</v>
      </c>
      <c r="J43" s="543">
        <v>7</v>
      </c>
      <c r="K43" s="543">
        <v>5</v>
      </c>
      <c r="L43" s="543" t="s">
        <v>934</v>
      </c>
      <c r="M43" s="543" t="s">
        <v>934</v>
      </c>
    </row>
    <row r="44" spans="1:13" x14ac:dyDescent="0.3">
      <c r="A44" s="543">
        <v>3</v>
      </c>
      <c r="B44" s="42"/>
      <c r="C44" s="42"/>
      <c r="F44" s="88" t="str">
        <f>'G-1 All Habitats'!B44</f>
        <v>Lakes - Peat Lakes</v>
      </c>
      <c r="G44" s="543">
        <v>30</v>
      </c>
      <c r="H44" s="543">
        <v>20</v>
      </c>
      <c r="I44" s="543">
        <v>10</v>
      </c>
      <c r="J44" s="543">
        <v>7</v>
      </c>
      <c r="K44" s="543">
        <v>5</v>
      </c>
      <c r="L44" s="543" t="s">
        <v>934</v>
      </c>
      <c r="M44" s="543" t="s">
        <v>934</v>
      </c>
    </row>
    <row r="45" spans="1:13" x14ac:dyDescent="0.3">
      <c r="A45" s="543">
        <v>4</v>
      </c>
      <c r="B45" s="42"/>
      <c r="C45" s="42"/>
      <c r="F45" s="88" t="str">
        <f>'G-1 All Habitats'!B45</f>
        <v>Lakes - Ponds (Priority Habitat)</v>
      </c>
      <c r="G45" s="543">
        <v>5</v>
      </c>
      <c r="H45" s="543">
        <v>4</v>
      </c>
      <c r="I45" s="543">
        <v>3</v>
      </c>
      <c r="J45" s="543">
        <v>2</v>
      </c>
      <c r="K45" s="543">
        <v>1</v>
      </c>
      <c r="L45" s="543" t="s">
        <v>934</v>
      </c>
      <c r="M45" s="543" t="s">
        <v>934</v>
      </c>
    </row>
    <row r="46" spans="1:13" x14ac:dyDescent="0.3">
      <c r="A46" s="543">
        <v>5</v>
      </c>
      <c r="B46" s="42"/>
      <c r="C46" s="42"/>
      <c r="F46" s="88" t="str">
        <f>'G-1 All Habitats'!B46</f>
        <v>Lakes - Ponds (Non- Priority Habitat)</v>
      </c>
      <c r="G46" s="543">
        <v>5</v>
      </c>
      <c r="H46" s="543">
        <v>4</v>
      </c>
      <c r="I46" s="543">
        <v>3</v>
      </c>
      <c r="J46" s="543">
        <v>2</v>
      </c>
      <c r="K46" s="543">
        <v>1</v>
      </c>
      <c r="L46" s="543" t="s">
        <v>934</v>
      </c>
      <c r="M46" s="543" t="s">
        <v>934</v>
      </c>
    </row>
    <row r="47" spans="1:13" x14ac:dyDescent="0.3">
      <c r="A47" s="543">
        <v>6</v>
      </c>
      <c r="B47" s="42"/>
      <c r="C47" s="42"/>
      <c r="F47" s="88" t="str">
        <f>'G-1 All Habitats'!B47</f>
        <v>Lakes - Reservoirs</v>
      </c>
      <c r="G47" s="543">
        <v>10</v>
      </c>
      <c r="H47" s="543">
        <v>7</v>
      </c>
      <c r="I47" s="543">
        <v>5</v>
      </c>
      <c r="J47" s="543">
        <v>3</v>
      </c>
      <c r="K47" s="543">
        <v>1</v>
      </c>
      <c r="L47" s="543" t="s">
        <v>934</v>
      </c>
      <c r="M47" s="543" t="s">
        <v>934</v>
      </c>
    </row>
    <row r="48" spans="1:13" x14ac:dyDescent="0.3">
      <c r="A48" s="543">
        <v>7</v>
      </c>
      <c r="B48" s="42"/>
      <c r="C48" s="42"/>
      <c r="F48" s="88" t="str">
        <f>'G-1 All Habitats'!B48</f>
        <v>Lakes - Temporary lakes, ponds and pools</v>
      </c>
      <c r="G48" s="543">
        <v>5</v>
      </c>
      <c r="H48" s="543">
        <v>4</v>
      </c>
      <c r="I48" s="543">
        <v>3</v>
      </c>
      <c r="J48" s="543">
        <v>2</v>
      </c>
      <c r="K48" s="543">
        <v>1</v>
      </c>
      <c r="L48" s="543" t="s">
        <v>934</v>
      </c>
      <c r="M48" s="543" t="s">
        <v>934</v>
      </c>
    </row>
    <row r="49" spans="1:13" x14ac:dyDescent="0.3">
      <c r="A49" s="543">
        <v>8</v>
      </c>
      <c r="B49" s="42"/>
      <c r="C49" s="42"/>
      <c r="F49" s="88" t="str">
        <f>'G-1 All Habitats'!B49</f>
        <v>Sparsely vegetated land - Calaminarian grasslands</v>
      </c>
      <c r="G49" s="543">
        <v>10</v>
      </c>
      <c r="H49" s="543">
        <v>7</v>
      </c>
      <c r="I49" s="543">
        <v>5</v>
      </c>
      <c r="J49" s="543">
        <v>3</v>
      </c>
      <c r="K49" s="543">
        <v>2</v>
      </c>
      <c r="L49" s="543" t="s">
        <v>934</v>
      </c>
      <c r="M49" s="543" t="s">
        <v>934</v>
      </c>
    </row>
    <row r="50" spans="1:13" x14ac:dyDescent="0.3">
      <c r="A50" s="543">
        <v>9</v>
      </c>
      <c r="B50" s="42"/>
      <c r="C50" s="42"/>
      <c r="F50" s="88" t="str">
        <f>'G-1 All Habitats'!B50</f>
        <v>Sparsely vegetated land - Coastal sand dunes</v>
      </c>
      <c r="G50" s="543">
        <v>20</v>
      </c>
      <c r="H50" s="543">
        <v>15</v>
      </c>
      <c r="I50" s="543">
        <v>10</v>
      </c>
      <c r="J50" s="543">
        <v>7</v>
      </c>
      <c r="K50" s="543">
        <v>5</v>
      </c>
      <c r="L50" s="543" t="s">
        <v>934</v>
      </c>
      <c r="M50" s="543" t="s">
        <v>934</v>
      </c>
    </row>
    <row r="51" spans="1:13" x14ac:dyDescent="0.3">
      <c r="A51" s="543">
        <v>10</v>
      </c>
      <c r="B51" s="42"/>
      <c r="C51" s="42"/>
      <c r="F51" s="88" t="str">
        <f>'G-1 All Habitats'!B51</f>
        <v>Sparsely vegetated land - Coastal vegetated shingle</v>
      </c>
      <c r="G51" s="543">
        <v>20</v>
      </c>
      <c r="H51" s="543">
        <v>15</v>
      </c>
      <c r="I51" s="543">
        <v>10</v>
      </c>
      <c r="J51" s="543">
        <v>7</v>
      </c>
      <c r="K51" s="543">
        <v>5</v>
      </c>
      <c r="L51" s="543" t="s">
        <v>934</v>
      </c>
      <c r="M51" s="543" t="s">
        <v>934</v>
      </c>
    </row>
    <row r="52" spans="1:13" x14ac:dyDescent="0.3">
      <c r="A52" s="543">
        <v>11</v>
      </c>
      <c r="B52" s="42"/>
      <c r="C52" s="42"/>
      <c r="F52" s="88" t="str">
        <f>'G-1 All Habitats'!B52</f>
        <v>Sparsely vegetated land - Ruderal/Ephemeral</v>
      </c>
      <c r="G52" s="543">
        <v>5</v>
      </c>
      <c r="H52" s="543">
        <v>4</v>
      </c>
      <c r="I52" s="543">
        <v>3</v>
      </c>
      <c r="J52" s="543">
        <v>2</v>
      </c>
      <c r="K52" s="543">
        <v>1</v>
      </c>
      <c r="L52" s="543" t="s">
        <v>934</v>
      </c>
      <c r="M52" s="543" t="s">
        <v>934</v>
      </c>
    </row>
    <row r="53" spans="1:13" x14ac:dyDescent="0.3">
      <c r="A53" s="543">
        <v>12</v>
      </c>
      <c r="B53" s="42"/>
      <c r="C53" s="42"/>
      <c r="F53" s="88" t="str">
        <f>'G-1 All Habitats'!B53</f>
        <v>Sparsely vegetated land - Inland rock outcrop and scree habitats</v>
      </c>
      <c r="G53" s="543" t="s">
        <v>935</v>
      </c>
      <c r="H53" s="543">
        <v>25</v>
      </c>
      <c r="I53" s="543">
        <v>20</v>
      </c>
      <c r="J53" s="543">
        <v>15</v>
      </c>
      <c r="K53" s="543">
        <v>10</v>
      </c>
      <c r="L53" s="543" t="s">
        <v>934</v>
      </c>
      <c r="M53" s="543" t="s">
        <v>934</v>
      </c>
    </row>
    <row r="54" spans="1:13" x14ac:dyDescent="0.3">
      <c r="A54" s="543">
        <v>13</v>
      </c>
      <c r="B54" s="42"/>
      <c r="C54" s="42"/>
      <c r="F54" s="88" t="str">
        <f>'G-1 All Habitats'!B54</f>
        <v>Sparsely vegetated land - Limestone pavement</v>
      </c>
      <c r="G54" s="543" t="s">
        <v>935</v>
      </c>
      <c r="H54" s="543" t="s">
        <v>935</v>
      </c>
      <c r="I54" s="543" t="s">
        <v>935</v>
      </c>
      <c r="J54" s="543" t="s">
        <v>935</v>
      </c>
      <c r="K54" s="543" t="s">
        <v>935</v>
      </c>
      <c r="L54" s="543" t="s">
        <v>934</v>
      </c>
      <c r="M54" s="543" t="s">
        <v>934</v>
      </c>
    </row>
    <row r="55" spans="1:13" x14ac:dyDescent="0.3">
      <c r="A55" s="543">
        <v>14</v>
      </c>
      <c r="B55" s="42"/>
      <c r="C55" s="42"/>
      <c r="F55" s="88" t="str">
        <f>'G-1 All Habitats'!B55</f>
        <v>Sparsely vegetated land - Maritime cliff and slopes</v>
      </c>
      <c r="G55" s="543">
        <v>20</v>
      </c>
      <c r="H55" s="543">
        <v>15</v>
      </c>
      <c r="I55" s="543">
        <v>10</v>
      </c>
      <c r="J55" s="543">
        <v>7</v>
      </c>
      <c r="K55" s="543">
        <v>5</v>
      </c>
      <c r="L55" s="543" t="s">
        <v>934</v>
      </c>
      <c r="M55" s="543" t="s">
        <v>934</v>
      </c>
    </row>
    <row r="56" spans="1:13" x14ac:dyDescent="0.3">
      <c r="A56" s="543">
        <v>15</v>
      </c>
      <c r="B56" s="42"/>
      <c r="C56" s="42"/>
      <c r="F56" s="88" t="str">
        <f>'G-1 All Habitats'!B56</f>
        <v>Sparsely vegetated land - Other inland rock and scree</v>
      </c>
      <c r="G56" s="543">
        <v>20</v>
      </c>
      <c r="H56" s="543">
        <v>15</v>
      </c>
      <c r="I56" s="543">
        <v>10</v>
      </c>
      <c r="J56" s="543">
        <v>7</v>
      </c>
      <c r="K56" s="543">
        <v>5</v>
      </c>
      <c r="L56" s="543" t="s">
        <v>934</v>
      </c>
      <c r="M56" s="543" t="s">
        <v>934</v>
      </c>
    </row>
    <row r="57" spans="1:13" x14ac:dyDescent="0.3">
      <c r="A57" s="543">
        <v>16</v>
      </c>
      <c r="B57" s="42"/>
      <c r="C57" s="42"/>
      <c r="F57" s="88" t="str">
        <f>'G-1 All Habitats'!B57</f>
        <v>Urban - Allotments</v>
      </c>
      <c r="G57" s="543">
        <v>1</v>
      </c>
      <c r="H57" s="543">
        <v>1</v>
      </c>
      <c r="I57" s="543">
        <v>1</v>
      </c>
      <c r="J57" s="543">
        <v>1</v>
      </c>
      <c r="K57" s="543">
        <v>1</v>
      </c>
      <c r="L57" s="543" t="s">
        <v>934</v>
      </c>
      <c r="M57" s="543" t="s">
        <v>934</v>
      </c>
    </row>
    <row r="58" spans="1:13" x14ac:dyDescent="0.3">
      <c r="A58" s="543">
        <v>17</v>
      </c>
      <c r="B58" s="42"/>
      <c r="C58" s="42"/>
      <c r="F58" s="88" t="str">
        <f>'G-1 All Habitats'!B39</f>
        <v>Lakes - Ornamental lake or pond</v>
      </c>
      <c r="G58" s="543">
        <v>5</v>
      </c>
      <c r="H58" s="543">
        <v>4</v>
      </c>
      <c r="I58" s="543">
        <v>3</v>
      </c>
      <c r="J58" s="543">
        <v>2</v>
      </c>
      <c r="K58" s="543">
        <v>1</v>
      </c>
      <c r="L58" s="543" t="s">
        <v>934</v>
      </c>
      <c r="M58" s="543" t="s">
        <v>934</v>
      </c>
    </row>
    <row r="59" spans="1:13" x14ac:dyDescent="0.3">
      <c r="A59" s="543">
        <v>18</v>
      </c>
      <c r="B59" s="42"/>
      <c r="C59" s="42"/>
      <c r="F59" s="88" t="str">
        <f>'G-1 All Habitats'!B58</f>
        <v>Urban - Artificial unvegetated, unsealed surface</v>
      </c>
      <c r="G59" s="543" t="s">
        <v>934</v>
      </c>
      <c r="H59" s="543" t="s">
        <v>934</v>
      </c>
      <c r="I59" s="543" t="s">
        <v>934</v>
      </c>
      <c r="J59" s="543" t="s">
        <v>934</v>
      </c>
      <c r="K59" s="543" t="s">
        <v>934</v>
      </c>
      <c r="L59" s="543" t="s">
        <v>934</v>
      </c>
      <c r="M59" s="543">
        <v>0</v>
      </c>
    </row>
    <row r="60" spans="1:13" x14ac:dyDescent="0.3">
      <c r="A60" s="543">
        <v>19</v>
      </c>
      <c r="B60" s="42"/>
      <c r="C60" s="42"/>
      <c r="F60" s="88" t="str">
        <f>'G-1 All Habitats'!B59</f>
        <v>Urban - Bioswale</v>
      </c>
      <c r="G60" s="543">
        <v>3</v>
      </c>
      <c r="H60" s="543">
        <v>2</v>
      </c>
      <c r="I60" s="543">
        <v>1</v>
      </c>
      <c r="J60" s="543">
        <v>1</v>
      </c>
      <c r="K60" s="543">
        <v>1</v>
      </c>
      <c r="L60" s="543" t="s">
        <v>934</v>
      </c>
      <c r="M60" s="543" t="s">
        <v>934</v>
      </c>
    </row>
    <row r="61" spans="1:13" x14ac:dyDescent="0.3">
      <c r="A61" s="543">
        <v>20</v>
      </c>
      <c r="B61" s="42"/>
      <c r="C61" s="42"/>
      <c r="F61" s="88" t="str">
        <f>'G-1 All Habitats'!B60</f>
        <v>Urban - Intensive green roof</v>
      </c>
      <c r="G61" s="543">
        <v>5</v>
      </c>
      <c r="H61" s="543">
        <v>4</v>
      </c>
      <c r="I61" s="543">
        <v>3</v>
      </c>
      <c r="J61" s="543">
        <v>2</v>
      </c>
      <c r="K61" s="543">
        <v>1</v>
      </c>
      <c r="L61" s="543" t="s">
        <v>934</v>
      </c>
      <c r="M61" s="543" t="s">
        <v>934</v>
      </c>
    </row>
    <row r="62" spans="1:13" x14ac:dyDescent="0.3">
      <c r="A62" s="543">
        <v>21</v>
      </c>
      <c r="B62" s="42"/>
      <c r="C62" s="42"/>
      <c r="F62" s="88" t="str">
        <f>'G-1 All Habitats'!B61</f>
        <v>Urban - Built linear features</v>
      </c>
      <c r="G62" s="543" t="s">
        <v>934</v>
      </c>
      <c r="H62" s="543" t="s">
        <v>934</v>
      </c>
      <c r="I62" s="543" t="s">
        <v>934</v>
      </c>
      <c r="J62" s="543" t="s">
        <v>934</v>
      </c>
      <c r="K62" s="543" t="s">
        <v>934</v>
      </c>
      <c r="L62" s="543" t="s">
        <v>934</v>
      </c>
      <c r="M62" s="543">
        <v>0</v>
      </c>
    </row>
    <row r="63" spans="1:13" x14ac:dyDescent="0.3">
      <c r="A63" s="543">
        <v>22</v>
      </c>
      <c r="B63" s="42"/>
      <c r="C63" s="42"/>
      <c r="F63" s="88" t="str">
        <f>'G-1 All Habitats'!B62</f>
        <v>Urban - Cemeteries and churchyards</v>
      </c>
      <c r="G63" s="543">
        <v>20</v>
      </c>
      <c r="H63" s="543">
        <v>17</v>
      </c>
      <c r="I63" s="543">
        <v>15</v>
      </c>
      <c r="J63" s="543">
        <v>12</v>
      </c>
      <c r="K63" s="543">
        <v>10</v>
      </c>
      <c r="L63" s="543" t="s">
        <v>934</v>
      </c>
      <c r="M63" s="543" t="s">
        <v>934</v>
      </c>
    </row>
    <row r="64" spans="1:13" x14ac:dyDescent="0.3">
      <c r="A64" s="543">
        <v>23</v>
      </c>
      <c r="B64" s="42"/>
      <c r="C64" s="42"/>
      <c r="F64" s="88" t="str">
        <f>'G-1 All Habitats'!B63</f>
        <v>Urban - Developed land; sealed surface</v>
      </c>
      <c r="G64" s="543" t="s">
        <v>934</v>
      </c>
      <c r="H64" s="543" t="s">
        <v>934</v>
      </c>
      <c r="I64" s="543" t="s">
        <v>934</v>
      </c>
      <c r="J64" s="543" t="s">
        <v>934</v>
      </c>
      <c r="K64" s="543" t="s">
        <v>934</v>
      </c>
      <c r="L64" s="543" t="s">
        <v>934</v>
      </c>
      <c r="M64" s="543">
        <v>0</v>
      </c>
    </row>
    <row r="65" spans="1:13" x14ac:dyDescent="0.3">
      <c r="A65" s="543">
        <v>24</v>
      </c>
      <c r="B65" s="42"/>
      <c r="C65" s="42"/>
      <c r="F65" s="88" t="str">
        <f>'G-1 All Habitats'!B64</f>
        <v>Urban - Other green roof</v>
      </c>
      <c r="G65" s="543" t="s">
        <v>934</v>
      </c>
      <c r="H65" s="543" t="s">
        <v>934</v>
      </c>
      <c r="I65" s="543" t="s">
        <v>934</v>
      </c>
      <c r="J65" s="543" t="s">
        <v>934</v>
      </c>
      <c r="K65" s="543" t="s">
        <v>934</v>
      </c>
      <c r="L65" s="543">
        <v>1</v>
      </c>
      <c r="M65" s="543" t="s">
        <v>934</v>
      </c>
    </row>
    <row r="66" spans="1:13" x14ac:dyDescent="0.3">
      <c r="A66" s="543">
        <v>25</v>
      </c>
      <c r="B66" s="42"/>
      <c r="C66" s="42"/>
      <c r="F66" s="88" t="str">
        <f>'G-1 All Habitats'!B65</f>
        <v>Urban - Facade-bound green wall</v>
      </c>
      <c r="G66" s="543">
        <v>5</v>
      </c>
      <c r="H66" s="543">
        <v>4</v>
      </c>
      <c r="I66" s="543">
        <v>3</v>
      </c>
      <c r="J66" s="543">
        <v>2</v>
      </c>
      <c r="K66" s="543">
        <v>1</v>
      </c>
      <c r="L66" s="543" t="s">
        <v>934</v>
      </c>
      <c r="M66" s="543" t="s">
        <v>934</v>
      </c>
    </row>
    <row r="67" spans="1:13" x14ac:dyDescent="0.3">
      <c r="A67" s="543">
        <v>26</v>
      </c>
      <c r="B67" s="42"/>
      <c r="C67" s="42"/>
      <c r="F67" s="88" t="str">
        <f>'G-1 All Habitats'!B66</f>
        <v>Urban - Ground based green wall</v>
      </c>
      <c r="G67" s="543">
        <v>5</v>
      </c>
      <c r="H67" s="543">
        <v>4</v>
      </c>
      <c r="I67" s="543">
        <v>3</v>
      </c>
      <c r="J67" s="543">
        <v>2</v>
      </c>
      <c r="K67" s="543">
        <v>1</v>
      </c>
      <c r="L67" s="543" t="s">
        <v>934</v>
      </c>
      <c r="M67" s="543" t="s">
        <v>934</v>
      </c>
    </row>
    <row r="68" spans="1:13" x14ac:dyDescent="0.3">
      <c r="A68" s="543">
        <v>27</v>
      </c>
      <c r="B68" s="42"/>
      <c r="C68" s="42"/>
      <c r="F68" s="88" t="str">
        <f>'G-1 All Habitats'!B67</f>
        <v>Urban - Ground level planters</v>
      </c>
      <c r="G68" s="543" t="s">
        <v>934</v>
      </c>
      <c r="H68" s="543" t="s">
        <v>934</v>
      </c>
      <c r="I68" s="543" t="s">
        <v>934</v>
      </c>
      <c r="J68" s="543" t="s">
        <v>934</v>
      </c>
      <c r="K68" s="543" t="s">
        <v>934</v>
      </c>
      <c r="L68" s="543">
        <v>1</v>
      </c>
      <c r="M68" s="543" t="s">
        <v>934</v>
      </c>
    </row>
    <row r="69" spans="1:13" x14ac:dyDescent="0.3">
      <c r="A69" s="543">
        <v>28</v>
      </c>
      <c r="B69" s="42"/>
      <c r="C69" s="42"/>
      <c r="F69" s="88" t="str">
        <f>'G-1 All Habitats'!B68</f>
        <v>Urban - Biodiverse green roof</v>
      </c>
      <c r="G69" s="543">
        <v>10</v>
      </c>
      <c r="H69" s="543">
        <v>8</v>
      </c>
      <c r="I69" s="543">
        <v>5</v>
      </c>
      <c r="J69" s="543">
        <v>3</v>
      </c>
      <c r="K69" s="543">
        <v>1</v>
      </c>
      <c r="L69" s="543" t="s">
        <v>934</v>
      </c>
      <c r="M69" s="543" t="s">
        <v>934</v>
      </c>
    </row>
    <row r="70" spans="1:13" x14ac:dyDescent="0.3">
      <c r="A70" s="543">
        <v>29</v>
      </c>
      <c r="B70" s="42"/>
      <c r="C70" s="42"/>
      <c r="F70" s="88" t="str">
        <f>'G-1 All Habitats'!B69</f>
        <v>Urban - Introduced shrub</v>
      </c>
      <c r="G70" s="543" t="s">
        <v>934</v>
      </c>
      <c r="H70" s="543" t="s">
        <v>934</v>
      </c>
      <c r="I70" s="543" t="s">
        <v>934</v>
      </c>
      <c r="J70" s="543" t="s">
        <v>934</v>
      </c>
      <c r="K70" s="543" t="s">
        <v>934</v>
      </c>
      <c r="L70" s="543">
        <v>1</v>
      </c>
      <c r="M70" s="543" t="s">
        <v>934</v>
      </c>
    </row>
    <row r="71" spans="1:13" x14ac:dyDescent="0.3">
      <c r="A71" s="543">
        <v>30</v>
      </c>
      <c r="B71" s="42"/>
      <c r="C71" s="42"/>
      <c r="F71" s="88" t="str">
        <f>'G-1 All Habitats'!B70</f>
        <v>Urban - Open Mosaic Habitats on Previously Developed Land</v>
      </c>
      <c r="G71" s="543">
        <v>10</v>
      </c>
      <c r="H71" s="543">
        <v>7</v>
      </c>
      <c r="I71" s="543">
        <v>4</v>
      </c>
      <c r="J71" s="543">
        <v>2</v>
      </c>
      <c r="K71" s="543">
        <v>0</v>
      </c>
      <c r="L71" s="543" t="s">
        <v>934</v>
      </c>
      <c r="M71" s="543" t="s">
        <v>934</v>
      </c>
    </row>
    <row r="72" spans="1:13" x14ac:dyDescent="0.3">
      <c r="A72" s="543" t="s">
        <v>935</v>
      </c>
      <c r="B72" s="42"/>
      <c r="C72" s="42"/>
      <c r="F72" s="88" t="str">
        <f>'G-1 All Habitats'!B71</f>
        <v>Urban - Rain garden</v>
      </c>
      <c r="G72" s="543">
        <v>5</v>
      </c>
      <c r="H72" s="543">
        <v>4</v>
      </c>
      <c r="I72" s="543">
        <v>3</v>
      </c>
      <c r="J72" s="543">
        <v>2</v>
      </c>
      <c r="K72" s="543">
        <v>1</v>
      </c>
      <c r="L72" s="543" t="s">
        <v>934</v>
      </c>
      <c r="M72" s="543" t="s">
        <v>934</v>
      </c>
    </row>
    <row r="73" spans="1:13" x14ac:dyDescent="0.3">
      <c r="A73" s="42"/>
      <c r="B73" s="42"/>
      <c r="C73" s="42"/>
      <c r="F73" s="88" t="str">
        <f>'G-1 All Habitats'!B72</f>
        <v>Urban - Actively worked sand pit quarry or open cast mine</v>
      </c>
      <c r="G73" s="543" t="s">
        <v>934</v>
      </c>
      <c r="H73" s="543" t="s">
        <v>934</v>
      </c>
      <c r="I73" s="543" t="s">
        <v>934</v>
      </c>
      <c r="J73" s="543" t="s">
        <v>934</v>
      </c>
      <c r="K73" s="543" t="s">
        <v>934</v>
      </c>
      <c r="L73" s="543">
        <v>1</v>
      </c>
      <c r="M73" s="543" t="s">
        <v>934</v>
      </c>
    </row>
    <row r="74" spans="1:13" x14ac:dyDescent="0.3">
      <c r="A74" s="42"/>
      <c r="B74" s="42"/>
      <c r="C74" s="42"/>
      <c r="F74" s="88" t="str">
        <f>'G-1 All Habitats'!B73</f>
        <v>Urban - Urban Tree</v>
      </c>
      <c r="G74" s="543" t="s">
        <v>935</v>
      </c>
      <c r="H74" s="543" t="s">
        <v>935</v>
      </c>
      <c r="I74" s="543">
        <v>27</v>
      </c>
      <c r="J74" s="543">
        <v>15</v>
      </c>
      <c r="K74" s="543">
        <v>10</v>
      </c>
      <c r="L74" s="543" t="s">
        <v>934</v>
      </c>
      <c r="M74" s="543" t="s">
        <v>934</v>
      </c>
    </row>
    <row r="75" spans="1:13" x14ac:dyDescent="0.3">
      <c r="A75" s="42"/>
      <c r="B75" s="42"/>
      <c r="C75" s="42"/>
      <c r="F75" s="88" t="str">
        <f>'G-1 All Habitats'!B74</f>
        <v>Urban - Sustainable urban drainage feature</v>
      </c>
      <c r="G75" s="543">
        <v>5</v>
      </c>
      <c r="H75" s="543">
        <v>4</v>
      </c>
      <c r="I75" s="543">
        <v>3</v>
      </c>
      <c r="J75" s="543">
        <v>2</v>
      </c>
      <c r="K75" s="543">
        <v>1</v>
      </c>
      <c r="L75" s="543" t="s">
        <v>934</v>
      </c>
      <c r="M75" s="543" t="s">
        <v>934</v>
      </c>
    </row>
    <row r="76" spans="1:13" x14ac:dyDescent="0.3">
      <c r="A76" s="42"/>
      <c r="B76" s="42"/>
      <c r="C76" s="42"/>
      <c r="F76" s="88" t="str">
        <f>'G-1 All Habitats'!B75</f>
        <v>Urban - Un-vegetated garden</v>
      </c>
      <c r="G76" s="543" t="s">
        <v>934</v>
      </c>
      <c r="H76" s="543" t="s">
        <v>934</v>
      </c>
      <c r="I76" s="543" t="s">
        <v>934</v>
      </c>
      <c r="J76" s="543" t="s">
        <v>934</v>
      </c>
      <c r="K76" s="543" t="s">
        <v>934</v>
      </c>
      <c r="L76" s="543" t="s">
        <v>934</v>
      </c>
      <c r="M76" s="543">
        <v>0</v>
      </c>
    </row>
    <row r="77" spans="1:13" x14ac:dyDescent="0.3">
      <c r="A77" s="42"/>
      <c r="B77" s="42"/>
      <c r="C77" s="42"/>
      <c r="F77" s="88" t="str">
        <f>'G-1 All Habitats'!B76</f>
        <v>Urban - Vacant/derelict land/ bareground</v>
      </c>
      <c r="G77" s="543">
        <v>5</v>
      </c>
      <c r="H77" s="543">
        <v>4</v>
      </c>
      <c r="I77" s="543">
        <v>3</v>
      </c>
      <c r="J77" s="543">
        <v>2</v>
      </c>
      <c r="K77" s="543">
        <v>1</v>
      </c>
      <c r="L77" s="543" t="s">
        <v>934</v>
      </c>
      <c r="M77" s="543" t="s">
        <v>934</v>
      </c>
    </row>
    <row r="78" spans="1:13" x14ac:dyDescent="0.3">
      <c r="A78" s="42"/>
      <c r="B78" s="42"/>
      <c r="C78" s="42"/>
      <c r="F78" s="88" t="str">
        <f>'G-1 All Habitats'!B77</f>
        <v>Urban - Vegetated garden</v>
      </c>
      <c r="G78" s="543" t="s">
        <v>934</v>
      </c>
      <c r="H78" s="543" t="s">
        <v>934</v>
      </c>
      <c r="I78" s="543" t="s">
        <v>934</v>
      </c>
      <c r="J78" s="543" t="s">
        <v>934</v>
      </c>
      <c r="K78" s="543" t="s">
        <v>934</v>
      </c>
      <c r="L78" s="543">
        <v>1</v>
      </c>
      <c r="M78" s="543" t="s">
        <v>934</v>
      </c>
    </row>
    <row r="79" spans="1:13" x14ac:dyDescent="0.3">
      <c r="A79" s="42"/>
      <c r="B79" s="42"/>
      <c r="C79" s="42"/>
      <c r="F79" s="88" t="str">
        <f>'G-1 All Habitats'!B78</f>
        <v>Wetland - Blanket bog</v>
      </c>
      <c r="G79" s="543" t="s">
        <v>935</v>
      </c>
      <c r="H79" s="543" t="s">
        <v>935</v>
      </c>
      <c r="I79" s="543" t="s">
        <v>935</v>
      </c>
      <c r="J79" s="543" t="s">
        <v>935</v>
      </c>
      <c r="K79" s="543" t="s">
        <v>935</v>
      </c>
      <c r="L79" s="543" t="s">
        <v>934</v>
      </c>
      <c r="M79" s="543" t="s">
        <v>934</v>
      </c>
    </row>
    <row r="80" spans="1:13" x14ac:dyDescent="0.3">
      <c r="A80" s="42"/>
      <c r="B80" s="42"/>
      <c r="C80" s="42"/>
      <c r="F80" s="88" t="str">
        <f>'G-1 All Habitats'!B79</f>
        <v>Wetland - Depressions on Peat substrates (H7150)</v>
      </c>
      <c r="G80" s="543" t="s">
        <v>935</v>
      </c>
      <c r="H80" s="543" t="s">
        <v>935</v>
      </c>
      <c r="I80" s="543">
        <v>30</v>
      </c>
      <c r="J80" s="543">
        <v>25</v>
      </c>
      <c r="K80" s="543">
        <v>15</v>
      </c>
      <c r="L80" s="543" t="s">
        <v>934</v>
      </c>
      <c r="M80" s="543" t="s">
        <v>934</v>
      </c>
    </row>
    <row r="81" spans="1:13" x14ac:dyDescent="0.3">
      <c r="A81" s="42"/>
      <c r="B81" s="42"/>
      <c r="C81" s="42"/>
      <c r="F81" s="88" t="str">
        <f>'G-1 All Habitats'!B80</f>
        <v>Wetland - Fens (upland and lowland)</v>
      </c>
      <c r="G81" s="543">
        <v>30</v>
      </c>
      <c r="H81" s="543">
        <v>25</v>
      </c>
      <c r="I81" s="543">
        <v>20</v>
      </c>
      <c r="J81" s="543">
        <v>15</v>
      </c>
      <c r="K81" s="543">
        <v>10</v>
      </c>
      <c r="L81" s="543" t="s">
        <v>934</v>
      </c>
      <c r="M81" s="543" t="s">
        <v>934</v>
      </c>
    </row>
    <row r="82" spans="1:13" x14ac:dyDescent="0.3">
      <c r="A82" s="42"/>
      <c r="B82" s="42"/>
      <c r="C82" s="42"/>
      <c r="F82" s="88" t="str">
        <f>'G-1 All Habitats'!B81</f>
        <v>Wetland - Lowland raised bog</v>
      </c>
      <c r="G82" s="543" t="s">
        <v>935</v>
      </c>
      <c r="H82" s="543" t="s">
        <v>935</v>
      </c>
      <c r="I82" s="543">
        <v>30</v>
      </c>
      <c r="J82" s="543">
        <v>20</v>
      </c>
      <c r="K82" s="543">
        <v>15</v>
      </c>
      <c r="L82" s="543" t="s">
        <v>934</v>
      </c>
      <c r="M82" s="543" t="s">
        <v>934</v>
      </c>
    </row>
    <row r="83" spans="1:13" x14ac:dyDescent="0.3">
      <c r="A83" s="42"/>
      <c r="B83" s="42"/>
      <c r="C83" s="42"/>
      <c r="F83" s="88" t="str">
        <f>'G-1 All Habitats'!B82</f>
        <v>Wetland - Oceanic Valley Mire[1] (D2.1)</v>
      </c>
      <c r="G83" s="543" t="s">
        <v>935</v>
      </c>
      <c r="H83" s="543" t="s">
        <v>935</v>
      </c>
      <c r="I83" s="543">
        <v>30</v>
      </c>
      <c r="J83" s="543">
        <v>20</v>
      </c>
      <c r="K83" s="543">
        <v>15</v>
      </c>
      <c r="L83" s="543" t="s">
        <v>934</v>
      </c>
      <c r="M83" s="543" t="s">
        <v>934</v>
      </c>
    </row>
    <row r="84" spans="1:13" x14ac:dyDescent="0.3">
      <c r="A84" s="42"/>
      <c r="B84" s="42"/>
      <c r="C84" s="42"/>
      <c r="F84" s="88" t="str">
        <f>'G-1 All Habitats'!B83</f>
        <v>Wetland - Purple moor grass and rush pastures</v>
      </c>
      <c r="G84" s="543">
        <v>30</v>
      </c>
      <c r="H84" s="543">
        <v>25</v>
      </c>
      <c r="I84" s="543">
        <v>20</v>
      </c>
      <c r="J84" s="543">
        <v>15</v>
      </c>
      <c r="K84" s="543">
        <v>10</v>
      </c>
      <c r="L84" s="543" t="s">
        <v>934</v>
      </c>
      <c r="M84" s="543" t="s">
        <v>934</v>
      </c>
    </row>
    <row r="85" spans="1:13" x14ac:dyDescent="0.3">
      <c r="A85" s="42"/>
      <c r="B85" s="42"/>
      <c r="C85" s="42"/>
      <c r="F85" s="88" t="str">
        <f>'G-1 All Habitats'!B84</f>
        <v>Wetland - Reedbeds</v>
      </c>
      <c r="G85" s="543">
        <v>12</v>
      </c>
      <c r="H85" s="543">
        <v>10</v>
      </c>
      <c r="I85" s="543">
        <v>7</v>
      </c>
      <c r="J85" s="543">
        <v>5</v>
      </c>
      <c r="K85" s="543">
        <v>3</v>
      </c>
      <c r="L85" s="543" t="s">
        <v>934</v>
      </c>
      <c r="M85" s="543" t="s">
        <v>934</v>
      </c>
    </row>
    <row r="86" spans="1:13" x14ac:dyDescent="0.3">
      <c r="A86" s="42"/>
      <c r="B86" s="42"/>
      <c r="C86" s="42"/>
      <c r="F86" s="88" t="str">
        <f>'G-1 All Habitats'!B85</f>
        <v>Wetland - Transition mires and quaking bogs (H7140)</v>
      </c>
      <c r="G86" s="543" t="s">
        <v>935</v>
      </c>
      <c r="H86" s="543" t="s">
        <v>935</v>
      </c>
      <c r="I86" s="543">
        <v>30</v>
      </c>
      <c r="J86" s="543">
        <v>25</v>
      </c>
      <c r="K86" s="543">
        <v>15</v>
      </c>
      <c r="L86" s="543" t="s">
        <v>934</v>
      </c>
      <c r="M86" s="543" t="s">
        <v>934</v>
      </c>
    </row>
    <row r="87" spans="1:13" x14ac:dyDescent="0.3">
      <c r="A87" s="42"/>
      <c r="B87" s="42"/>
      <c r="C87" s="42"/>
      <c r="F87" s="88" t="str">
        <f>'G-1 All Habitats'!B86</f>
        <v>Woodland and forest - Felled</v>
      </c>
      <c r="G87" s="543" t="s">
        <v>935</v>
      </c>
      <c r="H87" s="543" t="s">
        <v>934</v>
      </c>
      <c r="I87" s="543" t="s">
        <v>934</v>
      </c>
      <c r="J87" s="543" t="s">
        <v>934</v>
      </c>
      <c r="K87" s="543" t="s">
        <v>934</v>
      </c>
      <c r="L87" s="543" t="s">
        <v>934</v>
      </c>
      <c r="M87" s="543" t="s">
        <v>934</v>
      </c>
    </row>
    <row r="88" spans="1:13" x14ac:dyDescent="0.3">
      <c r="A88" s="42"/>
      <c r="B88" s="42"/>
      <c r="C88" s="42"/>
      <c r="F88" s="88" t="str">
        <f>'G-1 All Habitats'!B87</f>
        <v>Woodland and forest - Lowland beech and yew woodland</v>
      </c>
      <c r="G88" s="543" t="s">
        <v>935</v>
      </c>
      <c r="H88" s="543" t="s">
        <v>935</v>
      </c>
      <c r="I88" s="543" t="s">
        <v>935</v>
      </c>
      <c r="J88" s="543">
        <v>25</v>
      </c>
      <c r="K88" s="543">
        <v>10</v>
      </c>
      <c r="L88" s="543" t="s">
        <v>934</v>
      </c>
      <c r="M88" s="543" t="s">
        <v>934</v>
      </c>
    </row>
    <row r="89" spans="1:13" x14ac:dyDescent="0.3">
      <c r="A89" s="42"/>
      <c r="B89" s="42"/>
      <c r="C89" s="42"/>
      <c r="F89" s="88" t="str">
        <f>'G-1 All Habitats'!B88</f>
        <v>Woodland and forest - Lowland mixed deciduous woodland</v>
      </c>
      <c r="G89" s="543" t="s">
        <v>935</v>
      </c>
      <c r="H89" s="543" t="s">
        <v>935</v>
      </c>
      <c r="I89" s="543" t="s">
        <v>935</v>
      </c>
      <c r="J89" s="543">
        <v>25</v>
      </c>
      <c r="K89" s="543">
        <v>10</v>
      </c>
      <c r="L89" s="543" t="s">
        <v>934</v>
      </c>
      <c r="M89" s="543" t="s">
        <v>934</v>
      </c>
    </row>
    <row r="90" spans="1:13" x14ac:dyDescent="0.3">
      <c r="A90" s="42"/>
      <c r="B90" s="42"/>
      <c r="C90" s="42"/>
      <c r="F90" s="88" t="str">
        <f>'G-1 All Habitats'!B89</f>
        <v>Woodland and forest - Native pine woodlands</v>
      </c>
      <c r="G90" s="543" t="s">
        <v>935</v>
      </c>
      <c r="H90" s="543" t="s">
        <v>935</v>
      </c>
      <c r="I90" s="543" t="s">
        <v>935</v>
      </c>
      <c r="J90" s="543">
        <v>25</v>
      </c>
      <c r="K90" s="543">
        <v>10</v>
      </c>
      <c r="L90" s="543" t="s">
        <v>934</v>
      </c>
      <c r="M90" s="543" t="s">
        <v>934</v>
      </c>
    </row>
    <row r="91" spans="1:13" x14ac:dyDescent="0.3">
      <c r="A91" s="42"/>
      <c r="B91" s="42"/>
      <c r="C91" s="42"/>
      <c r="F91" s="88" t="str">
        <f>'G-1 All Habitats'!B90</f>
        <v>Woodland and forest - Other coniferous woodland</v>
      </c>
      <c r="G91" s="543" t="s">
        <v>935</v>
      </c>
      <c r="H91" s="543" t="s">
        <v>935</v>
      </c>
      <c r="I91" s="543">
        <v>30</v>
      </c>
      <c r="J91" s="543">
        <v>10</v>
      </c>
      <c r="K91" s="543">
        <v>5</v>
      </c>
      <c r="L91" s="543" t="s">
        <v>934</v>
      </c>
      <c r="M91" s="543" t="s">
        <v>934</v>
      </c>
    </row>
    <row r="92" spans="1:13" x14ac:dyDescent="0.3">
      <c r="A92" s="42"/>
      <c r="B92" s="42"/>
      <c r="C92" s="42"/>
      <c r="F92" s="88" t="str">
        <f>'G-1 All Habitats'!B91</f>
        <v>Woodland and forest - Other Scot's Pine woodland</v>
      </c>
      <c r="G92" s="543" t="s">
        <v>935</v>
      </c>
      <c r="H92" s="543" t="s">
        <v>935</v>
      </c>
      <c r="I92" s="543" t="s">
        <v>935</v>
      </c>
      <c r="J92" s="543">
        <v>25</v>
      </c>
      <c r="K92" s="543">
        <v>10</v>
      </c>
      <c r="L92" s="543" t="s">
        <v>934</v>
      </c>
      <c r="M92" s="543" t="s">
        <v>934</v>
      </c>
    </row>
    <row r="93" spans="1:13" x14ac:dyDescent="0.3">
      <c r="A93" s="42"/>
      <c r="B93" s="42"/>
      <c r="C93" s="42"/>
      <c r="F93" s="88" t="str">
        <f>'G-1 All Habitats'!B92</f>
        <v>Woodland and forest - Other woodland; broadleaved</v>
      </c>
      <c r="G93" s="543" t="s">
        <v>935</v>
      </c>
      <c r="H93" s="543">
        <v>25</v>
      </c>
      <c r="I93" s="543">
        <v>15</v>
      </c>
      <c r="J93" s="543">
        <v>7</v>
      </c>
      <c r="K93" s="543">
        <v>5</v>
      </c>
      <c r="L93" s="543" t="s">
        <v>934</v>
      </c>
      <c r="M93" s="543" t="s">
        <v>934</v>
      </c>
    </row>
    <row r="94" spans="1:13" x14ac:dyDescent="0.3">
      <c r="A94" s="42"/>
      <c r="B94" s="42"/>
      <c r="C94" s="42"/>
      <c r="F94" s="88" t="str">
        <f>'G-1 All Habitats'!B93</f>
        <v>Woodland and forest - Other woodland; mixed</v>
      </c>
      <c r="G94" s="543" t="s">
        <v>935</v>
      </c>
      <c r="H94" s="543" t="s">
        <v>935</v>
      </c>
      <c r="I94" s="543">
        <v>30</v>
      </c>
      <c r="J94" s="543">
        <v>10</v>
      </c>
      <c r="K94" s="543">
        <v>5</v>
      </c>
      <c r="L94" s="543" t="s">
        <v>934</v>
      </c>
      <c r="M94" s="543" t="s">
        <v>934</v>
      </c>
    </row>
    <row r="95" spans="1:13" x14ac:dyDescent="0.3">
      <c r="A95" s="42"/>
      <c r="B95" s="42"/>
      <c r="C95" s="42"/>
      <c r="F95" s="88" t="str">
        <f>'G-1 All Habitats'!B94</f>
        <v>Woodland and forest - Upland birchwoods</v>
      </c>
      <c r="G95" s="543" t="s">
        <v>935</v>
      </c>
      <c r="H95" s="543">
        <v>30</v>
      </c>
      <c r="I95" s="543">
        <v>25</v>
      </c>
      <c r="J95" s="543">
        <v>20</v>
      </c>
      <c r="K95" s="543">
        <v>10</v>
      </c>
      <c r="L95" s="543" t="s">
        <v>934</v>
      </c>
      <c r="M95" s="543" t="s">
        <v>934</v>
      </c>
    </row>
    <row r="96" spans="1:13" x14ac:dyDescent="0.3">
      <c r="A96" s="42"/>
      <c r="B96" s="42"/>
      <c r="C96" s="42"/>
      <c r="F96" s="88" t="str">
        <f>'G-1 All Habitats'!B95</f>
        <v>Woodland and forest - Upland mixed ashwoods</v>
      </c>
      <c r="G96" s="543" t="s">
        <v>935</v>
      </c>
      <c r="H96" s="543" t="s">
        <v>935</v>
      </c>
      <c r="I96" s="543" t="s">
        <v>935</v>
      </c>
      <c r="J96" s="543">
        <v>25</v>
      </c>
      <c r="K96" s="543">
        <v>10</v>
      </c>
      <c r="L96" s="543" t="s">
        <v>934</v>
      </c>
      <c r="M96" s="543" t="s">
        <v>934</v>
      </c>
    </row>
    <row r="97" spans="1:13" x14ac:dyDescent="0.3">
      <c r="A97" s="42"/>
      <c r="B97" s="42"/>
      <c r="C97" s="42"/>
      <c r="F97" s="88" t="str">
        <f>'G-1 All Habitats'!B96</f>
        <v>Woodland and forest - Upland oakwood</v>
      </c>
      <c r="G97" s="543" t="s">
        <v>935</v>
      </c>
      <c r="H97" s="543" t="s">
        <v>935</v>
      </c>
      <c r="I97" s="543" t="s">
        <v>935</v>
      </c>
      <c r="J97" s="543">
        <v>25</v>
      </c>
      <c r="K97" s="543">
        <v>10</v>
      </c>
      <c r="L97" s="543" t="s">
        <v>934</v>
      </c>
      <c r="M97" s="543" t="s">
        <v>934</v>
      </c>
    </row>
    <row r="98" spans="1:13" x14ac:dyDescent="0.3">
      <c r="A98" s="42"/>
      <c r="B98" s="42"/>
      <c r="C98" s="42"/>
      <c r="F98" s="88" t="str">
        <f>'G-1 All Habitats'!B97</f>
        <v>Woodland and forest - Wet woodland</v>
      </c>
      <c r="G98" s="543" t="s">
        <v>935</v>
      </c>
      <c r="H98" s="543">
        <v>30</v>
      </c>
      <c r="I98" s="543">
        <v>15</v>
      </c>
      <c r="J98" s="543">
        <v>10</v>
      </c>
      <c r="K98" s="543">
        <v>5</v>
      </c>
      <c r="L98" s="543" t="s">
        <v>934</v>
      </c>
      <c r="M98" s="543" t="s">
        <v>934</v>
      </c>
    </row>
    <row r="99" spans="1:13" x14ac:dyDescent="0.3">
      <c r="F99" s="88" t="str">
        <f>'G-1 All Habitats'!B98</f>
        <v>Woodland and forest - Wood-pasture and parkland</v>
      </c>
      <c r="G99" s="543" t="s">
        <v>935</v>
      </c>
      <c r="H99" s="543" t="s">
        <v>935</v>
      </c>
      <c r="I99" s="543" t="s">
        <v>935</v>
      </c>
      <c r="J99" s="543">
        <v>25</v>
      </c>
      <c r="K99" s="543">
        <v>10</v>
      </c>
      <c r="L99" s="543" t="s">
        <v>934</v>
      </c>
      <c r="M99" s="543" t="s">
        <v>934</v>
      </c>
    </row>
    <row r="100" spans="1:13" x14ac:dyDescent="0.3">
      <c r="F100" s="88" t="str">
        <f>'G-1 All Habitats'!B99</f>
        <v>Coastal lagoons - Coastal lagoons</v>
      </c>
      <c r="G100" s="543">
        <v>10</v>
      </c>
      <c r="H100" s="543">
        <v>8</v>
      </c>
      <c r="I100" s="543">
        <v>5</v>
      </c>
      <c r="J100" s="543">
        <v>3</v>
      </c>
      <c r="K100" s="543">
        <v>1</v>
      </c>
      <c r="L100" s="543" t="s">
        <v>934</v>
      </c>
      <c r="M100" s="543" t="s">
        <v>934</v>
      </c>
    </row>
    <row r="101" spans="1:13" x14ac:dyDescent="0.3">
      <c r="F101" s="88" t="str">
        <f>'G-1 All Habitats'!B100</f>
        <v>Rocky shore - High energy littoral rock</v>
      </c>
      <c r="G101" s="543">
        <v>10</v>
      </c>
      <c r="H101" s="543">
        <v>7</v>
      </c>
      <c r="I101" s="543">
        <v>4</v>
      </c>
      <c r="J101" s="543">
        <v>2</v>
      </c>
      <c r="K101" s="543">
        <v>1</v>
      </c>
      <c r="L101" s="543" t="s">
        <v>934</v>
      </c>
      <c r="M101" s="543" t="s">
        <v>934</v>
      </c>
    </row>
    <row r="102" spans="1:13" x14ac:dyDescent="0.3">
      <c r="F102" s="88" t="str">
        <f>'G-1 All Habitats'!B101</f>
        <v>Rocky shore - High energy littoral rock - on peat, clay or chalk</v>
      </c>
      <c r="G102" s="543" t="s">
        <v>935</v>
      </c>
      <c r="H102" s="543" t="s">
        <v>935</v>
      </c>
      <c r="I102" s="543" t="s">
        <v>935</v>
      </c>
      <c r="J102" s="543" t="s">
        <v>935</v>
      </c>
      <c r="K102" s="543" t="s">
        <v>935</v>
      </c>
      <c r="L102" s="543" t="s">
        <v>934</v>
      </c>
      <c r="M102" s="543" t="s">
        <v>934</v>
      </c>
    </row>
    <row r="103" spans="1:13" x14ac:dyDescent="0.3">
      <c r="F103" s="88" t="str">
        <f>'G-1 All Habitats'!B102</f>
        <v>Rocky shore - Moderate energy littoral rock</v>
      </c>
      <c r="G103" s="543">
        <v>13</v>
      </c>
      <c r="H103" s="543">
        <v>8</v>
      </c>
      <c r="I103" s="543">
        <v>4</v>
      </c>
      <c r="J103" s="543">
        <v>2</v>
      </c>
      <c r="K103" s="543">
        <v>1</v>
      </c>
      <c r="L103" s="543" t="s">
        <v>934</v>
      </c>
      <c r="M103" s="543" t="s">
        <v>934</v>
      </c>
    </row>
    <row r="104" spans="1:13" x14ac:dyDescent="0.3">
      <c r="F104" s="88" t="str">
        <f>'G-1 All Habitats'!B103</f>
        <v>Rocky shore - Moderate energy littoral rock - on peat, clay or chalk</v>
      </c>
      <c r="G104" s="543" t="s">
        <v>935</v>
      </c>
      <c r="H104" s="543" t="s">
        <v>935</v>
      </c>
      <c r="I104" s="543" t="s">
        <v>935</v>
      </c>
      <c r="J104" s="543" t="s">
        <v>935</v>
      </c>
      <c r="K104" s="543" t="s">
        <v>935</v>
      </c>
      <c r="L104" s="543" t="s">
        <v>934</v>
      </c>
      <c r="M104" s="543" t="s">
        <v>934</v>
      </c>
    </row>
    <row r="105" spans="1:13" x14ac:dyDescent="0.3">
      <c r="F105" s="88" t="str">
        <f>'G-1 All Habitats'!B104</f>
        <v>Rocky shore - Low energy littoral rock</v>
      </c>
      <c r="G105" s="543">
        <v>15</v>
      </c>
      <c r="H105" s="543">
        <v>10</v>
      </c>
      <c r="I105" s="543">
        <v>5</v>
      </c>
      <c r="J105" s="543">
        <v>1</v>
      </c>
      <c r="K105" s="543">
        <v>1</v>
      </c>
      <c r="L105" s="543" t="s">
        <v>934</v>
      </c>
      <c r="M105" s="543" t="s">
        <v>934</v>
      </c>
    </row>
    <row r="106" spans="1:13" x14ac:dyDescent="0.3">
      <c r="F106" s="88" t="str">
        <f>'G-1 All Habitats'!B105</f>
        <v>Rocky shore - Low energy littoral rock - on peat, clay or chalk</v>
      </c>
      <c r="G106" s="543" t="s">
        <v>935</v>
      </c>
      <c r="H106" s="543" t="s">
        <v>935</v>
      </c>
      <c r="I106" s="543" t="s">
        <v>935</v>
      </c>
      <c r="J106" s="543" t="s">
        <v>935</v>
      </c>
      <c r="K106" s="543" t="s">
        <v>935</v>
      </c>
      <c r="L106" s="543" t="s">
        <v>934</v>
      </c>
      <c r="M106" s="543" t="s">
        <v>934</v>
      </c>
    </row>
    <row r="107" spans="1:13" x14ac:dyDescent="0.3">
      <c r="F107" s="88" t="str">
        <f>'G-1 All Habitats'!B106</f>
        <v>Rocky shore - Features of littoral rock</v>
      </c>
      <c r="G107" s="543">
        <v>13</v>
      </c>
      <c r="H107" s="543">
        <v>8</v>
      </c>
      <c r="I107" s="543">
        <v>4</v>
      </c>
      <c r="J107" s="543">
        <v>2</v>
      </c>
      <c r="K107" s="543">
        <v>1</v>
      </c>
      <c r="L107" s="543" t="s">
        <v>934</v>
      </c>
      <c r="M107" s="543" t="s">
        <v>934</v>
      </c>
    </row>
    <row r="108" spans="1:13" x14ac:dyDescent="0.3">
      <c r="F108" s="88" t="str">
        <f>'G-1 All Habitats'!B107</f>
        <v>Rocky shore - Features of littoral rock - on peat, clay or chalk</v>
      </c>
      <c r="G108" s="543" t="s">
        <v>935</v>
      </c>
      <c r="H108" s="543" t="s">
        <v>935</v>
      </c>
      <c r="I108" s="543" t="s">
        <v>935</v>
      </c>
      <c r="J108" s="543" t="s">
        <v>935</v>
      </c>
      <c r="K108" s="543" t="s">
        <v>935</v>
      </c>
      <c r="L108" s="543" t="s">
        <v>934</v>
      </c>
      <c r="M108" s="543" t="s">
        <v>934</v>
      </c>
    </row>
    <row r="109" spans="1:13" x14ac:dyDescent="0.3">
      <c r="F109" s="88" t="str">
        <f>'G-1 All Habitats'!B110</f>
        <v>Intertidal sediment - Littoral coarse sediment</v>
      </c>
      <c r="G109" s="543">
        <v>3</v>
      </c>
      <c r="H109" s="543">
        <v>2</v>
      </c>
      <c r="I109" s="543">
        <v>1</v>
      </c>
      <c r="J109" s="543">
        <v>1</v>
      </c>
      <c r="K109" s="543">
        <v>1</v>
      </c>
      <c r="L109" s="543" t="s">
        <v>934</v>
      </c>
      <c r="M109" s="543" t="s">
        <v>934</v>
      </c>
    </row>
    <row r="110" spans="1:13" x14ac:dyDescent="0.3">
      <c r="F110" s="88" t="str">
        <f>'G-1 All Habitats'!B111</f>
        <v>Intertidal sediment - Littoral mud</v>
      </c>
      <c r="G110" s="543">
        <v>6</v>
      </c>
      <c r="H110" s="543">
        <v>4</v>
      </c>
      <c r="I110" s="543">
        <v>3</v>
      </c>
      <c r="J110" s="543">
        <v>2</v>
      </c>
      <c r="K110" s="543">
        <v>1</v>
      </c>
      <c r="L110" s="543" t="s">
        <v>934</v>
      </c>
      <c r="M110" s="543" t="s">
        <v>934</v>
      </c>
    </row>
    <row r="111" spans="1:13" x14ac:dyDescent="0.3">
      <c r="F111" s="88" t="str">
        <f>'G-1 All Habitats'!B112</f>
        <v>Intertidal sediment - Littoral mixed sediments</v>
      </c>
      <c r="G111" s="543">
        <v>5</v>
      </c>
      <c r="H111" s="543">
        <v>4</v>
      </c>
      <c r="I111" s="543">
        <v>3</v>
      </c>
      <c r="J111" s="543">
        <v>2</v>
      </c>
      <c r="K111" s="543">
        <v>1</v>
      </c>
      <c r="L111" s="543" t="s">
        <v>934</v>
      </c>
      <c r="M111" s="543" t="s">
        <v>934</v>
      </c>
    </row>
    <row r="112" spans="1:13" x14ac:dyDescent="0.3">
      <c r="F112" s="88" t="str">
        <f>'G-1 All Habitats'!B108</f>
        <v>Coastal saltmarsh - Saltmarshes and saline reedbeds</v>
      </c>
      <c r="G112" s="543">
        <v>15</v>
      </c>
      <c r="H112" s="543">
        <v>10</v>
      </c>
      <c r="I112" s="543">
        <v>7</v>
      </c>
      <c r="J112" s="543">
        <v>3</v>
      </c>
      <c r="K112" s="543">
        <v>1</v>
      </c>
      <c r="L112" s="543" t="s">
        <v>934</v>
      </c>
      <c r="M112" s="543" t="s">
        <v>934</v>
      </c>
    </row>
    <row r="113" spans="6:13" x14ac:dyDescent="0.3">
      <c r="F113" s="88" t="str">
        <f>'G-1 All Habitats'!B109</f>
        <v>Coastal saltmarsh - Artificial saltmarshes and saline reedbeds</v>
      </c>
      <c r="G113" s="543">
        <v>15</v>
      </c>
      <c r="H113" s="543">
        <v>10</v>
      </c>
      <c r="I113" s="543">
        <v>7</v>
      </c>
      <c r="J113" s="543">
        <v>3</v>
      </c>
      <c r="K113" s="543">
        <v>1</v>
      </c>
      <c r="L113" s="543" t="s">
        <v>934</v>
      </c>
      <c r="M113" s="543" t="s">
        <v>934</v>
      </c>
    </row>
    <row r="114" spans="6:13" x14ac:dyDescent="0.3">
      <c r="F114" s="88" t="str">
        <f>'G-1 All Habitats'!B113</f>
        <v>Intertidal sediment - Littoral seagrass</v>
      </c>
      <c r="G114" s="543">
        <v>20</v>
      </c>
      <c r="H114" s="543">
        <v>15</v>
      </c>
      <c r="I114" s="543">
        <v>10</v>
      </c>
      <c r="J114" s="543">
        <v>5</v>
      </c>
      <c r="K114" s="543">
        <v>2</v>
      </c>
      <c r="L114" s="543" t="s">
        <v>934</v>
      </c>
      <c r="M114" s="543" t="s">
        <v>934</v>
      </c>
    </row>
    <row r="115" spans="6:13" x14ac:dyDescent="0.3">
      <c r="F115" s="88" t="str">
        <f>'G-1 All Habitats'!B114</f>
        <v>Intertidal sediment - Littoral seagrass on peat, clay or chalk</v>
      </c>
      <c r="G115" s="543" t="s">
        <v>935</v>
      </c>
      <c r="H115" s="543" t="s">
        <v>935</v>
      </c>
      <c r="I115" s="543" t="s">
        <v>935</v>
      </c>
      <c r="J115" s="543" t="s">
        <v>935</v>
      </c>
      <c r="K115" s="543" t="s">
        <v>935</v>
      </c>
      <c r="L115" s="543" t="s">
        <v>934</v>
      </c>
      <c r="M115" s="543" t="s">
        <v>934</v>
      </c>
    </row>
    <row r="116" spans="6:13" x14ac:dyDescent="0.3">
      <c r="F116" s="88" t="str">
        <f>'G-1 All Habitats'!B115</f>
        <v>Intertidal sediment - Littoral biogenic reefs - Mussels</v>
      </c>
      <c r="G116" s="543">
        <v>15</v>
      </c>
      <c r="H116" s="543">
        <v>10</v>
      </c>
      <c r="I116" s="543">
        <v>5</v>
      </c>
      <c r="J116" s="543">
        <v>3</v>
      </c>
      <c r="K116" s="543">
        <v>3</v>
      </c>
      <c r="L116" s="543" t="s">
        <v>934</v>
      </c>
      <c r="M116" s="543" t="s">
        <v>934</v>
      </c>
    </row>
    <row r="117" spans="6:13" x14ac:dyDescent="0.3">
      <c r="F117" s="88" t="str">
        <f>'G-1 All Habitats'!B116</f>
        <v>Intertidal sediment - Littoral biogenic reefs - Sabellaria</v>
      </c>
      <c r="G117" s="543">
        <v>15</v>
      </c>
      <c r="H117" s="543">
        <v>10</v>
      </c>
      <c r="I117" s="543">
        <v>5</v>
      </c>
      <c r="J117" s="543">
        <v>3</v>
      </c>
      <c r="K117" s="543">
        <v>3</v>
      </c>
      <c r="L117" s="543" t="s">
        <v>934</v>
      </c>
      <c r="M117" s="543" t="s">
        <v>934</v>
      </c>
    </row>
    <row r="118" spans="6:13" x14ac:dyDescent="0.3">
      <c r="F118" s="88" t="str">
        <f>'G-1 All Habitats'!B117</f>
        <v>Intertidal sediment - Features of littoral sediment</v>
      </c>
      <c r="G118" s="543">
        <v>10</v>
      </c>
      <c r="H118" s="543">
        <v>7</v>
      </c>
      <c r="I118" s="543">
        <v>5</v>
      </c>
      <c r="J118" s="543">
        <v>3</v>
      </c>
      <c r="K118" s="543">
        <v>3</v>
      </c>
      <c r="L118" s="543" t="s">
        <v>934</v>
      </c>
      <c r="M118" s="543" t="s">
        <v>934</v>
      </c>
    </row>
    <row r="119" spans="6:13" x14ac:dyDescent="0.3">
      <c r="F119" s="88" t="str">
        <f>'G-1 All Habitats'!B118</f>
        <v>Intertidal sediment - Artificial littoral coarse sediment</v>
      </c>
      <c r="G119" s="543">
        <v>3</v>
      </c>
      <c r="H119" s="543">
        <v>2</v>
      </c>
      <c r="I119" s="543">
        <v>1</v>
      </c>
      <c r="J119" s="543">
        <v>1</v>
      </c>
      <c r="K119" s="543">
        <v>1</v>
      </c>
      <c r="L119" s="543" t="s">
        <v>934</v>
      </c>
      <c r="M119" s="543" t="s">
        <v>934</v>
      </c>
    </row>
    <row r="120" spans="6:13" x14ac:dyDescent="0.3">
      <c r="F120" s="88" t="str">
        <f>'G-1 All Habitats'!B119</f>
        <v>Intertidal sediment - Artificial littoral mud</v>
      </c>
      <c r="G120" s="543">
        <v>6</v>
      </c>
      <c r="H120" s="543">
        <v>4</v>
      </c>
      <c r="I120" s="543">
        <v>3</v>
      </c>
      <c r="J120" s="543">
        <v>2</v>
      </c>
      <c r="K120" s="543">
        <v>1</v>
      </c>
      <c r="L120" s="543" t="s">
        <v>934</v>
      </c>
      <c r="M120" s="543" t="s">
        <v>934</v>
      </c>
    </row>
    <row r="121" spans="6:13" x14ac:dyDescent="0.3">
      <c r="F121" s="88" t="str">
        <f>'G-1 All Habitats'!B120</f>
        <v>Intertidal sediment - Artificial littoral sand</v>
      </c>
      <c r="G121" s="543">
        <v>4</v>
      </c>
      <c r="H121" s="543">
        <v>2</v>
      </c>
      <c r="I121" s="543">
        <v>1</v>
      </c>
      <c r="J121" s="543">
        <v>1</v>
      </c>
      <c r="K121" s="543">
        <v>1</v>
      </c>
      <c r="L121" s="543" t="s">
        <v>934</v>
      </c>
      <c r="M121" s="543" t="s">
        <v>934</v>
      </c>
    </row>
    <row r="122" spans="6:13" x14ac:dyDescent="0.3">
      <c r="F122" s="88" t="str">
        <f>'G-1 All Habitats'!B121</f>
        <v>Intertidal sediment - Artificial littoral muddy sand</v>
      </c>
      <c r="G122" s="543">
        <v>5</v>
      </c>
      <c r="H122" s="543">
        <v>4</v>
      </c>
      <c r="I122" s="543">
        <v>3</v>
      </c>
      <c r="J122" s="543">
        <v>2</v>
      </c>
      <c r="K122" s="543">
        <v>1</v>
      </c>
      <c r="L122" s="543" t="s">
        <v>934</v>
      </c>
      <c r="M122" s="543" t="s">
        <v>934</v>
      </c>
    </row>
    <row r="123" spans="6:13" x14ac:dyDescent="0.3">
      <c r="F123" s="88" t="str">
        <f>'G-1 All Habitats'!B122</f>
        <v>Intertidal sediment - Artificial littoral mixed sediments</v>
      </c>
      <c r="G123" s="543">
        <v>5</v>
      </c>
      <c r="H123" s="543">
        <v>4</v>
      </c>
      <c r="I123" s="543">
        <v>3</v>
      </c>
      <c r="J123" s="543">
        <v>2</v>
      </c>
      <c r="K123" s="543">
        <v>1</v>
      </c>
      <c r="L123" s="543" t="s">
        <v>934</v>
      </c>
      <c r="M123" s="543" t="s">
        <v>934</v>
      </c>
    </row>
    <row r="124" spans="6:13" x14ac:dyDescent="0.3">
      <c r="F124" s="88" t="str">
        <f>'G-1 All Habitats'!B123</f>
        <v>Intertidal sediment - Artificial littoral seagrass</v>
      </c>
      <c r="G124" s="543">
        <v>20</v>
      </c>
      <c r="H124" s="543">
        <v>15</v>
      </c>
      <c r="I124" s="543">
        <v>10</v>
      </c>
      <c r="J124" s="543">
        <v>5</v>
      </c>
      <c r="K124" s="543">
        <v>2</v>
      </c>
      <c r="L124" s="543" t="s">
        <v>934</v>
      </c>
      <c r="M124" s="543" t="s">
        <v>934</v>
      </c>
    </row>
    <row r="125" spans="6:13" x14ac:dyDescent="0.3">
      <c r="F125" s="88" t="str">
        <f>'G-1 All Habitats'!B124</f>
        <v>Intertidal sediment - Artificial littoral biogenic reefs</v>
      </c>
      <c r="G125" s="543">
        <v>15</v>
      </c>
      <c r="H125" s="543">
        <v>10</v>
      </c>
      <c r="I125" s="543">
        <v>5</v>
      </c>
      <c r="J125" s="543">
        <v>3</v>
      </c>
      <c r="K125" s="543">
        <v>3</v>
      </c>
      <c r="L125" s="543" t="s">
        <v>934</v>
      </c>
      <c r="M125" s="543" t="s">
        <v>934</v>
      </c>
    </row>
    <row r="126" spans="6:13" x14ac:dyDescent="0.3">
      <c r="F126" s="88" t="str">
        <f>'G-1 All Habitats'!B125</f>
        <v>Intertidal sediment - Littoral sand</v>
      </c>
      <c r="G126" s="543">
        <v>4</v>
      </c>
      <c r="H126" s="543">
        <v>2</v>
      </c>
      <c r="I126" s="543">
        <v>1</v>
      </c>
      <c r="J126" s="543">
        <v>1</v>
      </c>
      <c r="K126" s="543">
        <v>1</v>
      </c>
      <c r="L126" s="543" t="s">
        <v>934</v>
      </c>
      <c r="M126" s="543" t="s">
        <v>934</v>
      </c>
    </row>
    <row r="127" spans="6:13" x14ac:dyDescent="0.3">
      <c r="F127" s="88" t="str">
        <f>'G-1 All Habitats'!B126</f>
        <v>Intertidal sediment - Littoral muddy sand</v>
      </c>
      <c r="G127" s="543">
        <v>5</v>
      </c>
      <c r="H127" s="543">
        <v>4</v>
      </c>
      <c r="I127" s="543">
        <v>3</v>
      </c>
      <c r="J127" s="543">
        <v>2</v>
      </c>
      <c r="K127" s="543">
        <v>1</v>
      </c>
      <c r="L127" s="543" t="s">
        <v>934</v>
      </c>
      <c r="M127" s="543" t="s">
        <v>934</v>
      </c>
    </row>
    <row r="128" spans="6:13" x14ac:dyDescent="0.3">
      <c r="F128" s="88" t="str">
        <f>'G-1 All Habitats'!B127</f>
        <v>Intertidal Hard Structures - Artificial hard structures</v>
      </c>
      <c r="G128" s="543">
        <v>15</v>
      </c>
      <c r="H128" s="543">
        <v>10</v>
      </c>
      <c r="I128" s="543">
        <v>5</v>
      </c>
      <c r="J128" s="543">
        <v>2</v>
      </c>
      <c r="K128" s="543">
        <v>1</v>
      </c>
      <c r="L128" s="543" t="s">
        <v>934</v>
      </c>
      <c r="M128" s="543" t="s">
        <v>934</v>
      </c>
    </row>
    <row r="129" spans="6:13" x14ac:dyDescent="0.3">
      <c r="F129" s="88" t="str">
        <f>'G-1 All Habitats'!B128</f>
        <v>Intertidal Hard Structures - Artificial features of hard structures</v>
      </c>
      <c r="G129" s="543">
        <v>13</v>
      </c>
      <c r="H129" s="543">
        <v>8</v>
      </c>
      <c r="I129" s="543">
        <v>4</v>
      </c>
      <c r="J129" s="543">
        <v>2</v>
      </c>
      <c r="K129" s="543">
        <v>1</v>
      </c>
      <c r="L129" s="543" t="s">
        <v>934</v>
      </c>
      <c r="M129" s="543" t="s">
        <v>934</v>
      </c>
    </row>
    <row r="130" spans="6:13" x14ac:dyDescent="0.3">
      <c r="F130" s="88" t="str">
        <f>'G-1 All Habitats'!B129</f>
        <v>Intertidal Hard Structures - Artificial hard structures with Integrated Greening of Grey Infrastructure (IGGI)</v>
      </c>
      <c r="G130" s="543">
        <v>13</v>
      </c>
      <c r="H130" s="543">
        <v>8</v>
      </c>
      <c r="I130" s="543">
        <v>4</v>
      </c>
      <c r="J130" s="543">
        <v>2</v>
      </c>
      <c r="K130" s="543">
        <v>1</v>
      </c>
      <c r="L130" s="543" t="s">
        <v>934</v>
      </c>
      <c r="M130" s="543" t="s">
        <v>934</v>
      </c>
    </row>
    <row r="131" spans="6:13" x14ac:dyDescent="0.3"/>
    <row r="132" spans="6:13" x14ac:dyDescent="0.3"/>
    <row r="133" spans="6:13" x14ac:dyDescent="0.3"/>
    <row r="134" spans="6:13" x14ac:dyDescent="0.3"/>
    <row r="135" spans="6:13" x14ac:dyDescent="0.3"/>
    <row r="136" spans="6:13" x14ac:dyDescent="0.3"/>
    <row r="137" spans="6:13" x14ac:dyDescent="0.3"/>
    <row r="138" spans="6:13" x14ac:dyDescent="0.3"/>
    <row r="139" spans="6:13" x14ac:dyDescent="0.3"/>
    <row r="140" spans="6:13" x14ac:dyDescent="0.3"/>
    <row r="141" spans="6:13" x14ac:dyDescent="0.3"/>
    <row r="142" spans="6:13" x14ac:dyDescent="0.3"/>
    <row r="143" spans="6:13" x14ac:dyDescent="0.3"/>
    <row r="144" spans="6:13" x14ac:dyDescent="0.3"/>
    <row r="145" x14ac:dyDescent="0.3"/>
    <row r="146" x14ac:dyDescent="0.3"/>
    <row r="147" x14ac:dyDescent="0.3"/>
    <row r="148" x14ac:dyDescent="0.3"/>
    <row r="149" x14ac:dyDescent="0.3"/>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defaultColWidth="0" defaultRowHeight="14" zeroHeight="1" x14ac:dyDescent="0.3"/>
  <cols>
    <col min="1" max="1" width="3.54296875" style="31" customWidth="1"/>
    <col min="2" max="2" width="3.1796875" style="31" customWidth="1"/>
    <col min="3" max="3" width="88.81640625" style="31" bestFit="1" customWidth="1"/>
    <col min="4" max="4" width="18" style="42" customWidth="1"/>
    <col min="5" max="5" width="21.54296875" style="42" customWidth="1"/>
    <col min="6" max="6" width="17.81640625" style="42" customWidth="1"/>
    <col min="7" max="7" width="18.7265625" style="42" customWidth="1"/>
    <col min="8" max="8" width="18.81640625" style="42" customWidth="1"/>
    <col min="9" max="9" width="17.7265625" style="42" customWidth="1"/>
    <col min="10" max="14" width="17.453125" style="42" customWidth="1"/>
    <col min="15" max="15" width="14.453125" style="42" bestFit="1" customWidth="1"/>
    <col min="16" max="16" width="12.7265625" style="42" bestFit="1" customWidth="1"/>
    <col min="17" max="21" width="14.453125" style="42" bestFit="1" customWidth="1"/>
    <col min="22" max="22" width="14.26953125" style="42" bestFit="1" customWidth="1"/>
    <col min="23" max="23" width="13.1796875" style="42" bestFit="1" customWidth="1"/>
    <col min="24" max="24" width="14.453125" style="42" bestFit="1" customWidth="1"/>
    <col min="25" max="25" width="12.7265625" style="42" bestFit="1" customWidth="1"/>
    <col min="26" max="26" width="11.81640625" style="42" customWidth="1"/>
    <col min="27" max="30" width="11.81640625" style="31" customWidth="1"/>
    <col min="31" max="40" width="11.81640625" style="31" hidden="1" customWidth="1"/>
    <col min="41" max="16384" width="9.1796875" style="31" hidden="1"/>
  </cols>
  <sheetData>
    <row r="1" spans="3:25" ht="33.65" customHeight="1" x14ac:dyDescent="0.3">
      <c r="D1" s="31"/>
      <c r="E1" s="31"/>
      <c r="F1" s="31"/>
      <c r="G1" s="31"/>
      <c r="H1" s="31"/>
      <c r="I1" s="31"/>
      <c r="J1" s="31"/>
      <c r="K1" s="31"/>
      <c r="L1" s="31"/>
      <c r="M1" s="31"/>
      <c r="N1" s="31"/>
      <c r="O1" s="31"/>
      <c r="P1" s="31"/>
      <c r="Q1" s="31"/>
      <c r="R1" s="31"/>
      <c r="S1" s="31"/>
      <c r="T1" s="31"/>
      <c r="U1" s="31"/>
      <c r="V1" s="31"/>
      <c r="W1" s="31"/>
      <c r="X1" s="31"/>
      <c r="Y1" s="31"/>
    </row>
    <row r="2" spans="3:25" ht="42" x14ac:dyDescent="0.3">
      <c r="C2" s="279"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5" customHeight="1" x14ac:dyDescent="0.3">
      <c r="C3" s="279"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x14ac:dyDescent="0.3">
      <c r="C4" s="279"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x14ac:dyDescent="0.3">
      <c r="C5" s="88" t="str">
        <f>'G-1 All Habitats'!B3</f>
        <v>Cropland - Arable field margins cultivated annually</v>
      </c>
      <c r="D5" s="543" t="s">
        <v>934</v>
      </c>
      <c r="E5" s="543">
        <v>1</v>
      </c>
      <c r="F5" s="543" t="s">
        <v>934</v>
      </c>
      <c r="G5" s="543" t="s">
        <v>934</v>
      </c>
      <c r="H5" s="543" t="s">
        <v>934</v>
      </c>
      <c r="I5" s="543" t="s">
        <v>934</v>
      </c>
      <c r="J5" s="543" t="s">
        <v>934</v>
      </c>
      <c r="K5" s="543" t="s">
        <v>934</v>
      </c>
      <c r="L5" s="543" t="s">
        <v>934</v>
      </c>
      <c r="M5" s="543" t="s">
        <v>934</v>
      </c>
      <c r="N5" s="543" t="s">
        <v>934</v>
      </c>
      <c r="O5" s="543" t="s">
        <v>934</v>
      </c>
      <c r="P5" s="543" t="s">
        <v>934</v>
      </c>
      <c r="Q5" s="543" t="s">
        <v>934</v>
      </c>
      <c r="R5" s="543" t="s">
        <v>934</v>
      </c>
      <c r="S5" s="543" t="s">
        <v>934</v>
      </c>
      <c r="T5" s="543" t="s">
        <v>934</v>
      </c>
      <c r="U5" s="543" t="s">
        <v>934</v>
      </c>
      <c r="V5" s="543" t="s">
        <v>934</v>
      </c>
      <c r="W5" s="543" t="s">
        <v>934</v>
      </c>
      <c r="X5" s="543" t="s">
        <v>934</v>
      </c>
      <c r="Y5" s="543" t="s">
        <v>934</v>
      </c>
    </row>
    <row r="6" spans="3:25" x14ac:dyDescent="0.3">
      <c r="C6" s="88" t="str">
        <f>'G-1 All Habitats'!B4</f>
        <v>Cropland - Arable field margins game bird mix</v>
      </c>
      <c r="D6" s="543" t="s">
        <v>934</v>
      </c>
      <c r="E6" s="543">
        <v>1</v>
      </c>
      <c r="F6" s="543" t="s">
        <v>934</v>
      </c>
      <c r="G6" s="543" t="s">
        <v>934</v>
      </c>
      <c r="H6" s="543" t="s">
        <v>934</v>
      </c>
      <c r="I6" s="543" t="s">
        <v>934</v>
      </c>
      <c r="J6" s="543" t="s">
        <v>934</v>
      </c>
      <c r="K6" s="543" t="s">
        <v>934</v>
      </c>
      <c r="L6" s="543" t="s">
        <v>934</v>
      </c>
      <c r="M6" s="543" t="s">
        <v>934</v>
      </c>
      <c r="N6" s="543" t="s">
        <v>934</v>
      </c>
      <c r="O6" s="543" t="s">
        <v>934</v>
      </c>
      <c r="P6" s="543" t="s">
        <v>934</v>
      </c>
      <c r="Q6" s="543" t="s">
        <v>934</v>
      </c>
      <c r="R6" s="543" t="s">
        <v>934</v>
      </c>
      <c r="S6" s="543" t="s">
        <v>934</v>
      </c>
      <c r="T6" s="543" t="s">
        <v>934</v>
      </c>
      <c r="U6" s="543" t="s">
        <v>934</v>
      </c>
      <c r="V6" s="543" t="s">
        <v>934</v>
      </c>
      <c r="W6" s="543" t="s">
        <v>934</v>
      </c>
      <c r="X6" s="543" t="s">
        <v>934</v>
      </c>
      <c r="Y6" s="543" t="s">
        <v>934</v>
      </c>
    </row>
    <row r="7" spans="3:25" x14ac:dyDescent="0.3">
      <c r="C7" s="88" t="str">
        <f>'G-1 All Habitats'!B5</f>
        <v>Cropland - Arable field margins pollen &amp; nectar</v>
      </c>
      <c r="D7" s="543" t="s">
        <v>934</v>
      </c>
      <c r="E7" s="543">
        <v>1</v>
      </c>
      <c r="F7" s="543" t="s">
        <v>934</v>
      </c>
      <c r="G7" s="543" t="s">
        <v>934</v>
      </c>
      <c r="H7" s="543" t="s">
        <v>934</v>
      </c>
      <c r="I7" s="543" t="s">
        <v>934</v>
      </c>
      <c r="J7" s="543" t="s">
        <v>934</v>
      </c>
      <c r="K7" s="543" t="s">
        <v>934</v>
      </c>
      <c r="L7" s="543" t="s">
        <v>934</v>
      </c>
      <c r="M7" s="543" t="s">
        <v>934</v>
      </c>
      <c r="N7" s="543" t="s">
        <v>934</v>
      </c>
      <c r="O7" s="543" t="s">
        <v>934</v>
      </c>
      <c r="P7" s="543" t="s">
        <v>934</v>
      </c>
      <c r="Q7" s="543" t="s">
        <v>934</v>
      </c>
      <c r="R7" s="543" t="s">
        <v>934</v>
      </c>
      <c r="S7" s="543" t="s">
        <v>934</v>
      </c>
      <c r="T7" s="543" t="s">
        <v>934</v>
      </c>
      <c r="U7" s="543" t="s">
        <v>934</v>
      </c>
      <c r="V7" s="543" t="s">
        <v>934</v>
      </c>
      <c r="W7" s="543" t="s">
        <v>934</v>
      </c>
      <c r="X7" s="543" t="s">
        <v>934</v>
      </c>
      <c r="Y7" s="543" t="s">
        <v>934</v>
      </c>
    </row>
    <row r="8" spans="3:25" x14ac:dyDescent="0.3">
      <c r="C8" s="88" t="str">
        <f>'G-1 All Habitats'!B6</f>
        <v>Cropland - Arable field margins tussocky</v>
      </c>
      <c r="D8" s="543" t="s">
        <v>934</v>
      </c>
      <c r="E8" s="543">
        <v>1</v>
      </c>
      <c r="F8" s="543" t="s">
        <v>934</v>
      </c>
      <c r="G8" s="543" t="s">
        <v>934</v>
      </c>
      <c r="H8" s="543" t="s">
        <v>934</v>
      </c>
      <c r="I8" s="543" t="s">
        <v>934</v>
      </c>
      <c r="J8" s="543" t="s">
        <v>934</v>
      </c>
      <c r="K8" s="543" t="s">
        <v>934</v>
      </c>
      <c r="L8" s="543" t="s">
        <v>934</v>
      </c>
      <c r="M8" s="543" t="s">
        <v>934</v>
      </c>
      <c r="N8" s="543" t="s">
        <v>934</v>
      </c>
      <c r="O8" s="543" t="s">
        <v>934</v>
      </c>
      <c r="P8" s="543" t="s">
        <v>934</v>
      </c>
      <c r="Q8" s="543" t="s">
        <v>934</v>
      </c>
      <c r="R8" s="543" t="s">
        <v>934</v>
      </c>
      <c r="S8" s="543" t="s">
        <v>934</v>
      </c>
      <c r="T8" s="543" t="s">
        <v>934</v>
      </c>
      <c r="U8" s="543" t="s">
        <v>934</v>
      </c>
      <c r="V8" s="543" t="s">
        <v>934</v>
      </c>
      <c r="W8" s="543" t="s">
        <v>934</v>
      </c>
      <c r="X8" s="543" t="s">
        <v>934</v>
      </c>
      <c r="Y8" s="543" t="s">
        <v>934</v>
      </c>
    </row>
    <row r="9" spans="3:25" x14ac:dyDescent="0.3">
      <c r="C9" s="88" t="str">
        <f>'G-1 All Habitats'!B7</f>
        <v>Cropland - Cereal crops</v>
      </c>
      <c r="D9" s="543" t="s">
        <v>934</v>
      </c>
      <c r="E9" s="543" t="s">
        <v>934</v>
      </c>
      <c r="F9" s="543" t="s">
        <v>934</v>
      </c>
      <c r="G9" s="543" t="s">
        <v>934</v>
      </c>
      <c r="H9" s="543" t="s">
        <v>934</v>
      </c>
      <c r="I9" s="543" t="s">
        <v>934</v>
      </c>
      <c r="J9" s="543" t="s">
        <v>934</v>
      </c>
      <c r="K9" s="543" t="s">
        <v>934</v>
      </c>
      <c r="L9" s="543" t="s">
        <v>934</v>
      </c>
      <c r="M9" s="543" t="s">
        <v>934</v>
      </c>
      <c r="N9" s="543" t="s">
        <v>934</v>
      </c>
      <c r="O9" s="543" t="s">
        <v>934</v>
      </c>
      <c r="P9" s="543" t="s">
        <v>934</v>
      </c>
      <c r="Q9" s="543" t="s">
        <v>934</v>
      </c>
      <c r="R9" s="543" t="s">
        <v>934</v>
      </c>
      <c r="S9" s="543" t="s">
        <v>934</v>
      </c>
      <c r="T9" s="543" t="s">
        <v>934</v>
      </c>
      <c r="U9" s="543" t="s">
        <v>934</v>
      </c>
      <c r="V9" s="543" t="s">
        <v>934</v>
      </c>
      <c r="W9" s="543" t="s">
        <v>934</v>
      </c>
      <c r="X9" s="543" t="s">
        <v>934</v>
      </c>
      <c r="Y9" s="543" t="s">
        <v>934</v>
      </c>
    </row>
    <row r="10" spans="3:25" x14ac:dyDescent="0.3">
      <c r="C10" s="88" t="str">
        <f>'G-1 All Habitats'!B8</f>
        <v>Cropland - Cereal crops winter stubble</v>
      </c>
      <c r="D10" s="543" t="s">
        <v>934</v>
      </c>
      <c r="E10" s="543" t="s">
        <v>934</v>
      </c>
      <c r="F10" s="543" t="s">
        <v>934</v>
      </c>
      <c r="G10" s="543" t="s">
        <v>934</v>
      </c>
      <c r="H10" s="543" t="s">
        <v>934</v>
      </c>
      <c r="I10" s="543" t="s">
        <v>934</v>
      </c>
      <c r="J10" s="543" t="s">
        <v>934</v>
      </c>
      <c r="K10" s="543" t="s">
        <v>934</v>
      </c>
      <c r="L10" s="543" t="s">
        <v>934</v>
      </c>
      <c r="M10" s="543" t="s">
        <v>934</v>
      </c>
      <c r="N10" s="543" t="s">
        <v>934</v>
      </c>
      <c r="O10" s="543" t="s">
        <v>934</v>
      </c>
      <c r="P10" s="543" t="s">
        <v>934</v>
      </c>
      <c r="Q10" s="543" t="s">
        <v>934</v>
      </c>
      <c r="R10" s="543" t="s">
        <v>934</v>
      </c>
      <c r="S10" s="543" t="s">
        <v>934</v>
      </c>
      <c r="T10" s="543" t="s">
        <v>934</v>
      </c>
      <c r="U10" s="543" t="s">
        <v>934</v>
      </c>
      <c r="V10" s="543" t="s">
        <v>934</v>
      </c>
      <c r="W10" s="543" t="s">
        <v>934</v>
      </c>
      <c r="X10" s="543" t="s">
        <v>934</v>
      </c>
      <c r="Y10" s="543" t="s">
        <v>934</v>
      </c>
    </row>
    <row r="11" spans="3:25" x14ac:dyDescent="0.3">
      <c r="C11" s="88" t="str">
        <f>'G-1 All Habitats'!B9</f>
        <v>Cropland - Horticulture</v>
      </c>
      <c r="D11" s="543" t="s">
        <v>934</v>
      </c>
      <c r="E11" s="543" t="s">
        <v>934</v>
      </c>
      <c r="F11" s="543" t="s">
        <v>934</v>
      </c>
      <c r="G11" s="543" t="s">
        <v>934</v>
      </c>
      <c r="H11" s="543" t="s">
        <v>934</v>
      </c>
      <c r="I11" s="543" t="s">
        <v>934</v>
      </c>
      <c r="J11" s="543" t="s">
        <v>934</v>
      </c>
      <c r="K11" s="543" t="s">
        <v>934</v>
      </c>
      <c r="L11" s="543" t="s">
        <v>934</v>
      </c>
      <c r="M11" s="543" t="s">
        <v>934</v>
      </c>
      <c r="N11" s="543" t="s">
        <v>934</v>
      </c>
      <c r="O11" s="543" t="s">
        <v>934</v>
      </c>
      <c r="P11" s="543" t="s">
        <v>934</v>
      </c>
      <c r="Q11" s="543" t="s">
        <v>934</v>
      </c>
      <c r="R11" s="543" t="s">
        <v>934</v>
      </c>
      <c r="S11" s="543" t="s">
        <v>934</v>
      </c>
      <c r="T11" s="543" t="s">
        <v>934</v>
      </c>
      <c r="U11" s="543" t="s">
        <v>934</v>
      </c>
      <c r="V11" s="543" t="s">
        <v>934</v>
      </c>
      <c r="W11" s="543" t="s">
        <v>934</v>
      </c>
      <c r="X11" s="543" t="s">
        <v>934</v>
      </c>
      <c r="Y11" s="543" t="s">
        <v>934</v>
      </c>
    </row>
    <row r="12" spans="3:25" x14ac:dyDescent="0.3">
      <c r="C12" s="88" t="str">
        <f>'G-1 All Habitats'!B10</f>
        <v>Cropland - Intensive orchards</v>
      </c>
      <c r="D12" s="543" t="s">
        <v>934</v>
      </c>
      <c r="E12" s="543" t="s">
        <v>934</v>
      </c>
      <c r="F12" s="543" t="s">
        <v>934</v>
      </c>
      <c r="G12" s="543" t="s">
        <v>934</v>
      </c>
      <c r="H12" s="543" t="s">
        <v>934</v>
      </c>
      <c r="I12" s="543" t="s">
        <v>934</v>
      </c>
      <c r="J12" s="543" t="s">
        <v>934</v>
      </c>
      <c r="K12" s="543" t="s">
        <v>934</v>
      </c>
      <c r="L12" s="543" t="s">
        <v>934</v>
      </c>
      <c r="M12" s="543" t="s">
        <v>934</v>
      </c>
      <c r="N12" s="543" t="s">
        <v>934</v>
      </c>
      <c r="O12" s="543" t="s">
        <v>934</v>
      </c>
      <c r="P12" s="543" t="s">
        <v>934</v>
      </c>
      <c r="Q12" s="543" t="s">
        <v>934</v>
      </c>
      <c r="R12" s="543" t="s">
        <v>934</v>
      </c>
      <c r="S12" s="543" t="s">
        <v>934</v>
      </c>
      <c r="T12" s="543" t="s">
        <v>934</v>
      </c>
      <c r="U12" s="543" t="s">
        <v>934</v>
      </c>
      <c r="V12" s="543" t="s">
        <v>934</v>
      </c>
      <c r="W12" s="543" t="s">
        <v>934</v>
      </c>
      <c r="X12" s="543" t="s">
        <v>934</v>
      </c>
      <c r="Y12" s="543" t="s">
        <v>934</v>
      </c>
    </row>
    <row r="13" spans="3:25" x14ac:dyDescent="0.3">
      <c r="C13" s="88" t="str">
        <f>'G-1 All Habitats'!B11</f>
        <v>Cropland - Non-cereal crops</v>
      </c>
      <c r="D13" s="543" t="s">
        <v>934</v>
      </c>
      <c r="E13" s="543" t="s">
        <v>934</v>
      </c>
      <c r="F13" s="543" t="s">
        <v>934</v>
      </c>
      <c r="G13" s="543" t="s">
        <v>934</v>
      </c>
      <c r="H13" s="543" t="s">
        <v>934</v>
      </c>
      <c r="I13" s="543" t="s">
        <v>934</v>
      </c>
      <c r="J13" s="543" t="s">
        <v>934</v>
      </c>
      <c r="K13" s="543" t="s">
        <v>934</v>
      </c>
      <c r="L13" s="543" t="s">
        <v>934</v>
      </c>
      <c r="M13" s="543" t="s">
        <v>934</v>
      </c>
      <c r="N13" s="543" t="s">
        <v>934</v>
      </c>
      <c r="O13" s="543" t="s">
        <v>934</v>
      </c>
      <c r="P13" s="543" t="s">
        <v>934</v>
      </c>
      <c r="Q13" s="543" t="s">
        <v>934</v>
      </c>
      <c r="R13" s="543" t="s">
        <v>934</v>
      </c>
      <c r="S13" s="543" t="s">
        <v>934</v>
      </c>
      <c r="T13" s="543" t="s">
        <v>934</v>
      </c>
      <c r="U13" s="543" t="s">
        <v>934</v>
      </c>
      <c r="V13" s="543" t="s">
        <v>934</v>
      </c>
      <c r="W13" s="543" t="s">
        <v>934</v>
      </c>
      <c r="X13" s="543" t="s">
        <v>934</v>
      </c>
      <c r="Y13" s="543" t="s">
        <v>934</v>
      </c>
    </row>
    <row r="14" spans="3:25" x14ac:dyDescent="0.3">
      <c r="C14" s="88" t="str">
        <f>'G-1 All Habitats'!B12</f>
        <v>Cropland - Temporary grass and clover leys</v>
      </c>
      <c r="D14" s="543" t="s">
        <v>934</v>
      </c>
      <c r="E14" s="543" t="s">
        <v>934</v>
      </c>
      <c r="F14" s="543" t="s">
        <v>934</v>
      </c>
      <c r="G14" s="543" t="s">
        <v>934</v>
      </c>
      <c r="H14" s="543" t="s">
        <v>934</v>
      </c>
      <c r="I14" s="543" t="s">
        <v>934</v>
      </c>
      <c r="J14" s="543" t="s">
        <v>934</v>
      </c>
      <c r="K14" s="543" t="s">
        <v>934</v>
      </c>
      <c r="L14" s="543" t="s">
        <v>934</v>
      </c>
      <c r="M14" s="543" t="s">
        <v>934</v>
      </c>
      <c r="N14" s="543" t="s">
        <v>934</v>
      </c>
      <c r="O14" s="543" t="s">
        <v>934</v>
      </c>
      <c r="P14" s="543" t="s">
        <v>934</v>
      </c>
      <c r="Q14" s="543" t="s">
        <v>934</v>
      </c>
      <c r="R14" s="543" t="s">
        <v>934</v>
      </c>
      <c r="S14" s="543" t="s">
        <v>934</v>
      </c>
      <c r="T14" s="543" t="s">
        <v>934</v>
      </c>
      <c r="U14" s="543" t="s">
        <v>934</v>
      </c>
      <c r="V14" s="543" t="s">
        <v>934</v>
      </c>
      <c r="W14" s="543" t="s">
        <v>934</v>
      </c>
      <c r="X14" s="543" t="s">
        <v>934</v>
      </c>
      <c r="Y14" s="543" t="s">
        <v>934</v>
      </c>
    </row>
    <row r="15" spans="3:25" x14ac:dyDescent="0.3">
      <c r="C15" s="88" t="str">
        <f>'G-1 All Habitats'!B13</f>
        <v>Grassland - Traditional orchards</v>
      </c>
      <c r="D15" s="543" t="s">
        <v>934</v>
      </c>
      <c r="E15" s="543" t="s">
        <v>934</v>
      </c>
      <c r="F15" s="543">
        <v>5</v>
      </c>
      <c r="G15" s="543">
        <v>10</v>
      </c>
      <c r="H15" s="543">
        <v>20</v>
      </c>
      <c r="I15" s="543">
        <v>25</v>
      </c>
      <c r="J15" s="543">
        <v>30</v>
      </c>
      <c r="K15" s="543" t="s">
        <v>934</v>
      </c>
      <c r="L15" s="543" t="s">
        <v>934</v>
      </c>
      <c r="M15" s="543" t="s">
        <v>934</v>
      </c>
      <c r="N15" s="543" t="s">
        <v>934</v>
      </c>
      <c r="O15" s="543">
        <v>5</v>
      </c>
      <c r="P15" s="543">
        <v>15</v>
      </c>
      <c r="Q15" s="543">
        <v>20</v>
      </c>
      <c r="R15" s="543">
        <v>25</v>
      </c>
      <c r="S15" s="543">
        <v>10</v>
      </c>
      <c r="T15" s="543">
        <v>15</v>
      </c>
      <c r="U15" s="543">
        <v>20</v>
      </c>
      <c r="V15" s="543">
        <v>5</v>
      </c>
      <c r="W15" s="543">
        <v>10</v>
      </c>
      <c r="X15" s="543">
        <v>5</v>
      </c>
      <c r="Y15" s="543" t="s">
        <v>934</v>
      </c>
    </row>
    <row r="16" spans="3:25" x14ac:dyDescent="0.3">
      <c r="C16" s="88" t="str">
        <f>'G-1 All Habitats'!B14</f>
        <v>Grassland - Bracken</v>
      </c>
      <c r="D16" s="543" t="s">
        <v>934</v>
      </c>
      <c r="E16" s="543" t="s">
        <v>934</v>
      </c>
      <c r="F16" s="543">
        <v>1</v>
      </c>
      <c r="G16" s="543" t="s">
        <v>934</v>
      </c>
      <c r="H16" s="543" t="s">
        <v>934</v>
      </c>
      <c r="I16" s="543" t="s">
        <v>934</v>
      </c>
      <c r="J16" s="543" t="s">
        <v>934</v>
      </c>
      <c r="K16" s="543" t="s">
        <v>934</v>
      </c>
      <c r="L16" s="543" t="s">
        <v>934</v>
      </c>
      <c r="M16" s="543" t="s">
        <v>934</v>
      </c>
      <c r="N16" s="543" t="s">
        <v>934</v>
      </c>
      <c r="O16" s="543" t="s">
        <v>934</v>
      </c>
      <c r="P16" s="543" t="s">
        <v>934</v>
      </c>
      <c r="Q16" s="543" t="s">
        <v>934</v>
      </c>
      <c r="R16" s="543" t="s">
        <v>934</v>
      </c>
      <c r="S16" s="543" t="s">
        <v>934</v>
      </c>
      <c r="T16" s="543" t="s">
        <v>934</v>
      </c>
      <c r="U16" s="543" t="s">
        <v>934</v>
      </c>
      <c r="V16" s="543" t="s">
        <v>934</v>
      </c>
      <c r="W16" s="543" t="s">
        <v>934</v>
      </c>
      <c r="X16" s="543" t="s">
        <v>934</v>
      </c>
      <c r="Y16" s="543" t="s">
        <v>934</v>
      </c>
    </row>
    <row r="17" spans="3:25" x14ac:dyDescent="0.3">
      <c r="C17" s="88" t="str">
        <f>'G-1 All Habitats'!B15</f>
        <v>Grassland - Floodplain Wetland Mosaic (CFGM)</v>
      </c>
      <c r="D17" s="543" t="s">
        <v>934</v>
      </c>
      <c r="E17" s="543" t="s">
        <v>934</v>
      </c>
      <c r="F17" s="543">
        <v>5</v>
      </c>
      <c r="G17" s="543">
        <v>8</v>
      </c>
      <c r="H17" s="543">
        <v>10</v>
      </c>
      <c r="I17" s="543">
        <v>12</v>
      </c>
      <c r="J17" s="543">
        <v>15</v>
      </c>
      <c r="K17" s="543" t="s">
        <v>934</v>
      </c>
      <c r="L17" s="543" t="s">
        <v>934</v>
      </c>
      <c r="M17" s="543" t="s">
        <v>934</v>
      </c>
      <c r="N17" s="543" t="s">
        <v>934</v>
      </c>
      <c r="O17" s="543">
        <v>8</v>
      </c>
      <c r="P17" s="543">
        <v>10</v>
      </c>
      <c r="Q17" s="543">
        <v>12</v>
      </c>
      <c r="R17" s="543">
        <v>15</v>
      </c>
      <c r="S17" s="543">
        <v>2</v>
      </c>
      <c r="T17" s="543">
        <v>4</v>
      </c>
      <c r="U17" s="543">
        <v>7</v>
      </c>
      <c r="V17" s="543">
        <v>2</v>
      </c>
      <c r="W17" s="543">
        <v>4</v>
      </c>
      <c r="X17" s="543">
        <v>3</v>
      </c>
      <c r="Y17" s="543" t="s">
        <v>934</v>
      </c>
    </row>
    <row r="18" spans="3:25" x14ac:dyDescent="0.3">
      <c r="C18" s="88" t="str">
        <f>'G-1 All Habitats'!B16</f>
        <v>Grassland - Lowland calcareous grassland</v>
      </c>
      <c r="D18" s="543" t="s">
        <v>934</v>
      </c>
      <c r="E18" s="543" t="s">
        <v>934</v>
      </c>
      <c r="F18" s="543">
        <v>10</v>
      </c>
      <c r="G18" s="543">
        <v>15</v>
      </c>
      <c r="H18" s="543">
        <v>20</v>
      </c>
      <c r="I18" s="543">
        <v>25</v>
      </c>
      <c r="J18" s="543">
        <v>30</v>
      </c>
      <c r="K18" s="543" t="s">
        <v>934</v>
      </c>
      <c r="L18" s="543" t="s">
        <v>934</v>
      </c>
      <c r="M18" s="543" t="s">
        <v>934</v>
      </c>
      <c r="N18" s="543" t="s">
        <v>934</v>
      </c>
      <c r="O18" s="543">
        <v>5</v>
      </c>
      <c r="P18" s="543">
        <v>10</v>
      </c>
      <c r="Q18" s="543">
        <v>15</v>
      </c>
      <c r="R18" s="543">
        <v>20</v>
      </c>
      <c r="S18" s="543">
        <v>5</v>
      </c>
      <c r="T18" s="543">
        <v>10</v>
      </c>
      <c r="U18" s="543">
        <v>15</v>
      </c>
      <c r="V18" s="543">
        <v>5</v>
      </c>
      <c r="W18" s="543">
        <v>10</v>
      </c>
      <c r="X18" s="543">
        <v>5</v>
      </c>
      <c r="Y18" s="543" t="s">
        <v>934</v>
      </c>
    </row>
    <row r="19" spans="3:25" x14ac:dyDescent="0.3">
      <c r="C19" s="88" t="str">
        <f>'G-1 All Habitats'!B17</f>
        <v>Grassland - Lowland dry acid grassland</v>
      </c>
      <c r="D19" s="543" t="s">
        <v>934</v>
      </c>
      <c r="E19" s="543" t="s">
        <v>934</v>
      </c>
      <c r="F19" s="543">
        <v>10</v>
      </c>
      <c r="G19" s="543">
        <v>15</v>
      </c>
      <c r="H19" s="543">
        <v>20</v>
      </c>
      <c r="I19" s="543">
        <v>25</v>
      </c>
      <c r="J19" s="543" t="s">
        <v>935</v>
      </c>
      <c r="K19" s="543" t="s">
        <v>934</v>
      </c>
      <c r="L19" s="543" t="s">
        <v>934</v>
      </c>
      <c r="M19" s="543" t="s">
        <v>934</v>
      </c>
      <c r="N19" s="543" t="s">
        <v>934</v>
      </c>
      <c r="O19" s="543">
        <v>5</v>
      </c>
      <c r="P19" s="543">
        <v>15</v>
      </c>
      <c r="Q19" s="543">
        <v>20</v>
      </c>
      <c r="R19" s="543" t="s">
        <v>935</v>
      </c>
      <c r="S19" s="543">
        <v>8</v>
      </c>
      <c r="T19" s="543">
        <v>15</v>
      </c>
      <c r="U19" s="543">
        <v>25</v>
      </c>
      <c r="V19" s="543">
        <v>10</v>
      </c>
      <c r="W19" s="543">
        <v>20</v>
      </c>
      <c r="X19" s="543">
        <v>10</v>
      </c>
      <c r="Y19" s="543" t="s">
        <v>934</v>
      </c>
    </row>
    <row r="20" spans="3:25" x14ac:dyDescent="0.3">
      <c r="C20" s="88" t="str">
        <f>'G-1 All Habitats'!B18</f>
        <v>Grassland - Lowland meadows</v>
      </c>
      <c r="D20" s="543" t="s">
        <v>934</v>
      </c>
      <c r="E20" s="543" t="s">
        <v>934</v>
      </c>
      <c r="F20" s="543">
        <v>5</v>
      </c>
      <c r="G20" s="543">
        <v>8</v>
      </c>
      <c r="H20" s="543">
        <v>10</v>
      </c>
      <c r="I20" s="543">
        <v>12</v>
      </c>
      <c r="J20" s="543">
        <v>15</v>
      </c>
      <c r="K20" s="543" t="s">
        <v>934</v>
      </c>
      <c r="L20" s="543" t="s">
        <v>934</v>
      </c>
      <c r="M20" s="543" t="s">
        <v>934</v>
      </c>
      <c r="N20" s="543" t="s">
        <v>934</v>
      </c>
      <c r="O20" s="543">
        <v>4</v>
      </c>
      <c r="P20" s="543">
        <v>8</v>
      </c>
      <c r="Q20" s="543">
        <v>11</v>
      </c>
      <c r="R20" s="543">
        <v>15</v>
      </c>
      <c r="S20" s="543">
        <v>4</v>
      </c>
      <c r="T20" s="543">
        <v>8</v>
      </c>
      <c r="U20" s="543">
        <v>11</v>
      </c>
      <c r="V20" s="543">
        <v>4</v>
      </c>
      <c r="W20" s="543">
        <v>8</v>
      </c>
      <c r="X20" s="543">
        <v>4</v>
      </c>
      <c r="Y20" s="543" t="s">
        <v>934</v>
      </c>
    </row>
    <row r="21" spans="3:25" x14ac:dyDescent="0.3">
      <c r="C21" s="88" t="str">
        <f>'G-1 All Habitats'!B19</f>
        <v>Grassland - Modified grassland</v>
      </c>
      <c r="D21" s="543" t="s">
        <v>934</v>
      </c>
      <c r="E21" s="543">
        <v>1</v>
      </c>
      <c r="F21" s="543">
        <v>1</v>
      </c>
      <c r="G21" s="543">
        <v>5</v>
      </c>
      <c r="H21" s="543">
        <v>10</v>
      </c>
      <c r="I21" s="543">
        <v>12</v>
      </c>
      <c r="J21" s="543">
        <v>15</v>
      </c>
      <c r="K21" s="543" t="s">
        <v>934</v>
      </c>
      <c r="L21" s="543" t="s">
        <v>934</v>
      </c>
      <c r="M21" s="543" t="s">
        <v>934</v>
      </c>
      <c r="N21" s="543" t="s">
        <v>934</v>
      </c>
      <c r="O21" s="543">
        <v>5</v>
      </c>
      <c r="P21" s="543">
        <v>10</v>
      </c>
      <c r="Q21" s="543">
        <v>12</v>
      </c>
      <c r="R21" s="543">
        <v>15</v>
      </c>
      <c r="S21" s="543">
        <v>8</v>
      </c>
      <c r="T21" s="543">
        <v>10</v>
      </c>
      <c r="U21" s="543">
        <v>12</v>
      </c>
      <c r="V21" s="543">
        <v>8</v>
      </c>
      <c r="W21" s="543">
        <v>10</v>
      </c>
      <c r="X21" s="543">
        <v>8</v>
      </c>
      <c r="Y21" s="543" t="s">
        <v>934</v>
      </c>
    </row>
    <row r="22" spans="3:25" x14ac:dyDescent="0.3">
      <c r="C22" s="88" t="str">
        <f>'G-1 All Habitats'!B20</f>
        <v>Grassland - Other lowland acid grassland</v>
      </c>
      <c r="D22" s="543" t="s">
        <v>934</v>
      </c>
      <c r="E22" s="543" t="s">
        <v>934</v>
      </c>
      <c r="F22" s="543">
        <v>1</v>
      </c>
      <c r="G22" s="543">
        <v>5</v>
      </c>
      <c r="H22" s="543">
        <v>10</v>
      </c>
      <c r="I22" s="543">
        <v>12</v>
      </c>
      <c r="J22" s="543">
        <v>15</v>
      </c>
      <c r="K22" s="543" t="s">
        <v>934</v>
      </c>
      <c r="L22" s="543" t="s">
        <v>934</v>
      </c>
      <c r="M22" s="543" t="s">
        <v>934</v>
      </c>
      <c r="N22" s="543" t="s">
        <v>934</v>
      </c>
      <c r="O22" s="543">
        <v>5</v>
      </c>
      <c r="P22" s="543">
        <v>10</v>
      </c>
      <c r="Q22" s="543">
        <v>12</v>
      </c>
      <c r="R22" s="543">
        <v>15</v>
      </c>
      <c r="S22" s="543">
        <v>8</v>
      </c>
      <c r="T22" s="543">
        <v>10</v>
      </c>
      <c r="U22" s="543">
        <v>12</v>
      </c>
      <c r="V22" s="543">
        <v>8</v>
      </c>
      <c r="W22" s="543">
        <v>10</v>
      </c>
      <c r="X22" s="543">
        <v>8</v>
      </c>
      <c r="Y22" s="543" t="s">
        <v>934</v>
      </c>
    </row>
    <row r="23" spans="3:25" x14ac:dyDescent="0.3">
      <c r="C23" s="88" t="str">
        <f>'G-1 All Habitats'!B21</f>
        <v>Grassland - Other neutral grassland</v>
      </c>
      <c r="D23" s="543" t="s">
        <v>934</v>
      </c>
      <c r="E23" s="543" t="s">
        <v>934</v>
      </c>
      <c r="F23" s="543">
        <v>1</v>
      </c>
      <c r="G23" s="543">
        <v>5</v>
      </c>
      <c r="H23" s="543">
        <v>10</v>
      </c>
      <c r="I23" s="543">
        <v>12</v>
      </c>
      <c r="J23" s="543">
        <v>15</v>
      </c>
      <c r="K23" s="543" t="s">
        <v>934</v>
      </c>
      <c r="L23" s="543" t="s">
        <v>934</v>
      </c>
      <c r="M23" s="543" t="s">
        <v>934</v>
      </c>
      <c r="N23" s="543" t="s">
        <v>934</v>
      </c>
      <c r="O23" s="543">
        <v>5</v>
      </c>
      <c r="P23" s="543">
        <v>10</v>
      </c>
      <c r="Q23" s="543">
        <v>12</v>
      </c>
      <c r="R23" s="543">
        <v>15</v>
      </c>
      <c r="S23" s="543">
        <v>8</v>
      </c>
      <c r="T23" s="543">
        <v>10</v>
      </c>
      <c r="U23" s="543">
        <v>12</v>
      </c>
      <c r="V23" s="543">
        <v>8</v>
      </c>
      <c r="W23" s="543">
        <v>10</v>
      </c>
      <c r="X23" s="543">
        <v>8</v>
      </c>
      <c r="Y23" s="543" t="s">
        <v>934</v>
      </c>
    </row>
    <row r="24" spans="3:25" x14ac:dyDescent="0.3">
      <c r="C24" s="88" t="str">
        <f>'G-1 All Habitats'!B22</f>
        <v>Grassland - Tall herb communities (H6430)</v>
      </c>
      <c r="D24" s="543" t="s">
        <v>934</v>
      </c>
      <c r="E24" s="543" t="s">
        <v>934</v>
      </c>
      <c r="F24" s="543">
        <v>10</v>
      </c>
      <c r="G24" s="543">
        <v>15</v>
      </c>
      <c r="H24" s="543">
        <v>20</v>
      </c>
      <c r="I24" s="543">
        <v>25</v>
      </c>
      <c r="J24" s="543">
        <v>30</v>
      </c>
      <c r="K24" s="543" t="s">
        <v>934</v>
      </c>
      <c r="L24" s="543" t="s">
        <v>934</v>
      </c>
      <c r="M24" s="543" t="s">
        <v>934</v>
      </c>
      <c r="N24" s="543" t="s">
        <v>934</v>
      </c>
      <c r="O24" s="543">
        <v>10</v>
      </c>
      <c r="P24" s="543">
        <v>20</v>
      </c>
      <c r="Q24" s="543">
        <v>25</v>
      </c>
      <c r="R24" s="543">
        <v>30</v>
      </c>
      <c r="S24" s="543">
        <v>10</v>
      </c>
      <c r="T24" s="543">
        <v>10</v>
      </c>
      <c r="U24" s="543">
        <v>15</v>
      </c>
      <c r="V24" s="543">
        <v>5</v>
      </c>
      <c r="W24" s="543">
        <v>10</v>
      </c>
      <c r="X24" s="543">
        <v>5</v>
      </c>
      <c r="Y24" s="543" t="s">
        <v>934</v>
      </c>
    </row>
    <row r="25" spans="3:25" x14ac:dyDescent="0.3">
      <c r="C25" s="88" t="str">
        <f>'G-1 All Habitats'!B23</f>
        <v>Grassland - Upland acid grassland</v>
      </c>
      <c r="D25" s="543" t="s">
        <v>934</v>
      </c>
      <c r="E25" s="543" t="s">
        <v>934</v>
      </c>
      <c r="F25" s="543">
        <v>1</v>
      </c>
      <c r="G25" s="543">
        <v>5</v>
      </c>
      <c r="H25" s="543">
        <v>10</v>
      </c>
      <c r="I25" s="543">
        <v>12</v>
      </c>
      <c r="J25" s="543">
        <v>15</v>
      </c>
      <c r="K25" s="543" t="s">
        <v>934</v>
      </c>
      <c r="L25" s="543" t="s">
        <v>934</v>
      </c>
      <c r="M25" s="543" t="s">
        <v>934</v>
      </c>
      <c r="N25" s="543" t="s">
        <v>934</v>
      </c>
      <c r="O25" s="543">
        <v>5</v>
      </c>
      <c r="P25" s="543">
        <v>10</v>
      </c>
      <c r="Q25" s="543">
        <v>12</v>
      </c>
      <c r="R25" s="543">
        <v>15</v>
      </c>
      <c r="S25" s="543">
        <v>8</v>
      </c>
      <c r="T25" s="543">
        <v>10</v>
      </c>
      <c r="U25" s="543">
        <v>12</v>
      </c>
      <c r="V25" s="543">
        <v>8</v>
      </c>
      <c r="W25" s="543">
        <v>10</v>
      </c>
      <c r="X25" s="543">
        <v>8</v>
      </c>
      <c r="Y25" s="543" t="s">
        <v>934</v>
      </c>
    </row>
    <row r="26" spans="3:25" x14ac:dyDescent="0.3">
      <c r="C26" s="88" t="str">
        <f>'G-1 All Habitats'!B24</f>
        <v>Grassland - Upland calcareous grassland</v>
      </c>
      <c r="D26" s="543" t="s">
        <v>934</v>
      </c>
      <c r="E26" s="543" t="s">
        <v>934</v>
      </c>
      <c r="F26" s="543">
        <v>10</v>
      </c>
      <c r="G26" s="543">
        <v>12</v>
      </c>
      <c r="H26" s="543">
        <v>15</v>
      </c>
      <c r="I26" s="543">
        <v>20</v>
      </c>
      <c r="J26" s="543">
        <v>25</v>
      </c>
      <c r="K26" s="543" t="s">
        <v>934</v>
      </c>
      <c r="L26" s="543" t="s">
        <v>934</v>
      </c>
      <c r="M26" s="543" t="s">
        <v>934</v>
      </c>
      <c r="N26" s="543" t="s">
        <v>934</v>
      </c>
      <c r="O26" s="543">
        <v>10</v>
      </c>
      <c r="P26" s="543">
        <v>15</v>
      </c>
      <c r="Q26" s="543">
        <v>18</v>
      </c>
      <c r="R26" s="543">
        <v>20</v>
      </c>
      <c r="S26" s="543">
        <v>10</v>
      </c>
      <c r="T26" s="543">
        <v>15</v>
      </c>
      <c r="U26" s="543">
        <v>18</v>
      </c>
      <c r="V26" s="543">
        <v>10</v>
      </c>
      <c r="W26" s="543">
        <v>10</v>
      </c>
      <c r="X26" s="543">
        <v>10</v>
      </c>
      <c r="Y26" s="543" t="s">
        <v>934</v>
      </c>
    </row>
    <row r="27" spans="3:25" x14ac:dyDescent="0.3">
      <c r="C27" s="88" t="str">
        <f>'G-1 All Habitats'!B25</f>
        <v>Grassland - Upland hay meadows</v>
      </c>
      <c r="D27" s="543" t="s">
        <v>934</v>
      </c>
      <c r="E27" s="543" t="s">
        <v>934</v>
      </c>
      <c r="F27" s="543">
        <v>10</v>
      </c>
      <c r="G27" s="543">
        <v>12</v>
      </c>
      <c r="H27" s="543">
        <v>15</v>
      </c>
      <c r="I27" s="543">
        <v>18</v>
      </c>
      <c r="J27" s="543">
        <v>20</v>
      </c>
      <c r="K27" s="543" t="s">
        <v>934</v>
      </c>
      <c r="L27" s="543" t="s">
        <v>934</v>
      </c>
      <c r="M27" s="543" t="s">
        <v>934</v>
      </c>
      <c r="N27" s="543" t="s">
        <v>934</v>
      </c>
      <c r="O27" s="543">
        <v>10</v>
      </c>
      <c r="P27" s="543">
        <v>15</v>
      </c>
      <c r="Q27" s="543">
        <v>18</v>
      </c>
      <c r="R27" s="543">
        <v>20</v>
      </c>
      <c r="S27" s="543">
        <v>10</v>
      </c>
      <c r="T27" s="543">
        <v>15</v>
      </c>
      <c r="U27" s="543">
        <v>18</v>
      </c>
      <c r="V27" s="543">
        <v>10</v>
      </c>
      <c r="W27" s="543">
        <v>15</v>
      </c>
      <c r="X27" s="543">
        <v>10</v>
      </c>
      <c r="Y27" s="543" t="s">
        <v>934</v>
      </c>
    </row>
    <row r="28" spans="3:25" x14ac:dyDescent="0.3">
      <c r="C28" s="88" t="str">
        <f>'G-1 All Habitats'!B26</f>
        <v>Heathland and shrub - Blackthorn scrub</v>
      </c>
      <c r="D28" s="543" t="s">
        <v>934</v>
      </c>
      <c r="E28" s="543" t="s">
        <v>934</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934</v>
      </c>
    </row>
    <row r="29" spans="3:25" x14ac:dyDescent="0.3">
      <c r="C29" s="88" t="str">
        <f>'G-1 All Habitats'!B27</f>
        <v>Heathland and shrub - Bramble scrub</v>
      </c>
      <c r="D29" s="543" t="s">
        <v>934</v>
      </c>
      <c r="E29" s="543" t="s">
        <v>934</v>
      </c>
      <c r="F29" s="543">
        <v>1</v>
      </c>
      <c r="G29" s="543" t="s">
        <v>934</v>
      </c>
      <c r="H29" s="543" t="s">
        <v>934</v>
      </c>
      <c r="I29" s="543" t="s">
        <v>934</v>
      </c>
      <c r="J29" s="543" t="s">
        <v>934</v>
      </c>
      <c r="K29" s="543" t="s">
        <v>934</v>
      </c>
      <c r="L29" s="543" t="s">
        <v>934</v>
      </c>
      <c r="M29" s="543" t="s">
        <v>934</v>
      </c>
      <c r="N29" s="543" t="s">
        <v>934</v>
      </c>
      <c r="O29" s="543" t="s">
        <v>934</v>
      </c>
      <c r="P29" s="543" t="s">
        <v>934</v>
      </c>
      <c r="Q29" s="543" t="s">
        <v>934</v>
      </c>
      <c r="R29" s="543" t="s">
        <v>934</v>
      </c>
      <c r="S29" s="543" t="s">
        <v>934</v>
      </c>
      <c r="T29" s="543" t="s">
        <v>934</v>
      </c>
      <c r="U29" s="543" t="s">
        <v>934</v>
      </c>
      <c r="V29" s="543" t="s">
        <v>934</v>
      </c>
      <c r="W29" s="543" t="s">
        <v>934</v>
      </c>
      <c r="X29" s="543" t="s">
        <v>934</v>
      </c>
      <c r="Y29" s="543" t="s">
        <v>934</v>
      </c>
    </row>
    <row r="30" spans="3:25" x14ac:dyDescent="0.3">
      <c r="C30" s="88" t="str">
        <f>'G-1 All Habitats'!B28</f>
        <v>Heathland and shrub - Gorse scrub</v>
      </c>
      <c r="D30" s="543" t="s">
        <v>934</v>
      </c>
      <c r="E30" s="543" t="s">
        <v>934</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934</v>
      </c>
    </row>
    <row r="31" spans="3:25" x14ac:dyDescent="0.3">
      <c r="C31" s="88" t="str">
        <f>'G-1 All Habitats'!B29</f>
        <v>Heathland and shrub - Hawthorn scrub</v>
      </c>
      <c r="D31" s="543" t="s">
        <v>934</v>
      </c>
      <c r="E31" s="543" t="s">
        <v>934</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934</v>
      </c>
    </row>
    <row r="32" spans="3:25" x14ac:dyDescent="0.3">
      <c r="C32" s="88" t="str">
        <f>'G-1 All Habitats'!B30</f>
        <v>Heathland and shrub - Hazel scrub</v>
      </c>
      <c r="D32" s="543" t="s">
        <v>934</v>
      </c>
      <c r="E32" s="543" t="s">
        <v>934</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934</v>
      </c>
    </row>
    <row r="33" spans="3:25" x14ac:dyDescent="0.3">
      <c r="C33" s="88" t="str">
        <f>'G-1 All Habitats'!B31</f>
        <v>Heathland and shrub - Lowland Heathland</v>
      </c>
      <c r="D33" s="543" t="s">
        <v>934</v>
      </c>
      <c r="E33" s="543" t="s">
        <v>934</v>
      </c>
      <c r="F33" s="543">
        <v>10</v>
      </c>
      <c r="G33" s="543">
        <v>15</v>
      </c>
      <c r="H33" s="543">
        <v>20</v>
      </c>
      <c r="I33" s="543">
        <v>25</v>
      </c>
      <c r="J33" s="543" t="s">
        <v>935</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934</v>
      </c>
    </row>
    <row r="34" spans="3:25" x14ac:dyDescent="0.3">
      <c r="C34" s="88" t="str">
        <f>'G-1 All Habitats'!B32</f>
        <v>Heathland and shrub - Mixed scrub</v>
      </c>
      <c r="D34" s="543" t="s">
        <v>934</v>
      </c>
      <c r="E34" s="543" t="s">
        <v>934</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934</v>
      </c>
    </row>
    <row r="35" spans="3:25" x14ac:dyDescent="0.3">
      <c r="C35" s="88" t="str">
        <f>'G-1 All Habitats'!B33</f>
        <v>Heathland and shrub - Mountain heaths and willow scrub</v>
      </c>
      <c r="D35" s="543" t="s">
        <v>934</v>
      </c>
      <c r="E35" s="543" t="s">
        <v>934</v>
      </c>
      <c r="F35" s="543">
        <v>15</v>
      </c>
      <c r="G35" s="543">
        <v>23</v>
      </c>
      <c r="H35" s="543">
        <v>25</v>
      </c>
      <c r="I35" s="543" t="s">
        <v>935</v>
      </c>
      <c r="J35" s="543" t="s">
        <v>935</v>
      </c>
      <c r="K35" s="543">
        <v>20</v>
      </c>
      <c r="L35" s="543" t="s">
        <v>935</v>
      </c>
      <c r="M35" s="543" t="s">
        <v>935</v>
      </c>
      <c r="N35" s="543" t="s">
        <v>935</v>
      </c>
      <c r="O35" s="543">
        <v>20</v>
      </c>
      <c r="P35" s="543" t="s">
        <v>935</v>
      </c>
      <c r="Q35" s="543" t="s">
        <v>935</v>
      </c>
      <c r="R35" s="543" t="s">
        <v>935</v>
      </c>
      <c r="S35" s="543">
        <v>20</v>
      </c>
      <c r="T35" s="543" t="s">
        <v>935</v>
      </c>
      <c r="U35" s="543" t="s">
        <v>935</v>
      </c>
      <c r="V35" s="543">
        <v>20</v>
      </c>
      <c r="W35" s="543" t="s">
        <v>935</v>
      </c>
      <c r="X35" s="543">
        <v>20</v>
      </c>
      <c r="Y35" s="543" t="s">
        <v>934</v>
      </c>
    </row>
    <row r="36" spans="3:25" x14ac:dyDescent="0.3">
      <c r="C36" s="88" t="str">
        <f>'G-1 All Habitats'!B34</f>
        <v>Heathland and shrub - Rhododendron scrub</v>
      </c>
      <c r="D36" s="543" t="s">
        <v>934</v>
      </c>
      <c r="E36" s="543" t="s">
        <v>934</v>
      </c>
      <c r="F36" s="543">
        <v>1</v>
      </c>
      <c r="G36" s="543" t="s">
        <v>934</v>
      </c>
      <c r="H36" s="543" t="s">
        <v>934</v>
      </c>
      <c r="I36" s="543" t="s">
        <v>934</v>
      </c>
      <c r="J36" s="543" t="s">
        <v>934</v>
      </c>
      <c r="K36" s="543" t="s">
        <v>934</v>
      </c>
      <c r="L36" s="543" t="s">
        <v>934</v>
      </c>
      <c r="M36" s="543" t="s">
        <v>934</v>
      </c>
      <c r="N36" s="543" t="s">
        <v>934</v>
      </c>
      <c r="O36" s="543" t="s">
        <v>934</v>
      </c>
      <c r="P36" s="543" t="s">
        <v>934</v>
      </c>
      <c r="Q36" s="543" t="s">
        <v>934</v>
      </c>
      <c r="R36" s="543" t="s">
        <v>934</v>
      </c>
      <c r="S36" s="543" t="s">
        <v>934</v>
      </c>
      <c r="T36" s="543" t="s">
        <v>934</v>
      </c>
      <c r="U36" s="543" t="s">
        <v>934</v>
      </c>
      <c r="V36" s="543" t="s">
        <v>934</v>
      </c>
      <c r="W36" s="543" t="s">
        <v>934</v>
      </c>
      <c r="X36" s="543" t="s">
        <v>934</v>
      </c>
      <c r="Y36" s="543" t="s">
        <v>934</v>
      </c>
    </row>
    <row r="37" spans="3:25" x14ac:dyDescent="0.3">
      <c r="C37" s="88" t="str">
        <f>'G-1 All Habitats'!B35</f>
        <v>Heathland and shrub - Sea buckthorn scrub (Annex 1)</v>
      </c>
      <c r="D37" s="543" t="s">
        <v>934</v>
      </c>
      <c r="E37" s="543" t="s">
        <v>934</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934</v>
      </c>
    </row>
    <row r="38" spans="3:25" x14ac:dyDescent="0.3">
      <c r="C38" s="88" t="str">
        <f>'G-1 All Habitats'!B36</f>
        <v>Heathland and shrub - Sea buckthorn scrub (other)</v>
      </c>
      <c r="D38" s="543" t="s">
        <v>934</v>
      </c>
      <c r="E38" s="543" t="s">
        <v>934</v>
      </c>
      <c r="F38" s="543" t="s">
        <v>934</v>
      </c>
      <c r="G38" s="543" t="s">
        <v>934</v>
      </c>
      <c r="H38" s="543" t="s">
        <v>934</v>
      </c>
      <c r="I38" s="543" t="s">
        <v>934</v>
      </c>
      <c r="J38" s="543" t="s">
        <v>934</v>
      </c>
      <c r="K38" s="543" t="s">
        <v>934</v>
      </c>
      <c r="L38" s="543" t="s">
        <v>934</v>
      </c>
      <c r="M38" s="543" t="s">
        <v>934</v>
      </c>
      <c r="N38" s="543" t="s">
        <v>934</v>
      </c>
      <c r="O38" s="543" t="s">
        <v>934</v>
      </c>
      <c r="P38" s="543" t="s">
        <v>934</v>
      </c>
      <c r="Q38" s="543" t="s">
        <v>934</v>
      </c>
      <c r="R38" s="543" t="s">
        <v>934</v>
      </c>
      <c r="S38" s="543" t="s">
        <v>934</v>
      </c>
      <c r="T38" s="543" t="s">
        <v>934</v>
      </c>
      <c r="U38" s="543" t="s">
        <v>934</v>
      </c>
      <c r="V38" s="543" t="s">
        <v>934</v>
      </c>
      <c r="W38" s="543" t="s">
        <v>934</v>
      </c>
      <c r="X38" s="543" t="s">
        <v>934</v>
      </c>
      <c r="Y38" s="543" t="s">
        <v>934</v>
      </c>
    </row>
    <row r="39" spans="3:25" x14ac:dyDescent="0.3">
      <c r="C39" s="88" t="str">
        <f>'G-1 All Habitats'!B37</f>
        <v>Heathland and shrub - Upland Heathland</v>
      </c>
      <c r="D39" s="543" t="s">
        <v>934</v>
      </c>
      <c r="E39" s="543" t="s">
        <v>934</v>
      </c>
      <c r="F39" s="543">
        <v>10</v>
      </c>
      <c r="G39" s="543">
        <v>15</v>
      </c>
      <c r="H39" s="543">
        <v>20</v>
      </c>
      <c r="I39" s="543">
        <v>25</v>
      </c>
      <c r="J39" s="543">
        <v>30</v>
      </c>
      <c r="K39" s="543" t="s">
        <v>934</v>
      </c>
      <c r="L39" s="543" t="s">
        <v>934</v>
      </c>
      <c r="M39" s="543" t="s">
        <v>934</v>
      </c>
      <c r="N39" s="543" t="s">
        <v>934</v>
      </c>
      <c r="O39" s="543">
        <v>10</v>
      </c>
      <c r="P39" s="543">
        <v>20</v>
      </c>
      <c r="Q39" s="543">
        <v>30</v>
      </c>
      <c r="R39" s="543" t="s">
        <v>935</v>
      </c>
      <c r="S39" s="543">
        <v>10</v>
      </c>
      <c r="T39" s="543">
        <v>20</v>
      </c>
      <c r="U39" s="543">
        <v>30</v>
      </c>
      <c r="V39" s="543">
        <v>10</v>
      </c>
      <c r="W39" s="543">
        <v>20</v>
      </c>
      <c r="X39" s="543">
        <v>10</v>
      </c>
      <c r="Y39" s="543" t="s">
        <v>934</v>
      </c>
    </row>
    <row r="40" spans="3:25" x14ac:dyDescent="0.3">
      <c r="C40" s="88" t="str">
        <f>'G-1 All Habitats'!B38</f>
        <v>Lakes - Aquifer fed naturally fluctuating water bodies</v>
      </c>
      <c r="D40" s="543" t="s">
        <v>934</v>
      </c>
      <c r="E40" s="543" t="s">
        <v>934</v>
      </c>
      <c r="F40" s="543">
        <v>1</v>
      </c>
      <c r="G40" s="543">
        <v>10</v>
      </c>
      <c r="H40" s="543">
        <v>15</v>
      </c>
      <c r="I40" s="543">
        <v>20</v>
      </c>
      <c r="J40" s="543">
        <v>30</v>
      </c>
      <c r="K40" s="543" t="s">
        <v>934</v>
      </c>
      <c r="L40" s="543" t="s">
        <v>934</v>
      </c>
      <c r="M40" s="543" t="s">
        <v>934</v>
      </c>
      <c r="N40" s="543" t="s">
        <v>934</v>
      </c>
      <c r="O40" s="543">
        <v>5</v>
      </c>
      <c r="P40" s="543">
        <v>10</v>
      </c>
      <c r="Q40" s="543">
        <v>15</v>
      </c>
      <c r="R40" s="543">
        <v>30</v>
      </c>
      <c r="S40" s="543">
        <v>5</v>
      </c>
      <c r="T40" s="543">
        <v>15</v>
      </c>
      <c r="U40" s="543">
        <v>25</v>
      </c>
      <c r="V40" s="543">
        <v>5</v>
      </c>
      <c r="W40" s="543">
        <v>20</v>
      </c>
      <c r="X40" s="543">
        <v>5</v>
      </c>
      <c r="Y40" s="543" t="s">
        <v>934</v>
      </c>
    </row>
    <row r="41" spans="3:25" x14ac:dyDescent="0.3">
      <c r="C41" s="88" t="str">
        <f>'G-1 All Habitats'!B40</f>
        <v>Lakes - High alkalinity lakes</v>
      </c>
      <c r="D41" s="543" t="s">
        <v>934</v>
      </c>
      <c r="E41" s="543" t="s">
        <v>934</v>
      </c>
      <c r="F41" s="543">
        <v>2</v>
      </c>
      <c r="G41" s="543">
        <v>3</v>
      </c>
      <c r="H41" s="543">
        <v>5</v>
      </c>
      <c r="I41" s="543">
        <v>7</v>
      </c>
      <c r="J41" s="543">
        <v>10</v>
      </c>
      <c r="K41" s="543" t="s">
        <v>934</v>
      </c>
      <c r="L41" s="543" t="s">
        <v>934</v>
      </c>
      <c r="M41" s="543" t="s">
        <v>934</v>
      </c>
      <c r="N41" s="543" t="s">
        <v>934</v>
      </c>
      <c r="O41" s="543">
        <v>5</v>
      </c>
      <c r="P41" s="543">
        <v>10</v>
      </c>
      <c r="Q41" s="543">
        <v>15</v>
      </c>
      <c r="R41" s="543">
        <v>30</v>
      </c>
      <c r="S41" s="543">
        <v>5</v>
      </c>
      <c r="T41" s="543">
        <v>15</v>
      </c>
      <c r="U41" s="543">
        <v>25</v>
      </c>
      <c r="V41" s="543">
        <v>10</v>
      </c>
      <c r="W41" s="543">
        <v>20</v>
      </c>
      <c r="X41" s="543">
        <v>10</v>
      </c>
      <c r="Y41" s="543" t="s">
        <v>934</v>
      </c>
    </row>
    <row r="42" spans="3:25" x14ac:dyDescent="0.3">
      <c r="C42" s="88" t="str">
        <f>'G-1 All Habitats'!B41</f>
        <v>Lakes - Low alkalinity lakes</v>
      </c>
      <c r="D42" s="543" t="s">
        <v>934</v>
      </c>
      <c r="E42" s="543" t="s">
        <v>934</v>
      </c>
      <c r="F42" s="543">
        <v>5</v>
      </c>
      <c r="G42" s="543">
        <v>10</v>
      </c>
      <c r="H42" s="543">
        <v>15</v>
      </c>
      <c r="I42" s="543">
        <v>20</v>
      </c>
      <c r="J42" s="543">
        <v>30</v>
      </c>
      <c r="K42" s="543" t="s">
        <v>934</v>
      </c>
      <c r="L42" s="543" t="s">
        <v>934</v>
      </c>
      <c r="M42" s="543" t="s">
        <v>934</v>
      </c>
      <c r="N42" s="543" t="s">
        <v>934</v>
      </c>
      <c r="O42" s="543">
        <v>5</v>
      </c>
      <c r="P42" s="543">
        <v>10</v>
      </c>
      <c r="Q42" s="543">
        <v>15</v>
      </c>
      <c r="R42" s="543">
        <v>20</v>
      </c>
      <c r="S42" s="543">
        <v>5</v>
      </c>
      <c r="T42" s="543">
        <v>10</v>
      </c>
      <c r="U42" s="543">
        <v>15</v>
      </c>
      <c r="V42" s="543">
        <v>5</v>
      </c>
      <c r="W42" s="543">
        <v>10</v>
      </c>
      <c r="X42" s="543">
        <v>5</v>
      </c>
      <c r="Y42" s="543" t="s">
        <v>934</v>
      </c>
    </row>
    <row r="43" spans="3:25" x14ac:dyDescent="0.3">
      <c r="C43" s="88" t="str">
        <f>'G-1 All Habitats'!B42</f>
        <v>Lakes - Marl Lakes</v>
      </c>
      <c r="D43" s="543" t="s">
        <v>934</v>
      </c>
      <c r="E43" s="543" t="s">
        <v>934</v>
      </c>
      <c r="F43" s="543">
        <v>5</v>
      </c>
      <c r="G43" s="543">
        <v>7</v>
      </c>
      <c r="H43" s="543">
        <v>10</v>
      </c>
      <c r="I43" s="543">
        <v>15</v>
      </c>
      <c r="J43" s="543">
        <v>20</v>
      </c>
      <c r="K43" s="543" t="s">
        <v>934</v>
      </c>
      <c r="L43" s="543" t="s">
        <v>934</v>
      </c>
      <c r="M43" s="543" t="s">
        <v>934</v>
      </c>
      <c r="N43" s="543" t="s">
        <v>934</v>
      </c>
      <c r="O43" s="543">
        <v>5</v>
      </c>
      <c r="P43" s="543">
        <v>10</v>
      </c>
      <c r="Q43" s="543">
        <v>15</v>
      </c>
      <c r="R43" s="543">
        <v>30</v>
      </c>
      <c r="S43" s="543">
        <v>5</v>
      </c>
      <c r="T43" s="543">
        <v>15</v>
      </c>
      <c r="U43" s="543">
        <v>25</v>
      </c>
      <c r="V43" s="543">
        <v>10</v>
      </c>
      <c r="W43" s="543">
        <v>20</v>
      </c>
      <c r="X43" s="543">
        <v>10</v>
      </c>
      <c r="Y43" s="543" t="s">
        <v>934</v>
      </c>
    </row>
    <row r="44" spans="3:25" x14ac:dyDescent="0.3">
      <c r="C44" s="88" t="str">
        <f>'G-1 All Habitats'!B43</f>
        <v>Lakes - Moderate alkalinity lakes</v>
      </c>
      <c r="D44" s="543" t="s">
        <v>934</v>
      </c>
      <c r="E44" s="543" t="s">
        <v>934</v>
      </c>
      <c r="F44" s="543">
        <v>5</v>
      </c>
      <c r="G44" s="543">
        <v>7</v>
      </c>
      <c r="H44" s="543">
        <v>10</v>
      </c>
      <c r="I44" s="543">
        <v>15</v>
      </c>
      <c r="J44" s="543">
        <v>20</v>
      </c>
      <c r="K44" s="543" t="s">
        <v>934</v>
      </c>
      <c r="L44" s="543" t="s">
        <v>934</v>
      </c>
      <c r="M44" s="543" t="s">
        <v>934</v>
      </c>
      <c r="N44" s="543" t="s">
        <v>934</v>
      </c>
      <c r="O44" s="543">
        <v>5</v>
      </c>
      <c r="P44" s="543">
        <v>10</v>
      </c>
      <c r="Q44" s="543">
        <v>15</v>
      </c>
      <c r="R44" s="543">
        <v>30</v>
      </c>
      <c r="S44" s="543">
        <v>5</v>
      </c>
      <c r="T44" s="543">
        <v>15</v>
      </c>
      <c r="U44" s="543">
        <v>25</v>
      </c>
      <c r="V44" s="543">
        <v>10</v>
      </c>
      <c r="W44" s="543">
        <v>20</v>
      </c>
      <c r="X44" s="543">
        <v>10</v>
      </c>
      <c r="Y44" s="543" t="s">
        <v>934</v>
      </c>
    </row>
    <row r="45" spans="3:25" x14ac:dyDescent="0.3">
      <c r="C45" s="88" t="str">
        <f>'G-1 All Habitats'!B44</f>
        <v>Lakes - Peat Lakes</v>
      </c>
      <c r="D45" s="543" t="s">
        <v>934</v>
      </c>
      <c r="E45" s="543" t="s">
        <v>934</v>
      </c>
      <c r="F45" s="543">
        <v>5</v>
      </c>
      <c r="G45" s="543">
        <v>10</v>
      </c>
      <c r="H45" s="543">
        <v>15</v>
      </c>
      <c r="I45" s="543">
        <v>20</v>
      </c>
      <c r="J45" s="543">
        <v>30</v>
      </c>
      <c r="K45" s="543" t="s">
        <v>934</v>
      </c>
      <c r="L45" s="543" t="s">
        <v>934</v>
      </c>
      <c r="M45" s="543" t="s">
        <v>934</v>
      </c>
      <c r="N45" s="543" t="s">
        <v>934</v>
      </c>
      <c r="O45" s="543">
        <v>5</v>
      </c>
      <c r="P45" s="543">
        <v>10</v>
      </c>
      <c r="Q45" s="543">
        <v>15</v>
      </c>
      <c r="R45" s="543">
        <v>30</v>
      </c>
      <c r="S45" s="543">
        <v>5</v>
      </c>
      <c r="T45" s="543">
        <v>15</v>
      </c>
      <c r="U45" s="543">
        <v>25</v>
      </c>
      <c r="V45" s="543">
        <v>10</v>
      </c>
      <c r="W45" s="543">
        <v>20</v>
      </c>
      <c r="X45" s="543">
        <v>10</v>
      </c>
      <c r="Y45" s="543" t="s">
        <v>934</v>
      </c>
    </row>
    <row r="46" spans="3:25" x14ac:dyDescent="0.3">
      <c r="C46" s="88" t="str">
        <f>'G-1 All Habitats'!B45</f>
        <v>Lakes - Ponds (Priority Habitat)</v>
      </c>
      <c r="D46" s="543" t="s">
        <v>934</v>
      </c>
      <c r="E46" s="543" t="s">
        <v>934</v>
      </c>
      <c r="F46" s="543">
        <v>2</v>
      </c>
      <c r="G46" s="543">
        <v>3</v>
      </c>
      <c r="H46" s="543">
        <v>5</v>
      </c>
      <c r="I46" s="543">
        <v>7</v>
      </c>
      <c r="J46" s="543">
        <v>10</v>
      </c>
      <c r="K46" s="543" t="s">
        <v>934</v>
      </c>
      <c r="L46" s="543" t="s">
        <v>934</v>
      </c>
      <c r="M46" s="543" t="s">
        <v>934</v>
      </c>
      <c r="N46" s="543" t="s">
        <v>934</v>
      </c>
      <c r="O46" s="543">
        <v>2</v>
      </c>
      <c r="P46" s="543">
        <v>4</v>
      </c>
      <c r="Q46" s="543">
        <v>6</v>
      </c>
      <c r="R46" s="543">
        <v>8</v>
      </c>
      <c r="S46" s="543">
        <v>2</v>
      </c>
      <c r="T46" s="543">
        <v>4</v>
      </c>
      <c r="U46" s="543">
        <v>6</v>
      </c>
      <c r="V46" s="543">
        <v>2</v>
      </c>
      <c r="W46" s="543">
        <v>4</v>
      </c>
      <c r="X46" s="543">
        <v>2</v>
      </c>
      <c r="Y46" s="543" t="s">
        <v>934</v>
      </c>
    </row>
    <row r="47" spans="3:25" x14ac:dyDescent="0.3">
      <c r="C47" s="88" t="str">
        <f>'G-1 All Habitats'!B46</f>
        <v>Lakes - Ponds (Non- Priority Habitat)</v>
      </c>
      <c r="D47" s="543" t="s">
        <v>934</v>
      </c>
      <c r="E47" s="543" t="s">
        <v>934</v>
      </c>
      <c r="F47" s="543">
        <v>1</v>
      </c>
      <c r="G47" s="543">
        <v>2</v>
      </c>
      <c r="H47" s="543">
        <v>3</v>
      </c>
      <c r="I47" s="543">
        <v>4</v>
      </c>
      <c r="J47" s="543">
        <v>5</v>
      </c>
      <c r="K47" s="543" t="s">
        <v>934</v>
      </c>
      <c r="L47" s="543" t="s">
        <v>934</v>
      </c>
      <c r="M47" s="543" t="s">
        <v>934</v>
      </c>
      <c r="N47" s="543" t="s">
        <v>934</v>
      </c>
      <c r="O47" s="543">
        <v>2</v>
      </c>
      <c r="P47" s="543">
        <v>4</v>
      </c>
      <c r="Q47" s="543">
        <v>6</v>
      </c>
      <c r="R47" s="543">
        <v>8</v>
      </c>
      <c r="S47" s="543">
        <v>2</v>
      </c>
      <c r="T47" s="543">
        <v>4</v>
      </c>
      <c r="U47" s="543">
        <v>6</v>
      </c>
      <c r="V47" s="543">
        <v>2</v>
      </c>
      <c r="W47" s="543">
        <v>4</v>
      </c>
      <c r="X47" s="543">
        <v>2</v>
      </c>
      <c r="Y47" s="543" t="s">
        <v>934</v>
      </c>
    </row>
    <row r="48" spans="3:25" x14ac:dyDescent="0.3">
      <c r="C48" s="88" t="str">
        <f>'G-1 All Habitats'!B47</f>
        <v>Lakes - Reservoirs</v>
      </c>
      <c r="D48" s="543" t="s">
        <v>934</v>
      </c>
      <c r="E48" s="543" t="s">
        <v>934</v>
      </c>
      <c r="F48" s="543">
        <v>1</v>
      </c>
      <c r="G48" s="543">
        <v>3</v>
      </c>
      <c r="H48" s="543">
        <v>5</v>
      </c>
      <c r="I48" s="543">
        <v>7</v>
      </c>
      <c r="J48" s="543">
        <v>10</v>
      </c>
      <c r="K48" s="543" t="s">
        <v>934</v>
      </c>
      <c r="L48" s="543" t="s">
        <v>934</v>
      </c>
      <c r="M48" s="543" t="s">
        <v>934</v>
      </c>
      <c r="N48" s="543" t="s">
        <v>934</v>
      </c>
      <c r="O48" s="543">
        <v>5</v>
      </c>
      <c r="P48" s="543">
        <v>10</v>
      </c>
      <c r="Q48" s="543">
        <v>15</v>
      </c>
      <c r="R48" s="543">
        <v>30</v>
      </c>
      <c r="S48" s="543">
        <v>5</v>
      </c>
      <c r="T48" s="543">
        <v>15</v>
      </c>
      <c r="U48" s="543">
        <v>25</v>
      </c>
      <c r="V48" s="543">
        <v>10</v>
      </c>
      <c r="W48" s="543">
        <v>20</v>
      </c>
      <c r="X48" s="543">
        <v>10</v>
      </c>
      <c r="Y48" s="543" t="s">
        <v>934</v>
      </c>
    </row>
    <row r="49" spans="3:25" x14ac:dyDescent="0.3">
      <c r="C49" s="88" t="str">
        <f>'G-1 All Habitats'!B48</f>
        <v>Lakes - Temporary lakes, ponds and pools</v>
      </c>
      <c r="D49" s="543" t="s">
        <v>934</v>
      </c>
      <c r="E49" s="543" t="s">
        <v>934</v>
      </c>
      <c r="F49" s="543">
        <v>2</v>
      </c>
      <c r="G49" s="543">
        <v>3</v>
      </c>
      <c r="H49" s="543">
        <v>5</v>
      </c>
      <c r="I49" s="543">
        <v>7</v>
      </c>
      <c r="J49" s="543">
        <v>10</v>
      </c>
      <c r="K49" s="543" t="s">
        <v>934</v>
      </c>
      <c r="L49" s="543" t="s">
        <v>934</v>
      </c>
      <c r="M49" s="543" t="s">
        <v>934</v>
      </c>
      <c r="N49" s="543" t="s">
        <v>934</v>
      </c>
      <c r="O49" s="543">
        <v>2</v>
      </c>
      <c r="P49" s="543">
        <v>4</v>
      </c>
      <c r="Q49" s="543">
        <v>6</v>
      </c>
      <c r="R49" s="543">
        <v>8</v>
      </c>
      <c r="S49" s="543">
        <v>2</v>
      </c>
      <c r="T49" s="543">
        <v>4</v>
      </c>
      <c r="U49" s="543">
        <v>6</v>
      </c>
      <c r="V49" s="543">
        <v>2</v>
      </c>
      <c r="W49" s="543">
        <v>4</v>
      </c>
      <c r="X49" s="543">
        <v>2</v>
      </c>
      <c r="Y49" s="543" t="s">
        <v>934</v>
      </c>
    </row>
    <row r="50" spans="3:25" x14ac:dyDescent="0.3">
      <c r="C50" s="88" t="str">
        <f>'G-1 All Habitats'!B49</f>
        <v>Sparsely vegetated land - Calaminarian grasslands</v>
      </c>
      <c r="D50" s="543" t="s">
        <v>934</v>
      </c>
      <c r="E50" s="543" t="s">
        <v>934</v>
      </c>
      <c r="F50" s="543">
        <v>2</v>
      </c>
      <c r="G50" s="543">
        <v>3</v>
      </c>
      <c r="H50" s="543">
        <v>5</v>
      </c>
      <c r="I50" s="543">
        <v>7</v>
      </c>
      <c r="J50" s="543">
        <v>10</v>
      </c>
      <c r="K50" s="543" t="s">
        <v>934</v>
      </c>
      <c r="L50" s="543" t="s">
        <v>934</v>
      </c>
      <c r="M50" s="543" t="s">
        <v>934</v>
      </c>
      <c r="N50" s="543" t="s">
        <v>934</v>
      </c>
      <c r="O50" s="543">
        <v>1</v>
      </c>
      <c r="P50" s="543">
        <v>3</v>
      </c>
      <c r="Q50" s="543">
        <v>5</v>
      </c>
      <c r="R50" s="543">
        <v>8</v>
      </c>
      <c r="S50" s="543">
        <v>1</v>
      </c>
      <c r="T50" s="543">
        <v>4</v>
      </c>
      <c r="U50" s="543">
        <v>7</v>
      </c>
      <c r="V50" s="543">
        <v>2</v>
      </c>
      <c r="W50" s="543">
        <v>5</v>
      </c>
      <c r="X50" s="543">
        <v>3</v>
      </c>
      <c r="Y50" s="543" t="s">
        <v>934</v>
      </c>
    </row>
    <row r="51" spans="3:25" x14ac:dyDescent="0.3">
      <c r="C51" s="88" t="str">
        <f>'G-1 All Habitats'!B50</f>
        <v>Sparsely vegetated land - Coastal sand dunes</v>
      </c>
      <c r="D51" s="543" t="s">
        <v>934</v>
      </c>
      <c r="E51" s="543" t="s">
        <v>934</v>
      </c>
      <c r="F51" s="543">
        <v>5</v>
      </c>
      <c r="G51" s="543">
        <v>7</v>
      </c>
      <c r="H51" s="543">
        <v>10</v>
      </c>
      <c r="I51" s="543">
        <v>15</v>
      </c>
      <c r="J51" s="543">
        <v>20</v>
      </c>
      <c r="K51" s="543" t="s">
        <v>934</v>
      </c>
      <c r="L51" s="543" t="s">
        <v>934</v>
      </c>
      <c r="M51" s="543" t="s">
        <v>934</v>
      </c>
      <c r="N51" s="543" t="s">
        <v>934</v>
      </c>
      <c r="O51" s="543">
        <v>5</v>
      </c>
      <c r="P51" s="543">
        <v>8</v>
      </c>
      <c r="Q51" s="543">
        <v>15</v>
      </c>
      <c r="R51" s="543">
        <v>20</v>
      </c>
      <c r="S51" s="543">
        <v>5</v>
      </c>
      <c r="T51" s="543">
        <v>10</v>
      </c>
      <c r="U51" s="543">
        <v>18</v>
      </c>
      <c r="V51" s="543">
        <v>7</v>
      </c>
      <c r="W51" s="543">
        <v>12</v>
      </c>
      <c r="X51" s="543">
        <v>8</v>
      </c>
      <c r="Y51" s="543" t="s">
        <v>934</v>
      </c>
    </row>
    <row r="52" spans="3:25" x14ac:dyDescent="0.3">
      <c r="C52" s="88" t="str">
        <f>'G-1 All Habitats'!B51</f>
        <v>Sparsely vegetated land - Coastal vegetated shingle</v>
      </c>
      <c r="D52" s="543" t="s">
        <v>934</v>
      </c>
      <c r="E52" s="543" t="s">
        <v>934</v>
      </c>
      <c r="F52" s="543">
        <v>5</v>
      </c>
      <c r="G52" s="543">
        <v>7</v>
      </c>
      <c r="H52" s="543">
        <v>10</v>
      </c>
      <c r="I52" s="543">
        <v>15</v>
      </c>
      <c r="J52" s="543">
        <v>20</v>
      </c>
      <c r="K52" s="543" t="s">
        <v>934</v>
      </c>
      <c r="L52" s="543" t="s">
        <v>934</v>
      </c>
      <c r="M52" s="543" t="s">
        <v>934</v>
      </c>
      <c r="N52" s="543" t="s">
        <v>934</v>
      </c>
      <c r="O52" s="543">
        <v>5</v>
      </c>
      <c r="P52" s="543">
        <v>8</v>
      </c>
      <c r="Q52" s="543">
        <v>15</v>
      </c>
      <c r="R52" s="543">
        <v>20</v>
      </c>
      <c r="S52" s="543">
        <v>5</v>
      </c>
      <c r="T52" s="543">
        <v>10</v>
      </c>
      <c r="U52" s="543">
        <v>18</v>
      </c>
      <c r="V52" s="543">
        <v>7</v>
      </c>
      <c r="W52" s="543">
        <v>12</v>
      </c>
      <c r="X52" s="543">
        <v>8</v>
      </c>
      <c r="Y52" s="543" t="s">
        <v>934</v>
      </c>
    </row>
    <row r="53" spans="3:25" x14ac:dyDescent="0.3">
      <c r="C53" s="88" t="str">
        <f>'G-1 All Habitats'!B52</f>
        <v>Sparsely vegetated land - Ruderal/Ephemeral</v>
      </c>
      <c r="D53" s="543" t="s">
        <v>934</v>
      </c>
      <c r="E53" s="543" t="s">
        <v>934</v>
      </c>
      <c r="F53" s="543" t="s">
        <v>934</v>
      </c>
      <c r="G53" s="543" t="s">
        <v>934</v>
      </c>
      <c r="H53" s="543" t="s">
        <v>934</v>
      </c>
      <c r="I53" s="543" t="s">
        <v>934</v>
      </c>
      <c r="J53" s="543" t="s">
        <v>934</v>
      </c>
      <c r="K53" s="543" t="s">
        <v>934</v>
      </c>
      <c r="L53" s="543" t="s">
        <v>934</v>
      </c>
      <c r="M53" s="543" t="s">
        <v>934</v>
      </c>
      <c r="N53" s="543" t="s">
        <v>934</v>
      </c>
      <c r="O53" s="543">
        <v>1</v>
      </c>
      <c r="P53" s="543">
        <v>2</v>
      </c>
      <c r="Q53" s="543">
        <v>3</v>
      </c>
      <c r="R53" s="543">
        <v>5</v>
      </c>
      <c r="S53" s="543">
        <v>1</v>
      </c>
      <c r="T53" s="543">
        <v>2</v>
      </c>
      <c r="U53" s="543">
        <v>3</v>
      </c>
      <c r="V53" s="543">
        <v>1</v>
      </c>
      <c r="W53" s="543">
        <v>2</v>
      </c>
      <c r="X53" s="543">
        <v>1</v>
      </c>
      <c r="Y53" s="543" t="s">
        <v>934</v>
      </c>
    </row>
    <row r="54" spans="3:25" x14ac:dyDescent="0.3">
      <c r="C54" s="88" t="str">
        <f>'G-1 All Habitats'!B53</f>
        <v>Sparsely vegetated land - Inland rock outcrop and scree habitats</v>
      </c>
      <c r="D54" s="543" t="s">
        <v>934</v>
      </c>
      <c r="E54" s="543" t="s">
        <v>934</v>
      </c>
      <c r="F54" s="543">
        <v>10</v>
      </c>
      <c r="G54" s="543">
        <v>15</v>
      </c>
      <c r="H54" s="543">
        <v>20</v>
      </c>
      <c r="I54" s="543">
        <v>25</v>
      </c>
      <c r="J54" s="543" t="s">
        <v>935</v>
      </c>
      <c r="K54" s="543" t="s">
        <v>934</v>
      </c>
      <c r="L54" s="543" t="s">
        <v>934</v>
      </c>
      <c r="M54" s="543" t="s">
        <v>934</v>
      </c>
      <c r="N54" s="543" t="s">
        <v>934</v>
      </c>
      <c r="O54" s="543">
        <v>10</v>
      </c>
      <c r="P54" s="543">
        <v>15</v>
      </c>
      <c r="Q54" s="543">
        <v>25</v>
      </c>
      <c r="R54" s="543" t="s">
        <v>935</v>
      </c>
      <c r="S54" s="543">
        <v>20</v>
      </c>
      <c r="T54" s="543">
        <v>25</v>
      </c>
      <c r="U54" s="543">
        <v>27</v>
      </c>
      <c r="V54" s="543">
        <v>15</v>
      </c>
      <c r="W54" s="543">
        <v>20</v>
      </c>
      <c r="X54" s="543">
        <v>15</v>
      </c>
      <c r="Y54" s="543" t="s">
        <v>934</v>
      </c>
    </row>
    <row r="55" spans="3:25" x14ac:dyDescent="0.3">
      <c r="C55" s="88" t="str">
        <f>'G-1 All Habitats'!B54</f>
        <v>Sparsely vegetated land - Limestone pavement</v>
      </c>
      <c r="D55" s="543" t="s">
        <v>934</v>
      </c>
      <c r="E55" s="543" t="s">
        <v>934</v>
      </c>
      <c r="F55" s="543" t="s">
        <v>935</v>
      </c>
      <c r="G55" s="543" t="s">
        <v>935</v>
      </c>
      <c r="H55" s="543" t="s">
        <v>935</v>
      </c>
      <c r="I55" s="543" t="s">
        <v>935</v>
      </c>
      <c r="J55" s="543" t="s">
        <v>935</v>
      </c>
      <c r="K55" s="543" t="s">
        <v>934</v>
      </c>
      <c r="L55" s="543" t="s">
        <v>934</v>
      </c>
      <c r="M55" s="543" t="s">
        <v>934</v>
      </c>
      <c r="N55" s="543" t="s">
        <v>934</v>
      </c>
      <c r="O55" s="543">
        <v>5</v>
      </c>
      <c r="P55" s="543">
        <v>10</v>
      </c>
      <c r="Q55" s="543">
        <v>15</v>
      </c>
      <c r="R55" s="543">
        <v>20</v>
      </c>
      <c r="S55" s="543">
        <v>5</v>
      </c>
      <c r="T55" s="543">
        <v>10</v>
      </c>
      <c r="U55" s="543">
        <v>15</v>
      </c>
      <c r="V55" s="543">
        <v>5</v>
      </c>
      <c r="W55" s="543">
        <v>10</v>
      </c>
      <c r="X55" s="543">
        <v>5</v>
      </c>
      <c r="Y55" s="543" t="s">
        <v>934</v>
      </c>
    </row>
    <row r="56" spans="3:25" x14ac:dyDescent="0.3">
      <c r="C56" s="88" t="str">
        <f>'G-1 All Habitats'!B55</f>
        <v>Sparsely vegetated land - Maritime cliff and slopes</v>
      </c>
      <c r="D56" s="543" t="s">
        <v>934</v>
      </c>
      <c r="E56" s="543" t="s">
        <v>934</v>
      </c>
      <c r="F56" s="543">
        <v>10</v>
      </c>
      <c r="G56" s="543">
        <v>15</v>
      </c>
      <c r="H56" s="543">
        <v>20</v>
      </c>
      <c r="I56" s="543">
        <v>25</v>
      </c>
      <c r="J56" s="543" t="s">
        <v>935</v>
      </c>
      <c r="K56" s="543" t="s">
        <v>934</v>
      </c>
      <c r="L56" s="543" t="s">
        <v>934</v>
      </c>
      <c r="M56" s="543" t="s">
        <v>934</v>
      </c>
      <c r="N56" s="543" t="s">
        <v>934</v>
      </c>
      <c r="O56" s="543">
        <v>5</v>
      </c>
      <c r="P56" s="543">
        <v>8</v>
      </c>
      <c r="Q56" s="543">
        <v>15</v>
      </c>
      <c r="R56" s="543">
        <v>20</v>
      </c>
      <c r="S56" s="543">
        <v>5</v>
      </c>
      <c r="T56" s="543">
        <v>10</v>
      </c>
      <c r="U56" s="543">
        <v>18</v>
      </c>
      <c r="V56" s="543">
        <v>7</v>
      </c>
      <c r="W56" s="543">
        <v>12</v>
      </c>
      <c r="X56" s="543">
        <v>8</v>
      </c>
      <c r="Y56" s="543" t="s">
        <v>934</v>
      </c>
    </row>
    <row r="57" spans="3:25" x14ac:dyDescent="0.3">
      <c r="C57" s="88" t="str">
        <f>'G-1 All Habitats'!B56</f>
        <v>Sparsely vegetated land - Other inland rock and scree</v>
      </c>
      <c r="D57" s="543" t="s">
        <v>934</v>
      </c>
      <c r="E57" s="543" t="s">
        <v>934</v>
      </c>
      <c r="F57" s="543">
        <v>3</v>
      </c>
      <c r="G57" s="543">
        <v>5</v>
      </c>
      <c r="H57" s="543">
        <v>10</v>
      </c>
      <c r="I57" s="543">
        <v>15</v>
      </c>
      <c r="J57" s="543">
        <v>20</v>
      </c>
      <c r="K57" s="543" t="s">
        <v>934</v>
      </c>
      <c r="L57" s="543" t="s">
        <v>934</v>
      </c>
      <c r="M57" s="543" t="s">
        <v>934</v>
      </c>
      <c r="N57" s="543" t="s">
        <v>934</v>
      </c>
      <c r="O57" s="543">
        <v>5</v>
      </c>
      <c r="P57" s="543">
        <v>10</v>
      </c>
      <c r="Q57" s="543">
        <v>15</v>
      </c>
      <c r="R57" s="543">
        <v>20</v>
      </c>
      <c r="S57" s="543">
        <v>5</v>
      </c>
      <c r="T57" s="543">
        <v>10</v>
      </c>
      <c r="U57" s="543">
        <v>15</v>
      </c>
      <c r="V57" s="543">
        <v>5</v>
      </c>
      <c r="W57" s="543">
        <v>10</v>
      </c>
      <c r="X57" s="543">
        <v>5</v>
      </c>
      <c r="Y57" s="543" t="s">
        <v>934</v>
      </c>
    </row>
    <row r="58" spans="3:25" x14ac:dyDescent="0.3">
      <c r="C58" s="88" t="str">
        <f>'G-1 All Habitats'!B57</f>
        <v>Urban - Allotments</v>
      </c>
      <c r="D58" s="543" t="s">
        <v>934</v>
      </c>
      <c r="E58" s="543" t="s">
        <v>934</v>
      </c>
      <c r="F58" s="543">
        <v>1</v>
      </c>
      <c r="G58" s="543">
        <v>1</v>
      </c>
      <c r="H58" s="543">
        <v>1</v>
      </c>
      <c r="I58" s="543">
        <v>1</v>
      </c>
      <c r="J58" s="543">
        <v>1</v>
      </c>
      <c r="K58" s="543" t="s">
        <v>934</v>
      </c>
      <c r="L58" s="543" t="s">
        <v>934</v>
      </c>
      <c r="M58" s="543" t="s">
        <v>934</v>
      </c>
      <c r="N58" s="543" t="s">
        <v>934</v>
      </c>
      <c r="O58" s="543">
        <v>1</v>
      </c>
      <c r="P58" s="543">
        <v>1</v>
      </c>
      <c r="Q58" s="543">
        <v>1</v>
      </c>
      <c r="R58" s="543">
        <v>1</v>
      </c>
      <c r="S58" s="543">
        <v>1</v>
      </c>
      <c r="T58" s="543">
        <v>1</v>
      </c>
      <c r="U58" s="543">
        <v>1</v>
      </c>
      <c r="V58" s="543">
        <v>1</v>
      </c>
      <c r="W58" s="543">
        <v>1</v>
      </c>
      <c r="X58" s="543">
        <v>1</v>
      </c>
      <c r="Y58" s="543" t="s">
        <v>934</v>
      </c>
    </row>
    <row r="59" spans="3:25" x14ac:dyDescent="0.3">
      <c r="C59" s="88" t="str">
        <f>'G-1 All Habitats'!B39</f>
        <v>Lakes - Ornamental lake or pond</v>
      </c>
      <c r="D59" s="543" t="s">
        <v>934</v>
      </c>
      <c r="E59" s="543" t="s">
        <v>934</v>
      </c>
      <c r="F59" s="543">
        <v>1</v>
      </c>
      <c r="G59" s="543">
        <v>2</v>
      </c>
      <c r="H59" s="543">
        <v>3</v>
      </c>
      <c r="I59" s="543">
        <v>4</v>
      </c>
      <c r="J59" s="543">
        <v>5</v>
      </c>
      <c r="K59" s="543" t="s">
        <v>934</v>
      </c>
      <c r="L59" s="543" t="s">
        <v>934</v>
      </c>
      <c r="M59" s="543" t="s">
        <v>934</v>
      </c>
      <c r="N59" s="543" t="s">
        <v>934</v>
      </c>
      <c r="O59" s="543">
        <v>2</v>
      </c>
      <c r="P59" s="543">
        <v>4</v>
      </c>
      <c r="Q59" s="543">
        <v>6</v>
      </c>
      <c r="R59" s="543">
        <v>8</v>
      </c>
      <c r="S59" s="543">
        <v>2</v>
      </c>
      <c r="T59" s="543">
        <v>4</v>
      </c>
      <c r="U59" s="543">
        <v>6</v>
      </c>
      <c r="V59" s="543">
        <v>2</v>
      </c>
      <c r="W59" s="543">
        <v>4</v>
      </c>
      <c r="X59" s="543">
        <v>2</v>
      </c>
      <c r="Y59" s="543" t="s">
        <v>934</v>
      </c>
    </row>
    <row r="60" spans="3:25" x14ac:dyDescent="0.3">
      <c r="C60" s="88" t="str">
        <f>'G-1 All Habitats'!B58</f>
        <v>Urban - Artificial unvegetated, unsealed surface</v>
      </c>
      <c r="D60" s="543" t="s">
        <v>934</v>
      </c>
      <c r="E60" s="543" t="s">
        <v>934</v>
      </c>
      <c r="F60" s="543" t="s">
        <v>934</v>
      </c>
      <c r="G60" s="543" t="s">
        <v>934</v>
      </c>
      <c r="H60" s="543" t="s">
        <v>934</v>
      </c>
      <c r="I60" s="543" t="s">
        <v>934</v>
      </c>
      <c r="J60" s="543" t="s">
        <v>934</v>
      </c>
      <c r="K60" s="543" t="s">
        <v>934</v>
      </c>
      <c r="L60" s="543" t="s">
        <v>934</v>
      </c>
      <c r="M60" s="543" t="s">
        <v>934</v>
      </c>
      <c r="N60" s="543" t="s">
        <v>934</v>
      </c>
      <c r="O60" s="543" t="s">
        <v>934</v>
      </c>
      <c r="P60" s="543" t="s">
        <v>934</v>
      </c>
      <c r="Q60" s="543" t="s">
        <v>934</v>
      </c>
      <c r="R60" s="543" t="s">
        <v>934</v>
      </c>
      <c r="S60" s="543" t="s">
        <v>934</v>
      </c>
      <c r="T60" s="543" t="s">
        <v>934</v>
      </c>
      <c r="U60" s="543" t="s">
        <v>934</v>
      </c>
      <c r="V60" s="543" t="s">
        <v>934</v>
      </c>
      <c r="W60" s="543" t="s">
        <v>934</v>
      </c>
      <c r="X60" s="543" t="s">
        <v>934</v>
      </c>
      <c r="Y60" s="543" t="s">
        <v>934</v>
      </c>
    </row>
    <row r="61" spans="3:25" x14ac:dyDescent="0.3">
      <c r="C61" s="88" t="str">
        <f>'G-1 All Habitats'!B59</f>
        <v>Urban - Bioswale</v>
      </c>
      <c r="D61" s="543" t="s">
        <v>934</v>
      </c>
      <c r="E61" s="543" t="s">
        <v>934</v>
      </c>
      <c r="F61" s="543">
        <v>1</v>
      </c>
      <c r="G61" s="543">
        <v>1</v>
      </c>
      <c r="H61" s="543">
        <v>1</v>
      </c>
      <c r="I61" s="543">
        <v>2</v>
      </c>
      <c r="J61" s="543">
        <v>3</v>
      </c>
      <c r="K61" s="543" t="s">
        <v>934</v>
      </c>
      <c r="L61" s="543" t="s">
        <v>934</v>
      </c>
      <c r="M61" s="543" t="s">
        <v>934</v>
      </c>
      <c r="N61" s="543" t="s">
        <v>934</v>
      </c>
      <c r="O61" s="543">
        <v>1</v>
      </c>
      <c r="P61" s="543">
        <v>2</v>
      </c>
      <c r="Q61" s="543">
        <v>2</v>
      </c>
      <c r="R61" s="543">
        <v>3</v>
      </c>
      <c r="S61" s="543">
        <v>1</v>
      </c>
      <c r="T61" s="543">
        <v>3</v>
      </c>
      <c r="U61" s="543">
        <v>3</v>
      </c>
      <c r="V61" s="543">
        <v>2</v>
      </c>
      <c r="W61" s="543">
        <v>2</v>
      </c>
      <c r="X61" s="543">
        <v>2</v>
      </c>
      <c r="Y61" s="543" t="s">
        <v>934</v>
      </c>
    </row>
    <row r="62" spans="3:25" x14ac:dyDescent="0.3">
      <c r="C62" s="88" t="str">
        <f>'G-1 All Habitats'!B60</f>
        <v>Urban - Intensive green roof</v>
      </c>
      <c r="D62" s="543" t="s">
        <v>934</v>
      </c>
      <c r="E62" s="543" t="s">
        <v>934</v>
      </c>
      <c r="F62" s="543">
        <v>1</v>
      </c>
      <c r="G62" s="543">
        <v>2</v>
      </c>
      <c r="H62" s="543">
        <v>3</v>
      </c>
      <c r="I62" s="543">
        <v>4</v>
      </c>
      <c r="J62" s="543">
        <v>5</v>
      </c>
      <c r="K62" s="543" t="s">
        <v>934</v>
      </c>
      <c r="L62" s="543" t="s">
        <v>934</v>
      </c>
      <c r="M62" s="543" t="s">
        <v>934</v>
      </c>
      <c r="N62" s="543" t="s">
        <v>934</v>
      </c>
      <c r="O62" s="543">
        <v>1</v>
      </c>
      <c r="P62" s="543">
        <v>2</v>
      </c>
      <c r="Q62" s="543">
        <v>3</v>
      </c>
      <c r="R62" s="543">
        <v>5</v>
      </c>
      <c r="S62" s="543">
        <v>1</v>
      </c>
      <c r="T62" s="543">
        <v>2</v>
      </c>
      <c r="U62" s="543">
        <v>3</v>
      </c>
      <c r="V62" s="543">
        <v>1</v>
      </c>
      <c r="W62" s="543">
        <v>2</v>
      </c>
      <c r="X62" s="543">
        <v>1</v>
      </c>
      <c r="Y62" s="543" t="s">
        <v>934</v>
      </c>
    </row>
    <row r="63" spans="3:25" x14ac:dyDescent="0.3">
      <c r="C63" s="88" t="str">
        <f>'G-1 All Habitats'!B61</f>
        <v>Urban - Built linear features</v>
      </c>
      <c r="D63" s="543" t="s">
        <v>934</v>
      </c>
      <c r="E63" s="543" t="s">
        <v>934</v>
      </c>
      <c r="F63" s="543" t="s">
        <v>934</v>
      </c>
      <c r="G63" s="543" t="s">
        <v>934</v>
      </c>
      <c r="H63" s="543" t="s">
        <v>934</v>
      </c>
      <c r="I63" s="543" t="s">
        <v>934</v>
      </c>
      <c r="J63" s="543" t="s">
        <v>934</v>
      </c>
      <c r="K63" s="543" t="s">
        <v>934</v>
      </c>
      <c r="L63" s="543" t="s">
        <v>934</v>
      </c>
      <c r="M63" s="543" t="s">
        <v>934</v>
      </c>
      <c r="N63" s="543" t="s">
        <v>934</v>
      </c>
      <c r="O63" s="543" t="s">
        <v>934</v>
      </c>
      <c r="P63" s="543" t="s">
        <v>934</v>
      </c>
      <c r="Q63" s="543" t="s">
        <v>934</v>
      </c>
      <c r="R63" s="543" t="s">
        <v>934</v>
      </c>
      <c r="S63" s="543" t="s">
        <v>934</v>
      </c>
      <c r="T63" s="543" t="s">
        <v>934</v>
      </c>
      <c r="U63" s="543" t="s">
        <v>934</v>
      </c>
      <c r="V63" s="543" t="s">
        <v>934</v>
      </c>
      <c r="W63" s="543" t="s">
        <v>934</v>
      </c>
      <c r="X63" s="543" t="s">
        <v>934</v>
      </c>
      <c r="Y63" s="543" t="s">
        <v>934</v>
      </c>
    </row>
    <row r="64" spans="3:25" x14ac:dyDescent="0.3">
      <c r="C64" s="88" t="str">
        <f>'G-1 All Habitats'!B62</f>
        <v>Urban - Cemeteries and churchyards</v>
      </c>
      <c r="D64" s="543" t="s">
        <v>934</v>
      </c>
      <c r="E64" s="543" t="s">
        <v>934</v>
      </c>
      <c r="F64" s="543">
        <v>10</v>
      </c>
      <c r="G64" s="543">
        <v>12</v>
      </c>
      <c r="H64" s="543">
        <v>15</v>
      </c>
      <c r="I64" s="543">
        <v>17</v>
      </c>
      <c r="J64" s="543">
        <v>20</v>
      </c>
      <c r="K64" s="543" t="s">
        <v>934</v>
      </c>
      <c r="L64" s="543" t="s">
        <v>934</v>
      </c>
      <c r="M64" s="543" t="s">
        <v>934</v>
      </c>
      <c r="N64" s="543" t="s">
        <v>934</v>
      </c>
      <c r="O64" s="543">
        <v>5</v>
      </c>
      <c r="P64" s="543">
        <v>10</v>
      </c>
      <c r="Q64" s="543">
        <v>15</v>
      </c>
      <c r="R64" s="543">
        <v>20</v>
      </c>
      <c r="S64" s="543">
        <v>10</v>
      </c>
      <c r="T64" s="543">
        <v>15</v>
      </c>
      <c r="U64" s="543">
        <v>20</v>
      </c>
      <c r="V64" s="543">
        <v>10</v>
      </c>
      <c r="W64" s="543">
        <v>15</v>
      </c>
      <c r="X64" s="543">
        <v>5</v>
      </c>
      <c r="Y64" s="543" t="s">
        <v>934</v>
      </c>
    </row>
    <row r="65" spans="3:25" x14ac:dyDescent="0.3">
      <c r="C65" s="88" t="str">
        <f>'G-1 All Habitats'!B63</f>
        <v>Urban - Developed land; sealed surface</v>
      </c>
      <c r="D65" s="543" t="s">
        <v>934</v>
      </c>
      <c r="E65" s="543" t="s">
        <v>934</v>
      </c>
      <c r="F65" s="543" t="s">
        <v>934</v>
      </c>
      <c r="G65" s="543" t="s">
        <v>934</v>
      </c>
      <c r="H65" s="543" t="s">
        <v>934</v>
      </c>
      <c r="I65" s="543" t="s">
        <v>934</v>
      </c>
      <c r="J65" s="543" t="s">
        <v>934</v>
      </c>
      <c r="K65" s="543" t="s">
        <v>934</v>
      </c>
      <c r="L65" s="543" t="s">
        <v>934</v>
      </c>
      <c r="M65" s="543" t="s">
        <v>934</v>
      </c>
      <c r="N65" s="543" t="s">
        <v>934</v>
      </c>
      <c r="O65" s="543" t="s">
        <v>934</v>
      </c>
      <c r="P65" s="543" t="s">
        <v>934</v>
      </c>
      <c r="Q65" s="543" t="s">
        <v>934</v>
      </c>
      <c r="R65" s="543" t="s">
        <v>934</v>
      </c>
      <c r="S65" s="543" t="s">
        <v>934</v>
      </c>
      <c r="T65" s="543" t="s">
        <v>934</v>
      </c>
      <c r="U65" s="543" t="s">
        <v>934</v>
      </c>
      <c r="V65" s="543" t="s">
        <v>934</v>
      </c>
      <c r="W65" s="543" t="s">
        <v>934</v>
      </c>
      <c r="X65" s="543" t="s">
        <v>934</v>
      </c>
      <c r="Y65" s="543" t="s">
        <v>934</v>
      </c>
    </row>
    <row r="66" spans="3:25" x14ac:dyDescent="0.3">
      <c r="C66" s="88" t="str">
        <f>'G-1 All Habitats'!B64</f>
        <v>Urban - Other green roof</v>
      </c>
      <c r="D66" s="543" t="s">
        <v>934</v>
      </c>
      <c r="E66" s="543" t="s">
        <v>934</v>
      </c>
      <c r="F66" s="543" t="s">
        <v>934</v>
      </c>
      <c r="G66" s="543" t="s">
        <v>934</v>
      </c>
      <c r="H66" s="543" t="s">
        <v>934</v>
      </c>
      <c r="I66" s="543" t="s">
        <v>934</v>
      </c>
      <c r="J66" s="543" t="s">
        <v>934</v>
      </c>
      <c r="K66" s="543" t="s">
        <v>934</v>
      </c>
      <c r="L66" s="543" t="s">
        <v>934</v>
      </c>
      <c r="M66" s="543" t="s">
        <v>934</v>
      </c>
      <c r="N66" s="543" t="s">
        <v>934</v>
      </c>
      <c r="O66" s="543" t="s">
        <v>934</v>
      </c>
      <c r="P66" s="543" t="s">
        <v>934</v>
      </c>
      <c r="Q66" s="543" t="s">
        <v>934</v>
      </c>
      <c r="R66" s="543" t="s">
        <v>934</v>
      </c>
      <c r="S66" s="543" t="s">
        <v>934</v>
      </c>
      <c r="T66" s="543" t="s">
        <v>934</v>
      </c>
      <c r="U66" s="543" t="s">
        <v>934</v>
      </c>
      <c r="V66" s="543" t="s">
        <v>934</v>
      </c>
      <c r="W66" s="543" t="s">
        <v>934</v>
      </c>
      <c r="X66" s="543" t="s">
        <v>934</v>
      </c>
      <c r="Y66" s="543" t="s">
        <v>934</v>
      </c>
    </row>
    <row r="67" spans="3:25" x14ac:dyDescent="0.3">
      <c r="C67" s="88" t="str">
        <f>'G-1 All Habitats'!B65</f>
        <v>Urban - Facade-bound green wall</v>
      </c>
      <c r="D67" s="543" t="s">
        <v>934</v>
      </c>
      <c r="E67" s="543" t="s">
        <v>934</v>
      </c>
      <c r="F67" s="543">
        <v>1</v>
      </c>
      <c r="G67" s="543">
        <v>2</v>
      </c>
      <c r="H67" s="543">
        <v>3</v>
      </c>
      <c r="I67" s="543">
        <v>4</v>
      </c>
      <c r="J67" s="543">
        <v>5</v>
      </c>
      <c r="K67" s="543" t="s">
        <v>934</v>
      </c>
      <c r="L67" s="543" t="s">
        <v>934</v>
      </c>
      <c r="M67" s="543" t="s">
        <v>934</v>
      </c>
      <c r="N67" s="543" t="s">
        <v>934</v>
      </c>
      <c r="O67" s="543">
        <v>1</v>
      </c>
      <c r="P67" s="543">
        <v>2</v>
      </c>
      <c r="Q67" s="543">
        <v>3</v>
      </c>
      <c r="R67" s="543">
        <v>5</v>
      </c>
      <c r="S67" s="543">
        <v>1</v>
      </c>
      <c r="T67" s="543">
        <v>2</v>
      </c>
      <c r="U67" s="543">
        <v>3</v>
      </c>
      <c r="V67" s="543">
        <v>1</v>
      </c>
      <c r="W67" s="543">
        <v>2</v>
      </c>
      <c r="X67" s="543">
        <v>1</v>
      </c>
      <c r="Y67" s="543" t="s">
        <v>934</v>
      </c>
    </row>
    <row r="68" spans="3:25" x14ac:dyDescent="0.3">
      <c r="C68" s="88" t="str">
        <f>'G-1 All Habitats'!B66</f>
        <v>Urban - Ground based green wall</v>
      </c>
      <c r="D68" s="543" t="s">
        <v>934</v>
      </c>
      <c r="E68" s="543" t="s">
        <v>934</v>
      </c>
      <c r="F68" s="543">
        <v>1</v>
      </c>
      <c r="G68" s="543">
        <v>2</v>
      </c>
      <c r="H68" s="543">
        <v>3</v>
      </c>
      <c r="I68" s="543">
        <v>4</v>
      </c>
      <c r="J68" s="543">
        <v>5</v>
      </c>
      <c r="K68" s="543" t="s">
        <v>934</v>
      </c>
      <c r="L68" s="543" t="s">
        <v>934</v>
      </c>
      <c r="M68" s="543" t="s">
        <v>934</v>
      </c>
      <c r="N68" s="543" t="s">
        <v>934</v>
      </c>
      <c r="O68" s="543">
        <v>1</v>
      </c>
      <c r="P68" s="543">
        <v>2</v>
      </c>
      <c r="Q68" s="543">
        <v>3</v>
      </c>
      <c r="R68" s="543">
        <v>5</v>
      </c>
      <c r="S68" s="543">
        <v>1</v>
      </c>
      <c r="T68" s="543">
        <v>2</v>
      </c>
      <c r="U68" s="543">
        <v>3</v>
      </c>
      <c r="V68" s="543">
        <v>1</v>
      </c>
      <c r="W68" s="543">
        <v>2</v>
      </c>
      <c r="X68" s="543">
        <v>1</v>
      </c>
      <c r="Y68" s="543" t="s">
        <v>934</v>
      </c>
    </row>
    <row r="69" spans="3:25" x14ac:dyDescent="0.3">
      <c r="C69" s="88" t="str">
        <f>'G-1 All Habitats'!B67</f>
        <v>Urban - Ground level planters</v>
      </c>
      <c r="D69" s="543" t="s">
        <v>934</v>
      </c>
      <c r="E69" s="543" t="s">
        <v>934</v>
      </c>
      <c r="F69" s="543" t="s">
        <v>934</v>
      </c>
      <c r="G69" s="543" t="s">
        <v>934</v>
      </c>
      <c r="H69" s="543" t="s">
        <v>934</v>
      </c>
      <c r="I69" s="543" t="s">
        <v>934</v>
      </c>
      <c r="J69" s="543" t="s">
        <v>934</v>
      </c>
      <c r="K69" s="543" t="s">
        <v>934</v>
      </c>
      <c r="L69" s="543" t="s">
        <v>934</v>
      </c>
      <c r="M69" s="543" t="s">
        <v>934</v>
      </c>
      <c r="N69" s="543" t="s">
        <v>934</v>
      </c>
      <c r="O69" s="543" t="s">
        <v>934</v>
      </c>
      <c r="P69" s="543" t="s">
        <v>934</v>
      </c>
      <c r="Q69" s="543" t="s">
        <v>934</v>
      </c>
      <c r="R69" s="543" t="s">
        <v>934</v>
      </c>
      <c r="S69" s="543" t="s">
        <v>934</v>
      </c>
      <c r="T69" s="543" t="s">
        <v>934</v>
      </c>
      <c r="U69" s="543" t="s">
        <v>934</v>
      </c>
      <c r="V69" s="543" t="s">
        <v>934</v>
      </c>
      <c r="W69" s="543" t="s">
        <v>934</v>
      </c>
      <c r="X69" s="543" t="s">
        <v>934</v>
      </c>
      <c r="Y69" s="543" t="s">
        <v>934</v>
      </c>
    </row>
    <row r="70" spans="3:25" x14ac:dyDescent="0.3">
      <c r="C70" s="88" t="str">
        <f>'G-1 All Habitats'!B68</f>
        <v>Urban - Biodiverse green roof</v>
      </c>
      <c r="D70" s="543" t="s">
        <v>934</v>
      </c>
      <c r="E70" s="543" t="s">
        <v>934</v>
      </c>
      <c r="F70" s="543">
        <v>1</v>
      </c>
      <c r="G70" s="543">
        <v>3</v>
      </c>
      <c r="H70" s="543">
        <v>5</v>
      </c>
      <c r="I70" s="543">
        <v>8</v>
      </c>
      <c r="J70" s="543">
        <v>10</v>
      </c>
      <c r="K70" s="543" t="s">
        <v>934</v>
      </c>
      <c r="L70" s="543" t="s">
        <v>934</v>
      </c>
      <c r="M70" s="543" t="s">
        <v>934</v>
      </c>
      <c r="N70" s="543" t="s">
        <v>934</v>
      </c>
      <c r="O70" s="543">
        <v>3</v>
      </c>
      <c r="P70" s="543">
        <v>5</v>
      </c>
      <c r="Q70" s="543">
        <v>8</v>
      </c>
      <c r="R70" s="543">
        <v>10</v>
      </c>
      <c r="S70" s="543">
        <v>3</v>
      </c>
      <c r="T70" s="543">
        <v>8</v>
      </c>
      <c r="U70" s="543">
        <v>8</v>
      </c>
      <c r="V70" s="543">
        <v>3</v>
      </c>
      <c r="W70" s="543">
        <v>5</v>
      </c>
      <c r="X70" s="543">
        <v>2</v>
      </c>
      <c r="Y70" s="543" t="s">
        <v>934</v>
      </c>
    </row>
    <row r="71" spans="3:25" x14ac:dyDescent="0.3">
      <c r="C71" s="88" t="str">
        <f>'G-1 All Habitats'!B69</f>
        <v>Urban - Introduced shrub</v>
      </c>
      <c r="D71" s="543" t="s">
        <v>934</v>
      </c>
      <c r="E71" s="543" t="s">
        <v>934</v>
      </c>
      <c r="F71" s="543" t="s">
        <v>934</v>
      </c>
      <c r="G71" s="543" t="s">
        <v>934</v>
      </c>
      <c r="H71" s="543" t="s">
        <v>934</v>
      </c>
      <c r="I71" s="543" t="s">
        <v>934</v>
      </c>
      <c r="J71" s="543" t="s">
        <v>934</v>
      </c>
      <c r="K71" s="543" t="s">
        <v>934</v>
      </c>
      <c r="L71" s="543" t="s">
        <v>934</v>
      </c>
      <c r="M71" s="543" t="s">
        <v>934</v>
      </c>
      <c r="N71" s="543" t="s">
        <v>934</v>
      </c>
      <c r="O71" s="543" t="s">
        <v>934</v>
      </c>
      <c r="P71" s="543" t="s">
        <v>934</v>
      </c>
      <c r="Q71" s="543" t="s">
        <v>934</v>
      </c>
      <c r="R71" s="543" t="s">
        <v>934</v>
      </c>
      <c r="S71" s="543" t="s">
        <v>934</v>
      </c>
      <c r="T71" s="543" t="s">
        <v>934</v>
      </c>
      <c r="U71" s="543" t="s">
        <v>934</v>
      </c>
      <c r="V71" s="543" t="s">
        <v>934</v>
      </c>
      <c r="W71" s="543" t="s">
        <v>934</v>
      </c>
      <c r="X71" s="543" t="s">
        <v>934</v>
      </c>
      <c r="Y71" s="543" t="s">
        <v>934</v>
      </c>
    </row>
    <row r="72" spans="3:25" x14ac:dyDescent="0.3">
      <c r="C72" s="88" t="str">
        <f>'G-1 All Habitats'!B70</f>
        <v>Urban - Open Mosaic Habitats on Previously Developed Land</v>
      </c>
      <c r="D72" s="543" t="s">
        <v>934</v>
      </c>
      <c r="E72" s="543" t="s">
        <v>934</v>
      </c>
      <c r="F72" s="543">
        <v>0</v>
      </c>
      <c r="G72" s="543">
        <v>2</v>
      </c>
      <c r="H72" s="543">
        <v>4</v>
      </c>
      <c r="I72" s="543">
        <v>7</v>
      </c>
      <c r="J72" s="543">
        <v>10</v>
      </c>
      <c r="K72" s="543" t="s">
        <v>934</v>
      </c>
      <c r="L72" s="543" t="s">
        <v>934</v>
      </c>
      <c r="M72" s="543" t="s">
        <v>934</v>
      </c>
      <c r="N72" s="543" t="s">
        <v>934</v>
      </c>
      <c r="O72" s="543">
        <v>2</v>
      </c>
      <c r="P72" s="543">
        <v>4</v>
      </c>
      <c r="Q72" s="543">
        <v>7</v>
      </c>
      <c r="R72" s="543">
        <v>10</v>
      </c>
      <c r="S72" s="543">
        <v>2</v>
      </c>
      <c r="T72" s="543">
        <v>5</v>
      </c>
      <c r="U72" s="543">
        <v>8</v>
      </c>
      <c r="V72" s="543">
        <v>3</v>
      </c>
      <c r="W72" s="543">
        <v>4</v>
      </c>
      <c r="X72" s="543">
        <v>3</v>
      </c>
      <c r="Y72" s="543" t="s">
        <v>934</v>
      </c>
    </row>
    <row r="73" spans="3:25" x14ac:dyDescent="0.3">
      <c r="C73" s="88" t="str">
        <f>'G-1 All Habitats'!B71</f>
        <v>Urban - Rain garden</v>
      </c>
      <c r="D73" s="543" t="s">
        <v>934</v>
      </c>
      <c r="E73" s="543" t="s">
        <v>934</v>
      </c>
      <c r="F73" s="543">
        <v>1</v>
      </c>
      <c r="G73" s="543">
        <v>1</v>
      </c>
      <c r="H73" s="543">
        <v>1</v>
      </c>
      <c r="I73" s="543">
        <v>1</v>
      </c>
      <c r="J73" s="543">
        <v>1</v>
      </c>
      <c r="K73" s="543" t="s">
        <v>934</v>
      </c>
      <c r="L73" s="543" t="s">
        <v>934</v>
      </c>
      <c r="M73" s="543" t="s">
        <v>934</v>
      </c>
      <c r="N73" s="543" t="s">
        <v>934</v>
      </c>
      <c r="O73" s="543">
        <v>1</v>
      </c>
      <c r="P73" s="543">
        <v>1</v>
      </c>
      <c r="Q73" s="543">
        <v>1</v>
      </c>
      <c r="R73" s="543">
        <v>1</v>
      </c>
      <c r="S73" s="543">
        <v>1</v>
      </c>
      <c r="T73" s="543">
        <v>1</v>
      </c>
      <c r="U73" s="543">
        <v>1</v>
      </c>
      <c r="V73" s="543">
        <v>1</v>
      </c>
      <c r="W73" s="543">
        <v>1</v>
      </c>
      <c r="X73" s="543">
        <v>1</v>
      </c>
      <c r="Y73" s="543" t="s">
        <v>934</v>
      </c>
    </row>
    <row r="74" spans="3:25" x14ac:dyDescent="0.3">
      <c r="C74" s="88" t="str">
        <f>'G-1 All Habitats'!B72</f>
        <v>Urban - Actively worked sand pit quarry or open cast mine</v>
      </c>
      <c r="D74" s="543" t="s">
        <v>934</v>
      </c>
      <c r="E74" s="543" t="s">
        <v>934</v>
      </c>
      <c r="F74" s="543">
        <v>1</v>
      </c>
      <c r="G74" s="543" t="s">
        <v>934</v>
      </c>
      <c r="H74" s="543" t="s">
        <v>934</v>
      </c>
      <c r="I74" s="543" t="s">
        <v>934</v>
      </c>
      <c r="J74" s="543" t="s">
        <v>934</v>
      </c>
      <c r="K74" s="543" t="s">
        <v>934</v>
      </c>
      <c r="L74" s="543" t="s">
        <v>934</v>
      </c>
      <c r="M74" s="543" t="s">
        <v>934</v>
      </c>
      <c r="N74" s="543" t="s">
        <v>934</v>
      </c>
      <c r="O74" s="543" t="s">
        <v>934</v>
      </c>
      <c r="P74" s="543" t="s">
        <v>934</v>
      </c>
      <c r="Q74" s="543" t="s">
        <v>934</v>
      </c>
      <c r="R74" s="543" t="s">
        <v>934</v>
      </c>
      <c r="S74" s="543" t="s">
        <v>934</v>
      </c>
      <c r="T74" s="543" t="s">
        <v>934</v>
      </c>
      <c r="U74" s="543" t="s">
        <v>934</v>
      </c>
      <c r="V74" s="543" t="s">
        <v>934</v>
      </c>
      <c r="W74" s="543" t="s">
        <v>934</v>
      </c>
      <c r="X74" s="543" t="s">
        <v>934</v>
      </c>
      <c r="Y74" s="543" t="s">
        <v>934</v>
      </c>
    </row>
    <row r="75" spans="3:25" x14ac:dyDescent="0.3">
      <c r="C75" s="88" t="str">
        <f>'G-1 All Habitats'!B73</f>
        <v>Urban - Urban Tree</v>
      </c>
      <c r="D75" s="543" t="s">
        <v>934</v>
      </c>
      <c r="E75" s="543" t="s">
        <v>934</v>
      </c>
      <c r="F75" s="543" t="s">
        <v>934</v>
      </c>
      <c r="G75" s="543" t="s">
        <v>934</v>
      </c>
      <c r="H75" s="543" t="s">
        <v>934</v>
      </c>
      <c r="I75" s="543" t="s">
        <v>934</v>
      </c>
      <c r="J75" s="543" t="s">
        <v>934</v>
      </c>
      <c r="K75" s="543" t="s">
        <v>934</v>
      </c>
      <c r="L75" s="543" t="s">
        <v>934</v>
      </c>
      <c r="M75" s="543" t="s">
        <v>934</v>
      </c>
      <c r="N75" s="543" t="s">
        <v>934</v>
      </c>
      <c r="O75" s="543">
        <v>8</v>
      </c>
      <c r="P75" s="543">
        <v>16</v>
      </c>
      <c r="Q75" s="543">
        <v>24</v>
      </c>
      <c r="R75" s="543" t="s">
        <v>935</v>
      </c>
      <c r="S75" s="543">
        <v>8</v>
      </c>
      <c r="T75" s="543">
        <v>16</v>
      </c>
      <c r="U75" s="543">
        <v>24</v>
      </c>
      <c r="V75" s="543">
        <v>8</v>
      </c>
      <c r="W75" s="543">
        <v>16</v>
      </c>
      <c r="X75" s="543">
        <v>8</v>
      </c>
      <c r="Y75" s="543" t="s">
        <v>934</v>
      </c>
    </row>
    <row r="76" spans="3:25" x14ac:dyDescent="0.3">
      <c r="C76" s="88" t="str">
        <f>'G-1 All Habitats'!B74</f>
        <v>Urban - Sustainable urban drainage feature</v>
      </c>
      <c r="D76" s="543" t="s">
        <v>934</v>
      </c>
      <c r="E76" s="543" t="s">
        <v>934</v>
      </c>
      <c r="F76" s="543">
        <v>1</v>
      </c>
      <c r="G76" s="543">
        <v>2</v>
      </c>
      <c r="H76" s="543">
        <v>3</v>
      </c>
      <c r="I76" s="543">
        <v>4</v>
      </c>
      <c r="J76" s="543">
        <v>5</v>
      </c>
      <c r="K76" s="543" t="s">
        <v>934</v>
      </c>
      <c r="L76" s="543" t="s">
        <v>934</v>
      </c>
      <c r="M76" s="543" t="s">
        <v>934</v>
      </c>
      <c r="N76" s="543" t="s">
        <v>934</v>
      </c>
      <c r="O76" s="543">
        <v>1</v>
      </c>
      <c r="P76" s="543">
        <v>2</v>
      </c>
      <c r="Q76" s="543">
        <v>3</v>
      </c>
      <c r="R76" s="543">
        <v>5</v>
      </c>
      <c r="S76" s="543">
        <v>1</v>
      </c>
      <c r="T76" s="543">
        <v>2</v>
      </c>
      <c r="U76" s="543">
        <v>3</v>
      </c>
      <c r="V76" s="543">
        <v>1</v>
      </c>
      <c r="W76" s="543">
        <v>2</v>
      </c>
      <c r="X76" s="543">
        <v>1</v>
      </c>
      <c r="Y76" s="543" t="s">
        <v>934</v>
      </c>
    </row>
    <row r="77" spans="3:25" x14ac:dyDescent="0.3">
      <c r="C77" s="88" t="str">
        <f>'G-1 All Habitats'!B75</f>
        <v>Urban - Un-vegetated garden</v>
      </c>
      <c r="D77" s="543" t="s">
        <v>934</v>
      </c>
      <c r="E77" s="543" t="s">
        <v>934</v>
      </c>
      <c r="F77" s="543" t="s">
        <v>934</v>
      </c>
      <c r="G77" s="543" t="s">
        <v>934</v>
      </c>
      <c r="H77" s="543" t="s">
        <v>934</v>
      </c>
      <c r="I77" s="543" t="s">
        <v>934</v>
      </c>
      <c r="J77" s="543" t="s">
        <v>934</v>
      </c>
      <c r="K77" s="543" t="s">
        <v>934</v>
      </c>
      <c r="L77" s="543" t="s">
        <v>934</v>
      </c>
      <c r="M77" s="543" t="s">
        <v>934</v>
      </c>
      <c r="N77" s="543" t="s">
        <v>934</v>
      </c>
      <c r="O77" s="543" t="s">
        <v>934</v>
      </c>
      <c r="P77" s="543" t="s">
        <v>934</v>
      </c>
      <c r="Q77" s="543" t="s">
        <v>934</v>
      </c>
      <c r="R77" s="543" t="s">
        <v>934</v>
      </c>
      <c r="S77" s="543" t="s">
        <v>934</v>
      </c>
      <c r="T77" s="543" t="s">
        <v>934</v>
      </c>
      <c r="U77" s="543" t="s">
        <v>934</v>
      </c>
      <c r="V77" s="543" t="s">
        <v>934</v>
      </c>
      <c r="W77" s="543" t="s">
        <v>934</v>
      </c>
      <c r="X77" s="543" t="s">
        <v>934</v>
      </c>
      <c r="Y77" s="543" t="s">
        <v>934</v>
      </c>
    </row>
    <row r="78" spans="3:25" x14ac:dyDescent="0.3">
      <c r="C78" s="88" t="str">
        <f>'G-1 All Habitats'!B76</f>
        <v>Urban - Vacant/derelict land/ bareground</v>
      </c>
      <c r="D78" s="543" t="s">
        <v>934</v>
      </c>
      <c r="E78" s="543" t="s">
        <v>934</v>
      </c>
      <c r="F78" s="543">
        <v>1</v>
      </c>
      <c r="G78" s="543">
        <v>1</v>
      </c>
      <c r="H78" s="543">
        <v>1</v>
      </c>
      <c r="I78" s="543">
        <v>1</v>
      </c>
      <c r="J78" s="543">
        <v>1</v>
      </c>
      <c r="K78" s="543" t="s">
        <v>934</v>
      </c>
      <c r="L78" s="543" t="s">
        <v>934</v>
      </c>
      <c r="M78" s="543" t="s">
        <v>934</v>
      </c>
      <c r="N78" s="543" t="s">
        <v>934</v>
      </c>
      <c r="O78" s="543">
        <v>1</v>
      </c>
      <c r="P78" s="543">
        <v>1</v>
      </c>
      <c r="Q78" s="543">
        <v>1</v>
      </c>
      <c r="R78" s="543">
        <v>1</v>
      </c>
      <c r="S78" s="543">
        <v>1</v>
      </c>
      <c r="T78" s="543">
        <v>1</v>
      </c>
      <c r="U78" s="543">
        <v>1</v>
      </c>
      <c r="V78" s="543">
        <v>1</v>
      </c>
      <c r="W78" s="543">
        <v>1</v>
      </c>
      <c r="X78" s="543">
        <v>1</v>
      </c>
      <c r="Y78" s="543" t="s">
        <v>934</v>
      </c>
    </row>
    <row r="79" spans="3:25" x14ac:dyDescent="0.3">
      <c r="C79" s="88" t="str">
        <f>'G-1 All Habitats'!B77</f>
        <v>Urban - Vegetated garden</v>
      </c>
      <c r="D79" s="543" t="s">
        <v>934</v>
      </c>
      <c r="E79" s="543" t="s">
        <v>934</v>
      </c>
      <c r="F79" s="543">
        <v>1</v>
      </c>
      <c r="G79" s="543">
        <v>2</v>
      </c>
      <c r="H79" s="543">
        <v>3</v>
      </c>
      <c r="I79" s="543">
        <v>4</v>
      </c>
      <c r="J79" s="543">
        <v>5</v>
      </c>
      <c r="K79" s="543" t="s">
        <v>934</v>
      </c>
      <c r="L79" s="543" t="s">
        <v>934</v>
      </c>
      <c r="M79" s="543" t="s">
        <v>934</v>
      </c>
      <c r="N79" s="543" t="s">
        <v>934</v>
      </c>
      <c r="O79" s="543">
        <v>1</v>
      </c>
      <c r="P79" s="543">
        <v>2</v>
      </c>
      <c r="Q79" s="543">
        <v>3</v>
      </c>
      <c r="R79" s="543">
        <v>5</v>
      </c>
      <c r="S79" s="543">
        <v>1</v>
      </c>
      <c r="T79" s="543">
        <v>2</v>
      </c>
      <c r="U79" s="543">
        <v>3</v>
      </c>
      <c r="V79" s="543">
        <v>1</v>
      </c>
      <c r="W79" s="543">
        <v>2</v>
      </c>
      <c r="X79" s="543">
        <v>1</v>
      </c>
      <c r="Y79" s="543" t="s">
        <v>934</v>
      </c>
    </row>
    <row r="80" spans="3:25" x14ac:dyDescent="0.3">
      <c r="C80" s="88" t="str">
        <f>'G-1 All Habitats'!B78</f>
        <v>Wetland - Blanket bog</v>
      </c>
      <c r="D80" s="543" t="s">
        <v>934</v>
      </c>
      <c r="E80" s="543" t="s">
        <v>934</v>
      </c>
      <c r="F80" s="543">
        <v>15</v>
      </c>
      <c r="G80" s="543">
        <v>25</v>
      </c>
      <c r="H80" s="543">
        <v>30</v>
      </c>
      <c r="I80" s="543" t="s">
        <v>935</v>
      </c>
      <c r="J80" s="543" t="s">
        <v>935</v>
      </c>
      <c r="K80" s="543" t="s">
        <v>934</v>
      </c>
      <c r="L80" s="543" t="s">
        <v>934</v>
      </c>
      <c r="M80" s="543" t="s">
        <v>934</v>
      </c>
      <c r="N80" s="543" t="s">
        <v>934</v>
      </c>
      <c r="O80" s="543">
        <v>10</v>
      </c>
      <c r="P80" s="543">
        <v>20</v>
      </c>
      <c r="Q80" s="543" t="s">
        <v>935</v>
      </c>
      <c r="R80" s="543">
        <v>30</v>
      </c>
      <c r="S80" s="543">
        <v>10</v>
      </c>
      <c r="T80" s="543" t="s">
        <v>935</v>
      </c>
      <c r="U80" s="543" t="s">
        <v>935</v>
      </c>
      <c r="V80" s="543">
        <v>30</v>
      </c>
      <c r="W80" s="543" t="s">
        <v>935</v>
      </c>
      <c r="X80" s="543">
        <v>30</v>
      </c>
      <c r="Y80" s="543" t="s">
        <v>934</v>
      </c>
    </row>
    <row r="81" spans="3:25" x14ac:dyDescent="0.3">
      <c r="C81" s="88" t="str">
        <f>'G-1 All Habitats'!B79</f>
        <v>Wetland - Depressions on Peat substrates (H7150)</v>
      </c>
      <c r="D81" s="543" t="s">
        <v>934</v>
      </c>
      <c r="E81" s="543" t="s">
        <v>934</v>
      </c>
      <c r="F81" s="543">
        <v>15</v>
      </c>
      <c r="G81" s="543">
        <v>25</v>
      </c>
      <c r="H81" s="543">
        <v>30</v>
      </c>
      <c r="I81" s="543" t="s">
        <v>935</v>
      </c>
      <c r="J81" s="543" t="s">
        <v>935</v>
      </c>
      <c r="K81" s="543" t="s">
        <v>934</v>
      </c>
      <c r="L81" s="543" t="s">
        <v>934</v>
      </c>
      <c r="M81" s="543" t="s">
        <v>934</v>
      </c>
      <c r="N81" s="543" t="s">
        <v>934</v>
      </c>
      <c r="O81" s="543">
        <v>10</v>
      </c>
      <c r="P81" s="543">
        <v>20</v>
      </c>
      <c r="Q81" s="543">
        <v>25</v>
      </c>
      <c r="R81" s="543">
        <v>30</v>
      </c>
      <c r="S81" s="543">
        <v>10</v>
      </c>
      <c r="T81" s="543">
        <v>20</v>
      </c>
      <c r="U81" s="543">
        <v>25</v>
      </c>
      <c r="V81" s="543">
        <v>10</v>
      </c>
      <c r="W81" s="543">
        <v>20</v>
      </c>
      <c r="X81" s="543">
        <v>10</v>
      </c>
      <c r="Y81" s="543" t="s">
        <v>934</v>
      </c>
    </row>
    <row r="82" spans="3:25" x14ac:dyDescent="0.3">
      <c r="C82" s="88" t="str">
        <f>'G-1 All Habitats'!B80</f>
        <v>Wetland - Fens (upland and lowland)</v>
      </c>
      <c r="D82" s="543" t="s">
        <v>934</v>
      </c>
      <c r="E82" s="543" t="s">
        <v>934</v>
      </c>
      <c r="F82" s="543">
        <v>10</v>
      </c>
      <c r="G82" s="543">
        <v>12</v>
      </c>
      <c r="H82" s="543">
        <v>15</v>
      </c>
      <c r="I82" s="543">
        <v>25</v>
      </c>
      <c r="J82" s="543">
        <v>30</v>
      </c>
      <c r="K82" s="543" t="s">
        <v>934</v>
      </c>
      <c r="L82" s="543" t="s">
        <v>934</v>
      </c>
      <c r="M82" s="543" t="s">
        <v>934</v>
      </c>
      <c r="N82" s="543" t="s">
        <v>934</v>
      </c>
      <c r="O82" s="543">
        <v>10</v>
      </c>
      <c r="P82" s="543">
        <v>12</v>
      </c>
      <c r="Q82" s="543">
        <v>15</v>
      </c>
      <c r="R82" s="543">
        <v>18</v>
      </c>
      <c r="S82" s="543">
        <v>10</v>
      </c>
      <c r="T82" s="543">
        <v>12</v>
      </c>
      <c r="U82" s="543">
        <v>15</v>
      </c>
      <c r="V82" s="543">
        <v>10</v>
      </c>
      <c r="W82" s="543">
        <v>12</v>
      </c>
      <c r="X82" s="543">
        <v>10</v>
      </c>
      <c r="Y82" s="543" t="s">
        <v>934</v>
      </c>
    </row>
    <row r="83" spans="3:25" x14ac:dyDescent="0.3">
      <c r="C83" s="88" t="str">
        <f>'G-1 All Habitats'!B81</f>
        <v>Wetland - Lowland raised bog</v>
      </c>
      <c r="D83" s="543" t="s">
        <v>934</v>
      </c>
      <c r="E83" s="543" t="s">
        <v>934</v>
      </c>
      <c r="F83" s="543">
        <v>15</v>
      </c>
      <c r="G83" s="543">
        <v>20</v>
      </c>
      <c r="H83" s="543">
        <v>30</v>
      </c>
      <c r="I83" s="543" t="s">
        <v>935</v>
      </c>
      <c r="J83" s="543" t="s">
        <v>935</v>
      </c>
      <c r="K83" s="543" t="s">
        <v>934</v>
      </c>
      <c r="L83" s="543" t="s">
        <v>934</v>
      </c>
      <c r="M83" s="543" t="s">
        <v>934</v>
      </c>
      <c r="N83" s="543" t="s">
        <v>934</v>
      </c>
      <c r="O83" s="543">
        <v>10</v>
      </c>
      <c r="P83" s="543">
        <v>20</v>
      </c>
      <c r="Q83" s="543">
        <v>25</v>
      </c>
      <c r="R83" s="543">
        <v>30</v>
      </c>
      <c r="S83" s="543">
        <v>10</v>
      </c>
      <c r="T83" s="543">
        <v>20</v>
      </c>
      <c r="U83" s="543">
        <v>20</v>
      </c>
      <c r="V83" s="543">
        <v>10</v>
      </c>
      <c r="W83" s="543">
        <v>15</v>
      </c>
      <c r="X83" s="543">
        <v>10</v>
      </c>
      <c r="Y83" s="543" t="s">
        <v>934</v>
      </c>
    </row>
    <row r="84" spans="3:25" x14ac:dyDescent="0.3">
      <c r="C84" s="88" t="str">
        <f>'G-1 All Habitats'!B82</f>
        <v>Wetland - Oceanic Valley Mire[1] (D2.1)</v>
      </c>
      <c r="D84" s="543" t="s">
        <v>934</v>
      </c>
      <c r="E84" s="543" t="s">
        <v>934</v>
      </c>
      <c r="F84" s="543">
        <v>15</v>
      </c>
      <c r="G84" s="543">
        <v>20</v>
      </c>
      <c r="H84" s="543">
        <v>30</v>
      </c>
      <c r="I84" s="543" t="s">
        <v>935</v>
      </c>
      <c r="J84" s="543" t="s">
        <v>935</v>
      </c>
      <c r="K84" s="543" t="s">
        <v>934</v>
      </c>
      <c r="L84" s="543" t="s">
        <v>934</v>
      </c>
      <c r="M84" s="543" t="s">
        <v>934</v>
      </c>
      <c r="N84" s="543" t="s">
        <v>934</v>
      </c>
      <c r="O84" s="543">
        <v>10</v>
      </c>
      <c r="P84" s="543">
        <v>20</v>
      </c>
      <c r="Q84" s="543">
        <v>25</v>
      </c>
      <c r="R84" s="543">
        <v>30</v>
      </c>
      <c r="S84" s="543">
        <v>10</v>
      </c>
      <c r="T84" s="543">
        <v>20</v>
      </c>
      <c r="U84" s="543">
        <v>20</v>
      </c>
      <c r="V84" s="543">
        <v>10</v>
      </c>
      <c r="W84" s="543">
        <v>15</v>
      </c>
      <c r="X84" s="543">
        <v>10</v>
      </c>
      <c r="Y84" s="543" t="s">
        <v>934</v>
      </c>
    </row>
    <row r="85" spans="3:25" x14ac:dyDescent="0.3">
      <c r="C85" s="88" t="str">
        <f>'G-1 All Habitats'!B83</f>
        <v>Wetland - Purple moor grass and rush pastures</v>
      </c>
      <c r="D85" s="543" t="s">
        <v>934</v>
      </c>
      <c r="E85" s="543" t="s">
        <v>934</v>
      </c>
      <c r="F85" s="543">
        <v>10</v>
      </c>
      <c r="G85" s="543">
        <v>12</v>
      </c>
      <c r="H85" s="543">
        <v>15</v>
      </c>
      <c r="I85" s="543">
        <v>17</v>
      </c>
      <c r="J85" s="543">
        <v>20</v>
      </c>
      <c r="K85" s="543" t="s">
        <v>934</v>
      </c>
      <c r="L85" s="543" t="s">
        <v>934</v>
      </c>
      <c r="M85" s="543" t="s">
        <v>934</v>
      </c>
      <c r="N85" s="543" t="s">
        <v>934</v>
      </c>
      <c r="O85" s="543">
        <v>10</v>
      </c>
      <c r="P85" s="543">
        <v>10</v>
      </c>
      <c r="Q85" s="543">
        <v>15</v>
      </c>
      <c r="R85" s="543">
        <v>20</v>
      </c>
      <c r="S85" s="543">
        <v>10</v>
      </c>
      <c r="T85" s="543">
        <v>15</v>
      </c>
      <c r="U85" s="543">
        <v>20</v>
      </c>
      <c r="V85" s="543">
        <v>10</v>
      </c>
      <c r="W85" s="543">
        <v>15</v>
      </c>
      <c r="X85" s="543">
        <v>10</v>
      </c>
      <c r="Y85" s="543" t="s">
        <v>934</v>
      </c>
    </row>
    <row r="86" spans="3:25" x14ac:dyDescent="0.3">
      <c r="C86" s="88" t="str">
        <f>'G-1 All Habitats'!B84</f>
        <v>Wetland - Reedbeds</v>
      </c>
      <c r="D86" s="543" t="s">
        <v>934</v>
      </c>
      <c r="E86" s="543" t="s">
        <v>934</v>
      </c>
      <c r="F86" s="543">
        <v>5</v>
      </c>
      <c r="G86" s="543">
        <v>7</v>
      </c>
      <c r="H86" s="543">
        <v>10</v>
      </c>
      <c r="I86" s="543">
        <v>12</v>
      </c>
      <c r="J86" s="543">
        <v>15</v>
      </c>
      <c r="K86" s="543" t="s">
        <v>934</v>
      </c>
      <c r="L86" s="543" t="s">
        <v>934</v>
      </c>
      <c r="M86" s="543" t="s">
        <v>934</v>
      </c>
      <c r="N86" s="543" t="s">
        <v>934</v>
      </c>
      <c r="O86" s="543">
        <v>5</v>
      </c>
      <c r="P86" s="543">
        <v>7</v>
      </c>
      <c r="Q86" s="543">
        <v>10</v>
      </c>
      <c r="R86" s="543">
        <v>12</v>
      </c>
      <c r="S86" s="543">
        <v>5</v>
      </c>
      <c r="T86" s="543">
        <v>7</v>
      </c>
      <c r="U86" s="543">
        <v>10</v>
      </c>
      <c r="V86" s="543">
        <v>5</v>
      </c>
      <c r="W86" s="543">
        <v>7</v>
      </c>
      <c r="X86" s="543">
        <v>5</v>
      </c>
      <c r="Y86" s="543" t="s">
        <v>934</v>
      </c>
    </row>
    <row r="87" spans="3:25" x14ac:dyDescent="0.3">
      <c r="C87" s="88" t="str">
        <f>'G-1 All Habitats'!B85</f>
        <v>Wetland - Transition mires and quaking bogs (H7140)</v>
      </c>
      <c r="D87" s="543" t="s">
        <v>934</v>
      </c>
      <c r="E87" s="543" t="s">
        <v>934</v>
      </c>
      <c r="F87" s="543">
        <v>15</v>
      </c>
      <c r="G87" s="543">
        <v>25</v>
      </c>
      <c r="H87" s="543">
        <v>30</v>
      </c>
      <c r="I87" s="543" t="s">
        <v>935</v>
      </c>
      <c r="J87" s="543" t="s">
        <v>935</v>
      </c>
      <c r="K87" s="543" t="s">
        <v>934</v>
      </c>
      <c r="L87" s="543" t="s">
        <v>934</v>
      </c>
      <c r="M87" s="543" t="s">
        <v>934</v>
      </c>
      <c r="N87" s="543" t="s">
        <v>934</v>
      </c>
      <c r="O87" s="543">
        <v>10</v>
      </c>
      <c r="P87" s="543">
        <v>20</v>
      </c>
      <c r="Q87" s="543">
        <v>25</v>
      </c>
      <c r="R87" s="543">
        <v>30</v>
      </c>
      <c r="S87" s="543">
        <v>10</v>
      </c>
      <c r="T87" s="543">
        <v>20</v>
      </c>
      <c r="U87" s="543">
        <v>20</v>
      </c>
      <c r="V87" s="543">
        <v>10</v>
      </c>
      <c r="W87" s="543">
        <v>15</v>
      </c>
      <c r="X87" s="543">
        <v>10</v>
      </c>
      <c r="Y87" s="543" t="s">
        <v>934</v>
      </c>
    </row>
    <row r="88" spans="3:25" x14ac:dyDescent="0.3">
      <c r="C88" s="88" t="str">
        <f>'G-1 All Habitats'!B86</f>
        <v>Woodland and forest - Felled</v>
      </c>
      <c r="D88" s="543" t="s">
        <v>934</v>
      </c>
      <c r="E88" s="543" t="s">
        <v>934</v>
      </c>
      <c r="F88" s="543" t="s">
        <v>934</v>
      </c>
      <c r="G88" s="543" t="s">
        <v>934</v>
      </c>
      <c r="H88" s="543" t="s">
        <v>934</v>
      </c>
      <c r="I88" s="543" t="s">
        <v>934</v>
      </c>
      <c r="J88" s="543" t="s">
        <v>934</v>
      </c>
      <c r="K88" s="543" t="s">
        <v>934</v>
      </c>
      <c r="L88" s="543" t="s">
        <v>934</v>
      </c>
      <c r="M88" s="543" t="s">
        <v>934</v>
      </c>
      <c r="N88" s="543" t="s">
        <v>934</v>
      </c>
      <c r="O88" s="543" t="s">
        <v>934</v>
      </c>
      <c r="P88" s="543" t="s">
        <v>934</v>
      </c>
      <c r="Q88" s="543" t="s">
        <v>934</v>
      </c>
      <c r="R88" s="543" t="s">
        <v>934</v>
      </c>
      <c r="S88" s="543" t="s">
        <v>934</v>
      </c>
      <c r="T88" s="543" t="s">
        <v>934</v>
      </c>
      <c r="U88" s="543" t="s">
        <v>934</v>
      </c>
      <c r="V88" s="543" t="s">
        <v>934</v>
      </c>
      <c r="W88" s="543" t="s">
        <v>934</v>
      </c>
      <c r="X88" s="543" t="s">
        <v>934</v>
      </c>
      <c r="Y88" s="543" t="s">
        <v>934</v>
      </c>
    </row>
    <row r="89" spans="3:25" x14ac:dyDescent="0.3">
      <c r="C89" s="88" t="str">
        <f>'G-1 All Habitats'!B87</f>
        <v>Woodland and forest - Lowland beech and yew woodland</v>
      </c>
      <c r="D89" s="543" t="s">
        <v>934</v>
      </c>
      <c r="E89" s="543" t="s">
        <v>934</v>
      </c>
      <c r="F89" s="543">
        <v>10</v>
      </c>
      <c r="G89" s="543">
        <v>25</v>
      </c>
      <c r="H89" s="543" t="s">
        <v>935</v>
      </c>
      <c r="I89" s="543" t="s">
        <v>935</v>
      </c>
      <c r="J89" s="543" t="s">
        <v>935</v>
      </c>
      <c r="K89" s="543" t="s">
        <v>934</v>
      </c>
      <c r="L89" s="543" t="s">
        <v>934</v>
      </c>
      <c r="M89" s="543" t="s">
        <v>934</v>
      </c>
      <c r="N89" s="543" t="s">
        <v>934</v>
      </c>
      <c r="O89" s="543">
        <v>25</v>
      </c>
      <c r="P89" s="543" t="s">
        <v>935</v>
      </c>
      <c r="Q89" s="543" t="s">
        <v>935</v>
      </c>
      <c r="R89" s="543" t="s">
        <v>935</v>
      </c>
      <c r="S89" s="543" t="s">
        <v>935</v>
      </c>
      <c r="T89" s="543" t="s">
        <v>935</v>
      </c>
      <c r="U89" s="543" t="s">
        <v>935</v>
      </c>
      <c r="V89" s="543" t="s">
        <v>935</v>
      </c>
      <c r="W89" s="543" t="s">
        <v>935</v>
      </c>
      <c r="X89" s="543" t="s">
        <v>935</v>
      </c>
      <c r="Y89" s="543" t="s">
        <v>934</v>
      </c>
    </row>
    <row r="90" spans="3:25" x14ac:dyDescent="0.3">
      <c r="C90" s="88" t="str">
        <f>'G-1 All Habitats'!B88</f>
        <v>Woodland and forest - Lowland mixed deciduous woodland</v>
      </c>
      <c r="D90" s="543" t="s">
        <v>934</v>
      </c>
      <c r="E90" s="543" t="s">
        <v>934</v>
      </c>
      <c r="F90" s="543">
        <v>10</v>
      </c>
      <c r="G90" s="543">
        <v>25</v>
      </c>
      <c r="H90" s="543" t="s">
        <v>935</v>
      </c>
      <c r="I90" s="543" t="s">
        <v>935</v>
      </c>
      <c r="J90" s="543" t="s">
        <v>935</v>
      </c>
      <c r="K90" s="543" t="s">
        <v>934</v>
      </c>
      <c r="L90" s="543" t="s">
        <v>934</v>
      </c>
      <c r="M90" s="543" t="s">
        <v>934</v>
      </c>
      <c r="N90" s="543" t="s">
        <v>934</v>
      </c>
      <c r="O90" s="543">
        <v>10</v>
      </c>
      <c r="P90" s="543">
        <v>20</v>
      </c>
      <c r="Q90" s="543">
        <v>25</v>
      </c>
      <c r="R90" s="543" t="s">
        <v>935</v>
      </c>
      <c r="S90" s="543">
        <v>10</v>
      </c>
      <c r="T90" s="543">
        <v>20</v>
      </c>
      <c r="U90" s="543">
        <v>25</v>
      </c>
      <c r="V90" s="543">
        <v>10</v>
      </c>
      <c r="W90" s="543">
        <v>20</v>
      </c>
      <c r="X90" s="543">
        <v>10</v>
      </c>
      <c r="Y90" s="543" t="s">
        <v>934</v>
      </c>
    </row>
    <row r="91" spans="3:25" x14ac:dyDescent="0.3">
      <c r="C91" s="88" t="str">
        <f>'G-1 All Habitats'!B89</f>
        <v>Woodland and forest - Native pine woodlands</v>
      </c>
      <c r="D91" s="543" t="s">
        <v>934</v>
      </c>
      <c r="E91" s="543" t="s">
        <v>934</v>
      </c>
      <c r="F91" s="543">
        <v>25</v>
      </c>
      <c r="G91" s="543">
        <v>30</v>
      </c>
      <c r="H91" s="543" t="s">
        <v>935</v>
      </c>
      <c r="I91" s="543" t="s">
        <v>935</v>
      </c>
      <c r="J91" s="543" t="s">
        <v>935</v>
      </c>
      <c r="K91" s="543" t="s">
        <v>934</v>
      </c>
      <c r="L91" s="543" t="s">
        <v>934</v>
      </c>
      <c r="M91" s="543" t="s">
        <v>934</v>
      </c>
      <c r="N91" s="543" t="s">
        <v>934</v>
      </c>
      <c r="O91" s="543">
        <v>10</v>
      </c>
      <c r="P91" s="543">
        <v>15</v>
      </c>
      <c r="Q91" s="543">
        <v>20</v>
      </c>
      <c r="R91" s="543" t="s">
        <v>935</v>
      </c>
      <c r="S91" s="543">
        <v>15</v>
      </c>
      <c r="T91" s="543">
        <v>20</v>
      </c>
      <c r="U91" s="543">
        <v>25</v>
      </c>
      <c r="V91" s="543">
        <v>10</v>
      </c>
      <c r="W91" s="543">
        <v>15</v>
      </c>
      <c r="X91" s="543">
        <v>10</v>
      </c>
      <c r="Y91" s="543" t="s">
        <v>934</v>
      </c>
    </row>
    <row r="92" spans="3:25" x14ac:dyDescent="0.3">
      <c r="C92" s="88" t="str">
        <f>'G-1 All Habitats'!B90</f>
        <v>Woodland and forest - Other coniferous woodland</v>
      </c>
      <c r="D92" s="543" t="s">
        <v>934</v>
      </c>
      <c r="E92" s="543" t="s">
        <v>934</v>
      </c>
      <c r="F92" s="543" t="s">
        <v>934</v>
      </c>
      <c r="G92" s="543" t="s">
        <v>934</v>
      </c>
      <c r="H92" s="543" t="s">
        <v>934</v>
      </c>
      <c r="I92" s="543" t="s">
        <v>934</v>
      </c>
      <c r="J92" s="543" t="s">
        <v>934</v>
      </c>
      <c r="K92" s="543" t="s">
        <v>934</v>
      </c>
      <c r="L92" s="543" t="s">
        <v>934</v>
      </c>
      <c r="M92" s="543" t="s">
        <v>934</v>
      </c>
      <c r="N92" s="543" t="s">
        <v>934</v>
      </c>
      <c r="O92" s="543">
        <v>5</v>
      </c>
      <c r="P92" s="543">
        <v>25</v>
      </c>
      <c r="Q92" s="543" t="s">
        <v>935</v>
      </c>
      <c r="R92" s="543" t="s">
        <v>935</v>
      </c>
      <c r="S92" s="543">
        <v>20</v>
      </c>
      <c r="T92" s="543">
        <v>15</v>
      </c>
      <c r="U92" s="543">
        <v>25</v>
      </c>
      <c r="V92" s="543">
        <v>5</v>
      </c>
      <c r="W92" s="543">
        <v>7</v>
      </c>
      <c r="X92" s="543">
        <v>10</v>
      </c>
      <c r="Y92" s="543" t="s">
        <v>934</v>
      </c>
    </row>
    <row r="93" spans="3:25" x14ac:dyDescent="0.3">
      <c r="C93" s="88" t="str">
        <f>'G-1 All Habitats'!B91</f>
        <v>Woodland and forest - Other Scot's Pine woodland</v>
      </c>
      <c r="D93" s="543" t="s">
        <v>934</v>
      </c>
      <c r="E93" s="543" t="s">
        <v>934</v>
      </c>
      <c r="F93" s="543">
        <v>20</v>
      </c>
      <c r="G93" s="543">
        <v>25</v>
      </c>
      <c r="H93" s="543" t="s">
        <v>935</v>
      </c>
      <c r="I93" s="543" t="s">
        <v>935</v>
      </c>
      <c r="J93" s="543" t="s">
        <v>935</v>
      </c>
      <c r="K93" s="543" t="s">
        <v>934</v>
      </c>
      <c r="L93" s="543" t="s">
        <v>934</v>
      </c>
      <c r="M93" s="543" t="s">
        <v>934</v>
      </c>
      <c r="N93" s="543" t="s">
        <v>934</v>
      </c>
      <c r="O93" s="543">
        <v>10</v>
      </c>
      <c r="P93" s="543">
        <v>15</v>
      </c>
      <c r="Q93" s="543">
        <v>20</v>
      </c>
      <c r="R93" s="543" t="s">
        <v>935</v>
      </c>
      <c r="S93" s="543">
        <v>15</v>
      </c>
      <c r="T93" s="543">
        <v>20</v>
      </c>
      <c r="U93" s="543">
        <v>25</v>
      </c>
      <c r="V93" s="543">
        <v>10</v>
      </c>
      <c r="W93" s="543">
        <v>15</v>
      </c>
      <c r="X93" s="543">
        <v>10</v>
      </c>
      <c r="Y93" s="543" t="s">
        <v>934</v>
      </c>
    </row>
    <row r="94" spans="3:25" x14ac:dyDescent="0.3">
      <c r="C94" s="88" t="str">
        <f>'G-1 All Habitats'!B92</f>
        <v>Woodland and forest - Other woodland; broadleaved</v>
      </c>
      <c r="D94" s="543" t="s">
        <v>934</v>
      </c>
      <c r="E94" s="543" t="s">
        <v>934</v>
      </c>
      <c r="F94" s="543">
        <v>5</v>
      </c>
      <c r="G94" s="543">
        <v>10</v>
      </c>
      <c r="H94" s="543">
        <v>15</v>
      </c>
      <c r="I94" s="543">
        <v>20</v>
      </c>
      <c r="J94" s="543">
        <v>25</v>
      </c>
      <c r="K94" s="543" t="s">
        <v>934</v>
      </c>
      <c r="L94" s="543" t="s">
        <v>934</v>
      </c>
      <c r="M94" s="543" t="s">
        <v>934</v>
      </c>
      <c r="N94" s="543" t="s">
        <v>934</v>
      </c>
      <c r="O94" s="543">
        <v>5</v>
      </c>
      <c r="P94" s="543">
        <v>10</v>
      </c>
      <c r="Q94" s="543">
        <v>15</v>
      </c>
      <c r="R94" s="543">
        <v>20</v>
      </c>
      <c r="S94" s="543">
        <v>5</v>
      </c>
      <c r="T94" s="543">
        <v>10</v>
      </c>
      <c r="U94" s="543">
        <v>15</v>
      </c>
      <c r="V94" s="543">
        <v>5</v>
      </c>
      <c r="W94" s="543">
        <v>10</v>
      </c>
      <c r="X94" s="543">
        <v>5</v>
      </c>
      <c r="Y94" s="543" t="s">
        <v>934</v>
      </c>
    </row>
    <row r="95" spans="3:25" x14ac:dyDescent="0.3">
      <c r="C95" s="88" t="str">
        <f>'G-1 All Habitats'!B93</f>
        <v>Woodland and forest - Other woodland; mixed</v>
      </c>
      <c r="D95" s="543" t="s">
        <v>934</v>
      </c>
      <c r="E95" s="543" t="s">
        <v>934</v>
      </c>
      <c r="F95" s="543">
        <v>5</v>
      </c>
      <c r="G95" s="543">
        <v>10</v>
      </c>
      <c r="H95" s="543">
        <v>15</v>
      </c>
      <c r="I95" s="543">
        <v>20</v>
      </c>
      <c r="J95" s="543">
        <v>25</v>
      </c>
      <c r="K95" s="543" t="s">
        <v>934</v>
      </c>
      <c r="L95" s="543" t="s">
        <v>934</v>
      </c>
      <c r="M95" s="543" t="s">
        <v>934</v>
      </c>
      <c r="N95" s="543" t="s">
        <v>934</v>
      </c>
      <c r="O95" s="543">
        <v>5</v>
      </c>
      <c r="P95" s="543">
        <v>10</v>
      </c>
      <c r="Q95" s="543">
        <v>15</v>
      </c>
      <c r="R95" s="543">
        <v>20</v>
      </c>
      <c r="S95" s="543">
        <v>5</v>
      </c>
      <c r="T95" s="543">
        <v>10</v>
      </c>
      <c r="U95" s="543">
        <v>15</v>
      </c>
      <c r="V95" s="543">
        <v>5</v>
      </c>
      <c r="W95" s="543">
        <v>10</v>
      </c>
      <c r="X95" s="543">
        <v>5</v>
      </c>
      <c r="Y95" s="543" t="s">
        <v>934</v>
      </c>
    </row>
    <row r="96" spans="3:25" x14ac:dyDescent="0.3">
      <c r="C96" s="88" t="str">
        <f>'G-1 All Habitats'!B94</f>
        <v>Woodland and forest - Upland birchwoods</v>
      </c>
      <c r="D96" s="543" t="s">
        <v>934</v>
      </c>
      <c r="E96" s="543" t="s">
        <v>934</v>
      </c>
      <c r="F96" s="543">
        <v>10</v>
      </c>
      <c r="G96" s="543">
        <v>20</v>
      </c>
      <c r="H96" s="543">
        <v>25</v>
      </c>
      <c r="I96" s="543">
        <v>30</v>
      </c>
      <c r="J96" s="543" t="s">
        <v>935</v>
      </c>
      <c r="K96" s="543" t="s">
        <v>934</v>
      </c>
      <c r="L96" s="543" t="s">
        <v>934</v>
      </c>
      <c r="M96" s="543" t="s">
        <v>934</v>
      </c>
      <c r="N96" s="543" t="s">
        <v>934</v>
      </c>
      <c r="O96" s="543">
        <v>10</v>
      </c>
      <c r="P96" s="543">
        <v>15</v>
      </c>
      <c r="Q96" s="543">
        <v>20</v>
      </c>
      <c r="R96" s="543" t="s">
        <v>935</v>
      </c>
      <c r="S96" s="543">
        <v>15</v>
      </c>
      <c r="T96" s="543">
        <v>20</v>
      </c>
      <c r="U96" s="543">
        <v>25</v>
      </c>
      <c r="V96" s="543">
        <v>10</v>
      </c>
      <c r="W96" s="543">
        <v>15</v>
      </c>
      <c r="X96" s="543">
        <v>10</v>
      </c>
      <c r="Y96" s="543" t="s">
        <v>934</v>
      </c>
    </row>
    <row r="97" spans="3:25" x14ac:dyDescent="0.3">
      <c r="C97" s="88" t="str">
        <f>'G-1 All Habitats'!B95</f>
        <v>Woodland and forest - Upland mixed ashwoods</v>
      </c>
      <c r="D97" s="543" t="s">
        <v>934</v>
      </c>
      <c r="E97" s="543" t="s">
        <v>934</v>
      </c>
      <c r="F97" s="543">
        <v>10</v>
      </c>
      <c r="G97" s="543">
        <v>25</v>
      </c>
      <c r="H97" s="543" t="s">
        <v>935</v>
      </c>
      <c r="I97" s="543" t="s">
        <v>935</v>
      </c>
      <c r="J97" s="543" t="s">
        <v>935</v>
      </c>
      <c r="K97" s="543" t="s">
        <v>934</v>
      </c>
      <c r="L97" s="543" t="s">
        <v>934</v>
      </c>
      <c r="M97" s="543" t="s">
        <v>934</v>
      </c>
      <c r="N97" s="543" t="s">
        <v>934</v>
      </c>
      <c r="O97" s="543">
        <v>10</v>
      </c>
      <c r="P97" s="543">
        <v>15</v>
      </c>
      <c r="Q97" s="543">
        <v>20</v>
      </c>
      <c r="R97" s="543" t="s">
        <v>935</v>
      </c>
      <c r="S97" s="543">
        <v>15</v>
      </c>
      <c r="T97" s="543">
        <v>20</v>
      </c>
      <c r="U97" s="543">
        <v>25</v>
      </c>
      <c r="V97" s="543">
        <v>10</v>
      </c>
      <c r="W97" s="543">
        <v>15</v>
      </c>
      <c r="X97" s="543">
        <v>10</v>
      </c>
      <c r="Y97" s="543" t="s">
        <v>934</v>
      </c>
    </row>
    <row r="98" spans="3:25" x14ac:dyDescent="0.3">
      <c r="C98" s="88" t="str">
        <f>'G-1 All Habitats'!B96</f>
        <v>Woodland and forest - Upland oakwood</v>
      </c>
      <c r="D98" s="543" t="s">
        <v>934</v>
      </c>
      <c r="E98" s="543" t="s">
        <v>934</v>
      </c>
      <c r="F98" s="543">
        <v>10</v>
      </c>
      <c r="G98" s="543">
        <v>25</v>
      </c>
      <c r="H98" s="543" t="s">
        <v>935</v>
      </c>
      <c r="I98" s="543" t="s">
        <v>935</v>
      </c>
      <c r="J98" s="543" t="s">
        <v>935</v>
      </c>
      <c r="K98" s="543" t="s">
        <v>934</v>
      </c>
      <c r="L98" s="543" t="s">
        <v>934</v>
      </c>
      <c r="M98" s="543" t="s">
        <v>934</v>
      </c>
      <c r="N98" s="543" t="s">
        <v>934</v>
      </c>
      <c r="O98" s="543">
        <v>25</v>
      </c>
      <c r="P98" s="543" t="s">
        <v>935</v>
      </c>
      <c r="Q98" s="543" t="s">
        <v>935</v>
      </c>
      <c r="R98" s="543" t="s">
        <v>935</v>
      </c>
      <c r="S98" s="543" t="s">
        <v>935</v>
      </c>
      <c r="T98" s="543" t="s">
        <v>935</v>
      </c>
      <c r="U98" s="543" t="s">
        <v>935</v>
      </c>
      <c r="V98" s="543" t="s">
        <v>935</v>
      </c>
      <c r="W98" s="543" t="s">
        <v>935</v>
      </c>
      <c r="X98" s="543" t="s">
        <v>935</v>
      </c>
      <c r="Y98" s="543" t="s">
        <v>934</v>
      </c>
    </row>
    <row r="99" spans="3:25" x14ac:dyDescent="0.3">
      <c r="C99" s="88" t="str">
        <f>'G-1 All Habitats'!B97</f>
        <v>Woodland and forest - Wet woodland</v>
      </c>
      <c r="D99" s="543" t="s">
        <v>934</v>
      </c>
      <c r="E99" s="543" t="s">
        <v>934</v>
      </c>
      <c r="F99" s="543">
        <v>10</v>
      </c>
      <c r="G99" s="543">
        <v>20</v>
      </c>
      <c r="H99" s="543">
        <v>25</v>
      </c>
      <c r="I99" s="543">
        <v>30</v>
      </c>
      <c r="J99" s="543" t="s">
        <v>935</v>
      </c>
      <c r="K99" s="543" t="s">
        <v>934</v>
      </c>
      <c r="L99" s="543" t="s">
        <v>934</v>
      </c>
      <c r="M99" s="543" t="s">
        <v>934</v>
      </c>
      <c r="N99" s="543" t="s">
        <v>934</v>
      </c>
      <c r="O99" s="543">
        <v>10</v>
      </c>
      <c r="P99" s="543">
        <v>10</v>
      </c>
      <c r="Q99" s="543">
        <v>15</v>
      </c>
      <c r="R99" s="543" t="s">
        <v>935</v>
      </c>
      <c r="S99" s="543">
        <v>15</v>
      </c>
      <c r="T99" s="543">
        <v>20</v>
      </c>
      <c r="U99" s="543">
        <v>25</v>
      </c>
      <c r="V99" s="543">
        <v>10</v>
      </c>
      <c r="W99" s="543">
        <v>15</v>
      </c>
      <c r="X99" s="543">
        <v>10</v>
      </c>
      <c r="Y99" s="543" t="s">
        <v>934</v>
      </c>
    </row>
    <row r="100" spans="3:25" x14ac:dyDescent="0.3">
      <c r="C100" s="88" t="str">
        <f>'G-1 All Habitats'!B98</f>
        <v>Woodland and forest - Wood-pasture and parkland</v>
      </c>
      <c r="D100" s="543" t="s">
        <v>934</v>
      </c>
      <c r="E100" s="543" t="s">
        <v>934</v>
      </c>
      <c r="F100" s="543">
        <v>10</v>
      </c>
      <c r="G100" s="543">
        <v>25</v>
      </c>
      <c r="H100" s="543" t="s">
        <v>935</v>
      </c>
      <c r="I100" s="543" t="s">
        <v>935</v>
      </c>
      <c r="J100" s="543" t="s">
        <v>935</v>
      </c>
      <c r="K100" s="543" t="s">
        <v>934</v>
      </c>
      <c r="L100" s="543" t="s">
        <v>934</v>
      </c>
      <c r="M100" s="543" t="s">
        <v>934</v>
      </c>
      <c r="N100" s="543" t="s">
        <v>934</v>
      </c>
      <c r="O100" s="543">
        <v>25</v>
      </c>
      <c r="P100" s="543" t="s">
        <v>935</v>
      </c>
      <c r="Q100" s="543" t="s">
        <v>935</v>
      </c>
      <c r="R100" s="543" t="s">
        <v>935</v>
      </c>
      <c r="S100" s="543" t="s">
        <v>935</v>
      </c>
      <c r="T100" s="543" t="s">
        <v>935</v>
      </c>
      <c r="U100" s="543" t="s">
        <v>935</v>
      </c>
      <c r="V100" s="543" t="s">
        <v>935</v>
      </c>
      <c r="W100" s="543" t="s">
        <v>935</v>
      </c>
      <c r="X100" s="543" t="s">
        <v>935</v>
      </c>
      <c r="Y100" s="543" t="s">
        <v>934</v>
      </c>
    </row>
    <row r="101" spans="3:25" x14ac:dyDescent="0.3">
      <c r="C101" s="88" t="str">
        <f>'G-1 All Habitats'!B99</f>
        <v>Coastal lagoons - Coastal lagoons</v>
      </c>
      <c r="D101" s="543" t="s">
        <v>934</v>
      </c>
      <c r="E101" s="543" t="s">
        <v>934</v>
      </c>
      <c r="F101" s="543" t="s">
        <v>934</v>
      </c>
      <c r="G101" s="543" t="s">
        <v>934</v>
      </c>
      <c r="H101" s="543" t="s">
        <v>934</v>
      </c>
      <c r="I101" s="543" t="s">
        <v>934</v>
      </c>
      <c r="J101" s="543" t="s">
        <v>934</v>
      </c>
      <c r="K101" s="543" t="s">
        <v>934</v>
      </c>
      <c r="L101" s="543" t="s">
        <v>934</v>
      </c>
      <c r="M101" s="543" t="s">
        <v>934</v>
      </c>
      <c r="N101" s="543" t="s">
        <v>934</v>
      </c>
      <c r="O101" s="543">
        <v>1</v>
      </c>
      <c r="P101" s="543">
        <v>4</v>
      </c>
      <c r="Q101" s="543">
        <v>8</v>
      </c>
      <c r="R101" s="543">
        <v>12</v>
      </c>
      <c r="S101" s="543">
        <v>3</v>
      </c>
      <c r="T101" s="543">
        <v>7</v>
      </c>
      <c r="U101" s="543">
        <v>11</v>
      </c>
      <c r="V101" s="543">
        <v>4</v>
      </c>
      <c r="W101" s="543">
        <v>8</v>
      </c>
      <c r="X101" s="543">
        <v>4</v>
      </c>
      <c r="Y101" s="543" t="s">
        <v>934</v>
      </c>
    </row>
    <row r="102" spans="3:25" x14ac:dyDescent="0.3">
      <c r="C102" s="88" t="str">
        <f>'G-1 All Habitats'!B100</f>
        <v>Rocky shore - High energy littoral rock</v>
      </c>
      <c r="D102" s="543" t="s">
        <v>934</v>
      </c>
      <c r="E102" s="543" t="s">
        <v>934</v>
      </c>
      <c r="F102" s="543" t="s">
        <v>934</v>
      </c>
      <c r="G102" s="543" t="s">
        <v>934</v>
      </c>
      <c r="H102" s="543" t="s">
        <v>934</v>
      </c>
      <c r="I102" s="543" t="s">
        <v>934</v>
      </c>
      <c r="J102" s="543" t="s">
        <v>934</v>
      </c>
      <c r="K102" s="543" t="s">
        <v>934</v>
      </c>
      <c r="L102" s="543" t="s">
        <v>934</v>
      </c>
      <c r="M102" s="543" t="s">
        <v>934</v>
      </c>
      <c r="N102" s="543" t="s">
        <v>934</v>
      </c>
      <c r="O102" s="543">
        <v>2</v>
      </c>
      <c r="P102" s="543">
        <v>4</v>
      </c>
      <c r="Q102" s="543">
        <v>6</v>
      </c>
      <c r="R102" s="543">
        <v>10</v>
      </c>
      <c r="S102" s="543">
        <v>2</v>
      </c>
      <c r="T102" s="543">
        <v>4</v>
      </c>
      <c r="U102" s="543">
        <v>8</v>
      </c>
      <c r="V102" s="543">
        <v>2</v>
      </c>
      <c r="W102" s="543">
        <v>6</v>
      </c>
      <c r="X102" s="543">
        <v>4</v>
      </c>
      <c r="Y102" s="543" t="s">
        <v>934</v>
      </c>
    </row>
    <row r="103" spans="3:25" x14ac:dyDescent="0.3">
      <c r="C103" s="88" t="str">
        <f>'G-1 All Habitats'!B101</f>
        <v>Rocky shore - High energy littoral rock - on peat, clay or chalk</v>
      </c>
      <c r="D103" s="543" t="s">
        <v>934</v>
      </c>
      <c r="E103" s="543" t="s">
        <v>934</v>
      </c>
      <c r="F103" s="543" t="s">
        <v>934</v>
      </c>
      <c r="G103" s="543" t="s">
        <v>934</v>
      </c>
      <c r="H103" s="543" t="s">
        <v>934</v>
      </c>
      <c r="I103" s="543" t="s">
        <v>934</v>
      </c>
      <c r="J103" s="543" t="s">
        <v>934</v>
      </c>
      <c r="K103" s="543" t="s">
        <v>934</v>
      </c>
      <c r="L103" s="543" t="s">
        <v>934</v>
      </c>
      <c r="M103" s="543" t="s">
        <v>934</v>
      </c>
      <c r="N103" s="543" t="s">
        <v>934</v>
      </c>
      <c r="O103" s="543">
        <v>2</v>
      </c>
      <c r="P103" s="543">
        <v>4</v>
      </c>
      <c r="Q103" s="543">
        <v>6</v>
      </c>
      <c r="R103" s="543">
        <v>10</v>
      </c>
      <c r="S103" s="543">
        <v>2</v>
      </c>
      <c r="T103" s="543">
        <v>4</v>
      </c>
      <c r="U103" s="543">
        <v>8</v>
      </c>
      <c r="V103" s="543">
        <v>2</v>
      </c>
      <c r="W103" s="543">
        <v>6</v>
      </c>
      <c r="X103" s="543">
        <v>4</v>
      </c>
      <c r="Y103" s="543" t="s">
        <v>934</v>
      </c>
    </row>
    <row r="104" spans="3:25" x14ac:dyDescent="0.3">
      <c r="C104" s="88" t="str">
        <f>'G-1 All Habitats'!B102</f>
        <v>Rocky shore - Moderate energy littoral rock</v>
      </c>
      <c r="D104" s="543" t="s">
        <v>934</v>
      </c>
      <c r="E104" s="543" t="s">
        <v>934</v>
      </c>
      <c r="F104" s="543" t="s">
        <v>934</v>
      </c>
      <c r="G104" s="543" t="s">
        <v>934</v>
      </c>
      <c r="H104" s="543" t="s">
        <v>934</v>
      </c>
      <c r="I104" s="543" t="s">
        <v>934</v>
      </c>
      <c r="J104" s="543" t="s">
        <v>934</v>
      </c>
      <c r="K104" s="543" t="s">
        <v>934</v>
      </c>
      <c r="L104" s="543" t="s">
        <v>934</v>
      </c>
      <c r="M104" s="543" t="s">
        <v>934</v>
      </c>
      <c r="N104" s="543" t="s">
        <v>934</v>
      </c>
      <c r="O104" s="543">
        <v>2</v>
      </c>
      <c r="P104" s="543">
        <v>4</v>
      </c>
      <c r="Q104" s="543">
        <v>6</v>
      </c>
      <c r="R104" s="543">
        <v>11</v>
      </c>
      <c r="S104" s="543">
        <v>2</v>
      </c>
      <c r="T104" s="543">
        <v>4</v>
      </c>
      <c r="U104" s="543">
        <v>9</v>
      </c>
      <c r="V104" s="543">
        <v>2</v>
      </c>
      <c r="W104" s="543">
        <v>7</v>
      </c>
      <c r="X104" s="543">
        <v>5</v>
      </c>
      <c r="Y104" s="543" t="s">
        <v>934</v>
      </c>
    </row>
    <row r="105" spans="3:25" x14ac:dyDescent="0.3">
      <c r="C105" s="88" t="str">
        <f>'G-1 All Habitats'!B103</f>
        <v>Rocky shore - Moderate energy littoral rock - on peat, clay or chalk</v>
      </c>
      <c r="D105" s="543" t="s">
        <v>934</v>
      </c>
      <c r="E105" s="543" t="s">
        <v>934</v>
      </c>
      <c r="F105" s="543" t="s">
        <v>934</v>
      </c>
      <c r="G105" s="543" t="s">
        <v>934</v>
      </c>
      <c r="H105" s="543" t="s">
        <v>934</v>
      </c>
      <c r="I105" s="543" t="s">
        <v>934</v>
      </c>
      <c r="J105" s="543" t="s">
        <v>934</v>
      </c>
      <c r="K105" s="543" t="s">
        <v>934</v>
      </c>
      <c r="L105" s="543" t="s">
        <v>934</v>
      </c>
      <c r="M105" s="543" t="s">
        <v>934</v>
      </c>
      <c r="N105" s="543" t="s">
        <v>934</v>
      </c>
      <c r="O105" s="543">
        <v>2</v>
      </c>
      <c r="P105" s="543">
        <v>4</v>
      </c>
      <c r="Q105" s="543">
        <v>6</v>
      </c>
      <c r="R105" s="543">
        <v>11</v>
      </c>
      <c r="S105" s="543">
        <v>2</v>
      </c>
      <c r="T105" s="543">
        <v>4</v>
      </c>
      <c r="U105" s="543">
        <v>9</v>
      </c>
      <c r="V105" s="543">
        <v>2</v>
      </c>
      <c r="W105" s="543">
        <v>7</v>
      </c>
      <c r="X105" s="543">
        <v>5</v>
      </c>
      <c r="Y105" s="543" t="s">
        <v>934</v>
      </c>
    </row>
    <row r="106" spans="3:25" x14ac:dyDescent="0.3">
      <c r="C106" s="88" t="str">
        <f>'G-1 All Habitats'!B104</f>
        <v>Rocky shore - Low energy littoral rock</v>
      </c>
      <c r="D106" s="543" t="s">
        <v>934</v>
      </c>
      <c r="E106" s="543" t="s">
        <v>934</v>
      </c>
      <c r="F106" s="543" t="s">
        <v>934</v>
      </c>
      <c r="G106" s="543" t="s">
        <v>934</v>
      </c>
      <c r="H106" s="543" t="s">
        <v>934</v>
      </c>
      <c r="I106" s="543" t="s">
        <v>934</v>
      </c>
      <c r="J106" s="543" t="s">
        <v>934</v>
      </c>
      <c r="K106" s="543" t="s">
        <v>934</v>
      </c>
      <c r="L106" s="543" t="s">
        <v>934</v>
      </c>
      <c r="M106" s="543" t="s">
        <v>934</v>
      </c>
      <c r="N106" s="543" t="s">
        <v>934</v>
      </c>
      <c r="O106" s="543">
        <v>2</v>
      </c>
      <c r="P106" s="543">
        <v>4</v>
      </c>
      <c r="Q106" s="543">
        <v>6</v>
      </c>
      <c r="R106" s="543">
        <v>12</v>
      </c>
      <c r="S106" s="543">
        <v>2</v>
      </c>
      <c r="T106" s="543">
        <v>4</v>
      </c>
      <c r="U106" s="543">
        <v>10</v>
      </c>
      <c r="V106" s="543">
        <v>2</v>
      </c>
      <c r="W106" s="543">
        <v>8</v>
      </c>
      <c r="X106" s="543">
        <v>6</v>
      </c>
      <c r="Y106" s="543" t="s">
        <v>934</v>
      </c>
    </row>
    <row r="107" spans="3:25" x14ac:dyDescent="0.3">
      <c r="C107" s="88" t="str">
        <f>'G-1 All Habitats'!B105</f>
        <v>Rocky shore - Low energy littoral rock - on peat, clay or chalk</v>
      </c>
      <c r="D107" s="543" t="s">
        <v>934</v>
      </c>
      <c r="E107" s="543" t="s">
        <v>934</v>
      </c>
      <c r="F107" s="543" t="s">
        <v>934</v>
      </c>
      <c r="G107" s="543" t="s">
        <v>934</v>
      </c>
      <c r="H107" s="543" t="s">
        <v>934</v>
      </c>
      <c r="I107" s="543" t="s">
        <v>934</v>
      </c>
      <c r="J107" s="543" t="s">
        <v>934</v>
      </c>
      <c r="K107" s="543" t="s">
        <v>934</v>
      </c>
      <c r="L107" s="543" t="s">
        <v>934</v>
      </c>
      <c r="M107" s="543" t="s">
        <v>934</v>
      </c>
      <c r="N107" s="543" t="s">
        <v>934</v>
      </c>
      <c r="O107" s="543">
        <v>2</v>
      </c>
      <c r="P107" s="543">
        <v>4</v>
      </c>
      <c r="Q107" s="543">
        <v>6</v>
      </c>
      <c r="R107" s="543">
        <v>12</v>
      </c>
      <c r="S107" s="543">
        <v>2</v>
      </c>
      <c r="T107" s="543">
        <v>4</v>
      </c>
      <c r="U107" s="543">
        <v>10</v>
      </c>
      <c r="V107" s="543">
        <v>2</v>
      </c>
      <c r="W107" s="543">
        <v>8</v>
      </c>
      <c r="X107" s="543">
        <v>6</v>
      </c>
      <c r="Y107" s="543" t="s">
        <v>934</v>
      </c>
    </row>
    <row r="108" spans="3:25" x14ac:dyDescent="0.3">
      <c r="C108" s="88" t="str">
        <f>'G-1 All Habitats'!B106</f>
        <v>Rocky shore - Features of littoral rock</v>
      </c>
      <c r="D108" s="543" t="s">
        <v>934</v>
      </c>
      <c r="E108" s="543" t="s">
        <v>934</v>
      </c>
      <c r="F108" s="543" t="s">
        <v>934</v>
      </c>
      <c r="G108" s="543" t="s">
        <v>934</v>
      </c>
      <c r="H108" s="543" t="s">
        <v>934</v>
      </c>
      <c r="I108" s="543" t="s">
        <v>934</v>
      </c>
      <c r="J108" s="543" t="s">
        <v>934</v>
      </c>
      <c r="K108" s="543" t="s">
        <v>934</v>
      </c>
      <c r="L108" s="543" t="s">
        <v>934</v>
      </c>
      <c r="M108" s="543" t="s">
        <v>934</v>
      </c>
      <c r="N108" s="543" t="s">
        <v>934</v>
      </c>
      <c r="O108" s="543">
        <v>2</v>
      </c>
      <c r="P108" s="543">
        <v>4</v>
      </c>
      <c r="Q108" s="543">
        <v>6</v>
      </c>
      <c r="R108" s="543">
        <v>11</v>
      </c>
      <c r="S108" s="543">
        <v>2</v>
      </c>
      <c r="T108" s="543">
        <v>4</v>
      </c>
      <c r="U108" s="543">
        <v>9</v>
      </c>
      <c r="V108" s="543">
        <v>2</v>
      </c>
      <c r="W108" s="543">
        <v>7</v>
      </c>
      <c r="X108" s="543">
        <v>5</v>
      </c>
      <c r="Y108" s="543" t="s">
        <v>934</v>
      </c>
    </row>
    <row r="109" spans="3:25" x14ac:dyDescent="0.3">
      <c r="C109" s="88" t="str">
        <f>'G-1 All Habitats'!B107</f>
        <v>Rocky shore - Features of littoral rock - on peat, clay or chalk</v>
      </c>
      <c r="D109" s="543" t="s">
        <v>934</v>
      </c>
      <c r="E109" s="543" t="s">
        <v>934</v>
      </c>
      <c r="F109" s="543" t="s">
        <v>934</v>
      </c>
      <c r="G109" s="543" t="s">
        <v>934</v>
      </c>
      <c r="H109" s="543" t="s">
        <v>934</v>
      </c>
      <c r="I109" s="543" t="s">
        <v>934</v>
      </c>
      <c r="J109" s="543" t="s">
        <v>934</v>
      </c>
      <c r="K109" s="543" t="s">
        <v>934</v>
      </c>
      <c r="L109" s="543" t="s">
        <v>934</v>
      </c>
      <c r="M109" s="543" t="s">
        <v>934</v>
      </c>
      <c r="N109" s="543" t="s">
        <v>934</v>
      </c>
      <c r="O109" s="543">
        <v>2</v>
      </c>
      <c r="P109" s="543">
        <v>4</v>
      </c>
      <c r="Q109" s="543">
        <v>6</v>
      </c>
      <c r="R109" s="543">
        <v>11</v>
      </c>
      <c r="S109" s="543">
        <v>2</v>
      </c>
      <c r="T109" s="543">
        <v>4</v>
      </c>
      <c r="U109" s="543">
        <v>9</v>
      </c>
      <c r="V109" s="543">
        <v>2</v>
      </c>
      <c r="W109" s="543">
        <v>7</v>
      </c>
      <c r="X109" s="543">
        <v>5</v>
      </c>
      <c r="Y109" s="543" t="s">
        <v>934</v>
      </c>
    </row>
    <row r="110" spans="3:25" x14ac:dyDescent="0.3">
      <c r="C110" s="88" t="str">
        <f>'G-1 All Habitats'!B110</f>
        <v>Intertidal sediment - Littoral coarse sediment</v>
      </c>
      <c r="D110" s="543" t="s">
        <v>934</v>
      </c>
      <c r="E110" s="543" t="s">
        <v>934</v>
      </c>
      <c r="F110" s="543" t="s">
        <v>934</v>
      </c>
      <c r="G110" s="543" t="s">
        <v>934</v>
      </c>
      <c r="H110" s="543" t="s">
        <v>934</v>
      </c>
      <c r="I110" s="543" t="s">
        <v>934</v>
      </c>
      <c r="J110" s="543" t="s">
        <v>934</v>
      </c>
      <c r="K110" s="543" t="s">
        <v>934</v>
      </c>
      <c r="L110" s="543" t="s">
        <v>934</v>
      </c>
      <c r="M110" s="543" t="s">
        <v>934</v>
      </c>
      <c r="N110" s="543" t="s">
        <v>934</v>
      </c>
      <c r="O110" s="543">
        <v>1</v>
      </c>
      <c r="P110" s="543">
        <v>2</v>
      </c>
      <c r="Q110" s="543">
        <v>3</v>
      </c>
      <c r="R110" s="543">
        <v>4</v>
      </c>
      <c r="S110" s="543">
        <v>1</v>
      </c>
      <c r="T110" s="543">
        <v>2</v>
      </c>
      <c r="U110" s="543">
        <v>3</v>
      </c>
      <c r="V110" s="543">
        <v>1</v>
      </c>
      <c r="W110" s="543">
        <v>2</v>
      </c>
      <c r="X110" s="543">
        <v>1</v>
      </c>
      <c r="Y110" s="543" t="s">
        <v>934</v>
      </c>
    </row>
    <row r="111" spans="3:25" x14ac:dyDescent="0.3">
      <c r="C111" s="88" t="str">
        <f>'G-1 All Habitats'!B111</f>
        <v>Intertidal sediment - Littoral mud</v>
      </c>
      <c r="D111" s="543" t="s">
        <v>934</v>
      </c>
      <c r="E111" s="543" t="s">
        <v>934</v>
      </c>
      <c r="F111" s="543" t="s">
        <v>934</v>
      </c>
      <c r="G111" s="543" t="s">
        <v>934</v>
      </c>
      <c r="H111" s="543" t="s">
        <v>934</v>
      </c>
      <c r="I111" s="543" t="s">
        <v>934</v>
      </c>
      <c r="J111" s="543" t="s">
        <v>934</v>
      </c>
      <c r="K111" s="543" t="s">
        <v>934</v>
      </c>
      <c r="L111" s="543" t="s">
        <v>934</v>
      </c>
      <c r="M111" s="543" t="s">
        <v>934</v>
      </c>
      <c r="N111" s="543" t="s">
        <v>934</v>
      </c>
      <c r="O111" s="543">
        <v>2</v>
      </c>
      <c r="P111" s="543">
        <v>4</v>
      </c>
      <c r="Q111" s="543">
        <v>6</v>
      </c>
      <c r="R111" s="543">
        <v>8</v>
      </c>
      <c r="S111" s="543">
        <v>2</v>
      </c>
      <c r="T111" s="543">
        <v>4</v>
      </c>
      <c r="U111" s="543">
        <v>6</v>
      </c>
      <c r="V111" s="543">
        <v>2</v>
      </c>
      <c r="W111" s="543">
        <v>4</v>
      </c>
      <c r="X111" s="543">
        <v>2</v>
      </c>
      <c r="Y111" s="543" t="s">
        <v>934</v>
      </c>
    </row>
    <row r="112" spans="3:25" x14ac:dyDescent="0.3">
      <c r="C112" s="88" t="str">
        <f>'G-1 All Habitats'!B112</f>
        <v>Intertidal sediment - Littoral mixed sediments</v>
      </c>
      <c r="D112" s="543" t="s">
        <v>934</v>
      </c>
      <c r="E112" s="543" t="s">
        <v>934</v>
      </c>
      <c r="F112" s="543" t="s">
        <v>934</v>
      </c>
      <c r="G112" s="543" t="s">
        <v>934</v>
      </c>
      <c r="H112" s="543" t="s">
        <v>934</v>
      </c>
      <c r="I112" s="543" t="s">
        <v>934</v>
      </c>
      <c r="J112" s="543" t="s">
        <v>934</v>
      </c>
      <c r="K112" s="543" t="s">
        <v>934</v>
      </c>
      <c r="L112" s="543" t="s">
        <v>934</v>
      </c>
      <c r="M112" s="543" t="s">
        <v>934</v>
      </c>
      <c r="N112" s="543" t="s">
        <v>934</v>
      </c>
      <c r="O112" s="543">
        <v>1</v>
      </c>
      <c r="P112" s="543">
        <v>2</v>
      </c>
      <c r="Q112" s="543">
        <v>3</v>
      </c>
      <c r="R112" s="543">
        <v>4</v>
      </c>
      <c r="S112" s="543">
        <v>1</v>
      </c>
      <c r="T112" s="543">
        <v>2</v>
      </c>
      <c r="U112" s="543">
        <v>3</v>
      </c>
      <c r="V112" s="543">
        <v>1</v>
      </c>
      <c r="W112" s="543">
        <v>2</v>
      </c>
      <c r="X112" s="543">
        <v>1</v>
      </c>
      <c r="Y112" s="543" t="s">
        <v>934</v>
      </c>
    </row>
    <row r="113" spans="3:25" x14ac:dyDescent="0.3">
      <c r="C113" s="88" t="str">
        <f>'G-1 All Habitats'!B108</f>
        <v>Coastal saltmarsh - Saltmarshes and saline reedbeds</v>
      </c>
      <c r="D113" s="543" t="s">
        <v>934</v>
      </c>
      <c r="E113" s="543" t="s">
        <v>934</v>
      </c>
      <c r="F113" s="543" t="s">
        <v>934</v>
      </c>
      <c r="G113" s="543" t="s">
        <v>934</v>
      </c>
      <c r="H113" s="543" t="s">
        <v>934</v>
      </c>
      <c r="I113" s="543" t="s">
        <v>934</v>
      </c>
      <c r="J113" s="543" t="s">
        <v>934</v>
      </c>
      <c r="K113" s="543" t="s">
        <v>934</v>
      </c>
      <c r="L113" s="543" t="s">
        <v>934</v>
      </c>
      <c r="M113" s="543" t="s">
        <v>934</v>
      </c>
      <c r="N113" s="543" t="s">
        <v>934</v>
      </c>
      <c r="O113" s="543">
        <v>2</v>
      </c>
      <c r="P113" s="543">
        <v>6</v>
      </c>
      <c r="Q113" s="543">
        <v>10</v>
      </c>
      <c r="R113" s="543">
        <v>20</v>
      </c>
      <c r="S113" s="543">
        <v>4</v>
      </c>
      <c r="T113" s="543">
        <v>8</v>
      </c>
      <c r="U113" s="543">
        <v>18</v>
      </c>
      <c r="V113" s="543">
        <v>4</v>
      </c>
      <c r="W113" s="543">
        <v>14</v>
      </c>
      <c r="X113" s="543">
        <v>10</v>
      </c>
      <c r="Y113" s="543" t="s">
        <v>934</v>
      </c>
    </row>
    <row r="114" spans="3:25" x14ac:dyDescent="0.3">
      <c r="C114" s="88" t="str">
        <f>'G-1 All Habitats'!B109</f>
        <v>Coastal saltmarsh - Artificial saltmarshes and saline reedbeds</v>
      </c>
      <c r="D114" s="543" t="s">
        <v>934</v>
      </c>
      <c r="E114" s="543" t="s">
        <v>934</v>
      </c>
      <c r="F114" s="543" t="s">
        <v>934</v>
      </c>
      <c r="G114" s="543" t="s">
        <v>934</v>
      </c>
      <c r="H114" s="543" t="s">
        <v>934</v>
      </c>
      <c r="I114" s="543" t="s">
        <v>934</v>
      </c>
      <c r="J114" s="543" t="s">
        <v>934</v>
      </c>
      <c r="K114" s="543" t="s">
        <v>934</v>
      </c>
      <c r="L114" s="543" t="s">
        <v>934</v>
      </c>
      <c r="M114" s="543" t="s">
        <v>934</v>
      </c>
      <c r="N114" s="543" t="s">
        <v>934</v>
      </c>
      <c r="O114" s="543">
        <v>2</v>
      </c>
      <c r="P114" s="543">
        <v>6</v>
      </c>
      <c r="Q114" s="543">
        <v>10</v>
      </c>
      <c r="R114" s="543">
        <v>20</v>
      </c>
      <c r="S114" s="543">
        <v>4</v>
      </c>
      <c r="T114" s="543">
        <v>8</v>
      </c>
      <c r="U114" s="543">
        <v>18</v>
      </c>
      <c r="V114" s="543">
        <v>4</v>
      </c>
      <c r="W114" s="543">
        <v>14</v>
      </c>
      <c r="X114" s="543">
        <v>10</v>
      </c>
      <c r="Y114" s="543" t="s">
        <v>934</v>
      </c>
    </row>
    <row r="115" spans="3:25" x14ac:dyDescent="0.3">
      <c r="C115" s="88" t="str">
        <f>'G-1 All Habitats'!B113</f>
        <v>Intertidal sediment - Littoral seagrass</v>
      </c>
      <c r="D115" s="543" t="s">
        <v>934</v>
      </c>
      <c r="E115" s="543" t="s">
        <v>934</v>
      </c>
      <c r="F115" s="543" t="s">
        <v>934</v>
      </c>
      <c r="G115" s="543" t="s">
        <v>934</v>
      </c>
      <c r="H115" s="543" t="s">
        <v>934</v>
      </c>
      <c r="I115" s="543" t="s">
        <v>934</v>
      </c>
      <c r="J115" s="543" t="s">
        <v>934</v>
      </c>
      <c r="K115" s="543" t="s">
        <v>934</v>
      </c>
      <c r="L115" s="543" t="s">
        <v>934</v>
      </c>
      <c r="M115" s="543" t="s">
        <v>934</v>
      </c>
      <c r="N115" s="543" t="s">
        <v>934</v>
      </c>
      <c r="O115" s="543">
        <v>3</v>
      </c>
      <c r="P115" s="543">
        <v>13</v>
      </c>
      <c r="Q115" s="543">
        <v>23</v>
      </c>
      <c r="R115" s="543">
        <v>0</v>
      </c>
      <c r="S115" s="543">
        <v>10</v>
      </c>
      <c r="T115" s="543">
        <v>20</v>
      </c>
      <c r="U115" s="543">
        <v>30</v>
      </c>
      <c r="V115" s="543">
        <v>10</v>
      </c>
      <c r="W115" s="543">
        <v>20</v>
      </c>
      <c r="X115" s="543">
        <v>10</v>
      </c>
      <c r="Y115" s="543" t="s">
        <v>934</v>
      </c>
    </row>
    <row r="116" spans="3:25" x14ac:dyDescent="0.3">
      <c r="C116" s="88" t="str">
        <f>'G-1 All Habitats'!B114</f>
        <v>Intertidal sediment - Littoral seagrass on peat, clay or chalk</v>
      </c>
      <c r="D116" s="543" t="s">
        <v>934</v>
      </c>
      <c r="E116" s="543" t="s">
        <v>934</v>
      </c>
      <c r="F116" s="543" t="s">
        <v>934</v>
      </c>
      <c r="G116" s="543" t="s">
        <v>934</v>
      </c>
      <c r="H116" s="543" t="s">
        <v>934</v>
      </c>
      <c r="I116" s="543" t="s">
        <v>934</v>
      </c>
      <c r="J116" s="543" t="s">
        <v>934</v>
      </c>
      <c r="K116" s="543" t="s">
        <v>934</v>
      </c>
      <c r="L116" s="543" t="s">
        <v>934</v>
      </c>
      <c r="M116" s="543" t="s">
        <v>934</v>
      </c>
      <c r="N116" s="543" t="s">
        <v>934</v>
      </c>
      <c r="O116" s="543">
        <v>2</v>
      </c>
      <c r="P116" s="543">
        <v>4</v>
      </c>
      <c r="Q116" s="543">
        <v>7</v>
      </c>
      <c r="R116" s="543">
        <v>0</v>
      </c>
      <c r="S116" s="543">
        <v>2</v>
      </c>
      <c r="T116" s="543">
        <v>3</v>
      </c>
      <c r="U116" s="543">
        <v>8</v>
      </c>
      <c r="V116" s="543">
        <v>3</v>
      </c>
      <c r="W116" s="543">
        <v>6</v>
      </c>
      <c r="X116" s="543">
        <v>3</v>
      </c>
      <c r="Y116" s="543" t="s">
        <v>934</v>
      </c>
    </row>
    <row r="117" spans="3:25" x14ac:dyDescent="0.3">
      <c r="C117" s="88" t="str">
        <f>'G-1 All Habitats'!B115</f>
        <v>Intertidal sediment - Littoral biogenic reefs - Mussels</v>
      </c>
      <c r="D117" s="543" t="s">
        <v>934</v>
      </c>
      <c r="E117" s="543" t="s">
        <v>934</v>
      </c>
      <c r="F117" s="543" t="s">
        <v>934</v>
      </c>
      <c r="G117" s="543" t="s">
        <v>934</v>
      </c>
      <c r="H117" s="543" t="s">
        <v>934</v>
      </c>
      <c r="I117" s="543" t="s">
        <v>934</v>
      </c>
      <c r="J117" s="543" t="s">
        <v>934</v>
      </c>
      <c r="K117" s="543" t="s">
        <v>934</v>
      </c>
      <c r="L117" s="543" t="s">
        <v>934</v>
      </c>
      <c r="M117" s="543" t="s">
        <v>934</v>
      </c>
      <c r="N117" s="543" t="s">
        <v>934</v>
      </c>
      <c r="O117" s="543">
        <v>2</v>
      </c>
      <c r="P117" s="543">
        <v>4</v>
      </c>
      <c r="Q117" s="543">
        <v>7</v>
      </c>
      <c r="R117" s="543">
        <v>10</v>
      </c>
      <c r="S117" s="543">
        <v>2</v>
      </c>
      <c r="T117" s="543">
        <v>3</v>
      </c>
      <c r="U117" s="543">
        <v>8</v>
      </c>
      <c r="V117" s="543">
        <v>3</v>
      </c>
      <c r="W117" s="543">
        <v>6</v>
      </c>
      <c r="X117" s="543">
        <v>3</v>
      </c>
      <c r="Y117" s="543" t="s">
        <v>934</v>
      </c>
    </row>
    <row r="118" spans="3:25" x14ac:dyDescent="0.3">
      <c r="C118" s="88" t="str">
        <f>'G-1 All Habitats'!B116</f>
        <v>Intertidal sediment - Littoral biogenic reefs - Sabellaria</v>
      </c>
      <c r="D118" s="543" t="s">
        <v>934</v>
      </c>
      <c r="E118" s="543" t="s">
        <v>934</v>
      </c>
      <c r="F118" s="543" t="s">
        <v>934</v>
      </c>
      <c r="G118" s="543" t="s">
        <v>934</v>
      </c>
      <c r="H118" s="543" t="s">
        <v>934</v>
      </c>
      <c r="I118" s="543" t="s">
        <v>934</v>
      </c>
      <c r="J118" s="543" t="s">
        <v>934</v>
      </c>
      <c r="K118" s="543" t="s">
        <v>934</v>
      </c>
      <c r="L118" s="543" t="s">
        <v>934</v>
      </c>
      <c r="M118" s="543" t="s">
        <v>934</v>
      </c>
      <c r="N118" s="543" t="s">
        <v>934</v>
      </c>
      <c r="O118" s="543">
        <v>2</v>
      </c>
      <c r="P118" s="543">
        <v>4</v>
      </c>
      <c r="Q118" s="543">
        <v>7</v>
      </c>
      <c r="R118" s="543">
        <v>10</v>
      </c>
      <c r="S118" s="543">
        <v>2</v>
      </c>
      <c r="T118" s="543">
        <v>3</v>
      </c>
      <c r="U118" s="543">
        <v>8</v>
      </c>
      <c r="V118" s="543">
        <v>3</v>
      </c>
      <c r="W118" s="543">
        <v>6</v>
      </c>
      <c r="X118" s="543">
        <v>3</v>
      </c>
      <c r="Y118" s="543" t="s">
        <v>934</v>
      </c>
    </row>
    <row r="119" spans="3:25" x14ac:dyDescent="0.3">
      <c r="C119" s="88" t="str">
        <f>'G-1 All Habitats'!B117</f>
        <v>Intertidal sediment - Features of littoral sediment</v>
      </c>
      <c r="D119" s="543" t="s">
        <v>934</v>
      </c>
      <c r="E119" s="543" t="s">
        <v>934</v>
      </c>
      <c r="F119" s="543" t="s">
        <v>934</v>
      </c>
      <c r="G119" s="543" t="s">
        <v>934</v>
      </c>
      <c r="H119" s="543" t="s">
        <v>934</v>
      </c>
      <c r="I119" s="543" t="s">
        <v>934</v>
      </c>
      <c r="J119" s="543" t="s">
        <v>934</v>
      </c>
      <c r="K119" s="543" t="s">
        <v>934</v>
      </c>
      <c r="L119" s="543" t="s">
        <v>934</v>
      </c>
      <c r="M119" s="543" t="s">
        <v>934</v>
      </c>
      <c r="N119" s="543" t="s">
        <v>934</v>
      </c>
      <c r="O119" s="543">
        <v>1</v>
      </c>
      <c r="P119" s="543">
        <v>2</v>
      </c>
      <c r="Q119" s="543">
        <v>3</v>
      </c>
      <c r="R119" s="543">
        <v>5</v>
      </c>
      <c r="S119" s="543">
        <v>1</v>
      </c>
      <c r="T119" s="543">
        <v>2</v>
      </c>
      <c r="U119" s="543">
        <v>4</v>
      </c>
      <c r="V119" s="543">
        <v>1</v>
      </c>
      <c r="W119" s="543">
        <v>3</v>
      </c>
      <c r="X119" s="543">
        <v>2</v>
      </c>
      <c r="Y119" s="543" t="s">
        <v>934</v>
      </c>
    </row>
    <row r="120" spans="3:25" x14ac:dyDescent="0.3">
      <c r="C120" s="88" t="str">
        <f>'G-1 All Habitats'!B118</f>
        <v>Intertidal sediment - Artificial littoral coarse sediment</v>
      </c>
      <c r="D120" s="543" t="s">
        <v>934</v>
      </c>
      <c r="E120" s="543" t="s">
        <v>934</v>
      </c>
      <c r="F120" s="543" t="s">
        <v>934</v>
      </c>
      <c r="G120" s="543" t="s">
        <v>934</v>
      </c>
      <c r="H120" s="543" t="s">
        <v>934</v>
      </c>
      <c r="I120" s="543" t="s">
        <v>934</v>
      </c>
      <c r="J120" s="543" t="s">
        <v>934</v>
      </c>
      <c r="K120" s="543" t="s">
        <v>934</v>
      </c>
      <c r="L120" s="543" t="s">
        <v>934</v>
      </c>
      <c r="M120" s="543" t="s">
        <v>934</v>
      </c>
      <c r="N120" s="543" t="s">
        <v>934</v>
      </c>
      <c r="O120" s="543">
        <v>1</v>
      </c>
      <c r="P120" s="543">
        <v>2</v>
      </c>
      <c r="Q120" s="543">
        <v>3</v>
      </c>
      <c r="R120" s="543">
        <v>4</v>
      </c>
      <c r="S120" s="543">
        <v>1</v>
      </c>
      <c r="T120" s="543">
        <v>2</v>
      </c>
      <c r="U120" s="543">
        <v>3</v>
      </c>
      <c r="V120" s="543">
        <v>1</v>
      </c>
      <c r="W120" s="543">
        <v>2</v>
      </c>
      <c r="X120" s="543">
        <v>1</v>
      </c>
      <c r="Y120" s="543" t="s">
        <v>934</v>
      </c>
    </row>
    <row r="121" spans="3:25" x14ac:dyDescent="0.3">
      <c r="C121" s="88" t="str">
        <f>'G-1 All Habitats'!B119</f>
        <v>Intertidal sediment - Artificial littoral mud</v>
      </c>
      <c r="D121" s="543" t="s">
        <v>934</v>
      </c>
      <c r="E121" s="543" t="s">
        <v>934</v>
      </c>
      <c r="F121" s="543" t="s">
        <v>934</v>
      </c>
      <c r="G121" s="543" t="s">
        <v>934</v>
      </c>
      <c r="H121" s="543" t="s">
        <v>934</v>
      </c>
      <c r="I121" s="543" t="s">
        <v>934</v>
      </c>
      <c r="J121" s="543" t="s">
        <v>934</v>
      </c>
      <c r="K121" s="543" t="s">
        <v>934</v>
      </c>
      <c r="L121" s="543" t="s">
        <v>934</v>
      </c>
      <c r="M121" s="543" t="s">
        <v>934</v>
      </c>
      <c r="N121" s="543" t="s">
        <v>934</v>
      </c>
      <c r="O121" s="543">
        <v>2</v>
      </c>
      <c r="P121" s="543">
        <v>4</v>
      </c>
      <c r="Q121" s="543">
        <v>6</v>
      </c>
      <c r="R121" s="543">
        <v>8</v>
      </c>
      <c r="S121" s="543">
        <v>2</v>
      </c>
      <c r="T121" s="543">
        <v>4</v>
      </c>
      <c r="U121" s="543">
        <v>6</v>
      </c>
      <c r="V121" s="543">
        <v>2</v>
      </c>
      <c r="W121" s="543">
        <v>4</v>
      </c>
      <c r="X121" s="543">
        <v>2</v>
      </c>
      <c r="Y121" s="543" t="s">
        <v>934</v>
      </c>
    </row>
    <row r="122" spans="3:25" x14ac:dyDescent="0.3">
      <c r="C122" s="88" t="str">
        <f>'G-1 All Habitats'!B120</f>
        <v>Intertidal sediment - Artificial littoral sand</v>
      </c>
      <c r="D122" s="543" t="s">
        <v>934</v>
      </c>
      <c r="E122" s="543" t="s">
        <v>934</v>
      </c>
      <c r="F122" s="543" t="s">
        <v>934</v>
      </c>
      <c r="G122" s="543" t="s">
        <v>934</v>
      </c>
      <c r="H122" s="543" t="s">
        <v>934</v>
      </c>
      <c r="I122" s="543" t="s">
        <v>934</v>
      </c>
      <c r="J122" s="543" t="s">
        <v>934</v>
      </c>
      <c r="K122" s="543" t="s">
        <v>934</v>
      </c>
      <c r="L122" s="543" t="s">
        <v>934</v>
      </c>
      <c r="M122" s="543" t="s">
        <v>934</v>
      </c>
      <c r="N122" s="543" t="s">
        <v>934</v>
      </c>
      <c r="O122" s="543">
        <v>2</v>
      </c>
      <c r="P122" s="543">
        <v>3</v>
      </c>
      <c r="Q122" s="543">
        <v>4</v>
      </c>
      <c r="R122" s="543">
        <v>6</v>
      </c>
      <c r="S122" s="543">
        <v>1</v>
      </c>
      <c r="T122" s="543">
        <v>2</v>
      </c>
      <c r="U122" s="543">
        <v>4</v>
      </c>
      <c r="V122" s="543">
        <v>1</v>
      </c>
      <c r="W122" s="543">
        <v>3</v>
      </c>
      <c r="X122" s="543">
        <v>2</v>
      </c>
      <c r="Y122" s="543" t="s">
        <v>934</v>
      </c>
    </row>
    <row r="123" spans="3:25" x14ac:dyDescent="0.3">
      <c r="C123" s="88" t="str">
        <f>'G-1 All Habitats'!B121</f>
        <v>Intertidal sediment - Artificial littoral muddy sand</v>
      </c>
      <c r="D123" s="543" t="s">
        <v>934</v>
      </c>
      <c r="E123" s="543" t="s">
        <v>934</v>
      </c>
      <c r="F123" s="543" t="s">
        <v>934</v>
      </c>
      <c r="G123" s="543" t="s">
        <v>934</v>
      </c>
      <c r="H123" s="543" t="s">
        <v>934</v>
      </c>
      <c r="I123" s="543" t="s">
        <v>934</v>
      </c>
      <c r="J123" s="543" t="s">
        <v>934</v>
      </c>
      <c r="K123" s="543" t="s">
        <v>934</v>
      </c>
      <c r="L123" s="543" t="s">
        <v>934</v>
      </c>
      <c r="M123" s="543" t="s">
        <v>934</v>
      </c>
      <c r="N123" s="543" t="s">
        <v>934</v>
      </c>
      <c r="O123" s="543">
        <v>2</v>
      </c>
      <c r="P123" s="543">
        <v>4</v>
      </c>
      <c r="Q123" s="543">
        <v>6</v>
      </c>
      <c r="R123" s="543">
        <v>8</v>
      </c>
      <c r="S123" s="543">
        <v>2</v>
      </c>
      <c r="T123" s="543">
        <v>4</v>
      </c>
      <c r="U123" s="543">
        <v>6</v>
      </c>
      <c r="V123" s="543">
        <v>2</v>
      </c>
      <c r="W123" s="543">
        <v>4</v>
      </c>
      <c r="X123" s="543">
        <v>2</v>
      </c>
      <c r="Y123" s="543" t="s">
        <v>934</v>
      </c>
    </row>
    <row r="124" spans="3:25" x14ac:dyDescent="0.3">
      <c r="C124" s="88" t="str">
        <f>'G-1 All Habitats'!B122</f>
        <v>Intertidal sediment - Artificial littoral mixed sediments</v>
      </c>
      <c r="D124" s="543" t="s">
        <v>934</v>
      </c>
      <c r="E124" s="543" t="s">
        <v>934</v>
      </c>
      <c r="F124" s="543" t="s">
        <v>934</v>
      </c>
      <c r="G124" s="543" t="s">
        <v>934</v>
      </c>
      <c r="H124" s="543" t="s">
        <v>934</v>
      </c>
      <c r="I124" s="543" t="s">
        <v>934</v>
      </c>
      <c r="J124" s="543" t="s">
        <v>934</v>
      </c>
      <c r="K124" s="543" t="s">
        <v>934</v>
      </c>
      <c r="L124" s="543" t="s">
        <v>934</v>
      </c>
      <c r="M124" s="543" t="s">
        <v>934</v>
      </c>
      <c r="N124" s="543" t="s">
        <v>934</v>
      </c>
      <c r="O124" s="543">
        <v>1</v>
      </c>
      <c r="P124" s="543">
        <v>2</v>
      </c>
      <c r="Q124" s="543">
        <v>3</v>
      </c>
      <c r="R124" s="543">
        <v>4</v>
      </c>
      <c r="S124" s="543">
        <v>1</v>
      </c>
      <c r="T124" s="543">
        <v>2</v>
      </c>
      <c r="U124" s="543">
        <v>3</v>
      </c>
      <c r="V124" s="543">
        <v>1</v>
      </c>
      <c r="W124" s="543">
        <v>2</v>
      </c>
      <c r="X124" s="543">
        <v>1</v>
      </c>
      <c r="Y124" s="543" t="s">
        <v>934</v>
      </c>
    </row>
    <row r="125" spans="3:25" x14ac:dyDescent="0.3">
      <c r="C125" s="88" t="str">
        <f>'G-1 All Habitats'!B123</f>
        <v>Intertidal sediment - Artificial littoral seagrass</v>
      </c>
      <c r="D125" s="543" t="s">
        <v>934</v>
      </c>
      <c r="E125" s="543" t="s">
        <v>934</v>
      </c>
      <c r="F125" s="543" t="s">
        <v>934</v>
      </c>
      <c r="G125" s="543" t="s">
        <v>934</v>
      </c>
      <c r="H125" s="543" t="s">
        <v>934</v>
      </c>
      <c r="I125" s="543" t="s">
        <v>934</v>
      </c>
      <c r="J125" s="543" t="s">
        <v>934</v>
      </c>
      <c r="K125" s="543" t="s">
        <v>934</v>
      </c>
      <c r="L125" s="543" t="s">
        <v>934</v>
      </c>
      <c r="M125" s="543" t="s">
        <v>934</v>
      </c>
      <c r="N125" s="543" t="s">
        <v>934</v>
      </c>
      <c r="O125" s="543">
        <v>3</v>
      </c>
      <c r="P125" s="543">
        <v>13</v>
      </c>
      <c r="Q125" s="543">
        <v>23</v>
      </c>
      <c r="R125" s="543" t="s">
        <v>935</v>
      </c>
      <c r="S125" s="543">
        <v>10</v>
      </c>
      <c r="T125" s="543">
        <v>20</v>
      </c>
      <c r="U125" s="543">
        <v>30</v>
      </c>
      <c r="V125" s="543">
        <v>10</v>
      </c>
      <c r="W125" s="543">
        <v>20</v>
      </c>
      <c r="X125" s="543">
        <v>10</v>
      </c>
      <c r="Y125" s="543" t="s">
        <v>934</v>
      </c>
    </row>
    <row r="126" spans="3:25" x14ac:dyDescent="0.3">
      <c r="C126" s="88" t="str">
        <f>'G-1 All Habitats'!B124</f>
        <v>Intertidal sediment - Artificial littoral biogenic reefs</v>
      </c>
      <c r="D126" s="543" t="s">
        <v>934</v>
      </c>
      <c r="E126" s="543" t="s">
        <v>934</v>
      </c>
      <c r="F126" s="543" t="s">
        <v>934</v>
      </c>
      <c r="G126" s="543" t="s">
        <v>934</v>
      </c>
      <c r="H126" s="543" t="s">
        <v>934</v>
      </c>
      <c r="I126" s="543" t="s">
        <v>934</v>
      </c>
      <c r="J126" s="543" t="s">
        <v>934</v>
      </c>
      <c r="K126" s="543" t="s">
        <v>934</v>
      </c>
      <c r="L126" s="543" t="s">
        <v>934</v>
      </c>
      <c r="M126" s="543" t="s">
        <v>934</v>
      </c>
      <c r="N126" s="543" t="s">
        <v>934</v>
      </c>
      <c r="O126" s="543">
        <v>2</v>
      </c>
      <c r="P126" s="543">
        <v>4</v>
      </c>
      <c r="Q126" s="543">
        <v>7</v>
      </c>
      <c r="R126" s="543">
        <v>10</v>
      </c>
      <c r="S126" s="543">
        <v>2</v>
      </c>
      <c r="T126" s="543">
        <v>3</v>
      </c>
      <c r="U126" s="543">
        <v>8</v>
      </c>
      <c r="V126" s="543">
        <v>3</v>
      </c>
      <c r="W126" s="543">
        <v>6</v>
      </c>
      <c r="X126" s="543">
        <v>3</v>
      </c>
      <c r="Y126" s="543" t="s">
        <v>934</v>
      </c>
    </row>
    <row r="127" spans="3:25" x14ac:dyDescent="0.3">
      <c r="C127" s="88" t="str">
        <f>'G-1 All Habitats'!B125</f>
        <v>Intertidal sediment - Littoral sand</v>
      </c>
      <c r="D127" s="543" t="s">
        <v>934</v>
      </c>
      <c r="E127" s="543" t="s">
        <v>934</v>
      </c>
      <c r="F127" s="543" t="s">
        <v>934</v>
      </c>
      <c r="G127" s="543" t="s">
        <v>934</v>
      </c>
      <c r="H127" s="543" t="s">
        <v>934</v>
      </c>
      <c r="I127" s="543" t="s">
        <v>934</v>
      </c>
      <c r="J127" s="543" t="s">
        <v>934</v>
      </c>
      <c r="K127" s="543" t="s">
        <v>934</v>
      </c>
      <c r="L127" s="543" t="s">
        <v>934</v>
      </c>
      <c r="M127" s="543" t="s">
        <v>934</v>
      </c>
      <c r="N127" s="543" t="s">
        <v>934</v>
      </c>
      <c r="O127" s="543">
        <v>2</v>
      </c>
      <c r="P127" s="543">
        <v>3</v>
      </c>
      <c r="Q127" s="543">
        <v>4</v>
      </c>
      <c r="R127" s="543">
        <v>6</v>
      </c>
      <c r="S127" s="543">
        <v>1</v>
      </c>
      <c r="T127" s="543">
        <v>2</v>
      </c>
      <c r="U127" s="543">
        <v>4</v>
      </c>
      <c r="V127" s="543">
        <v>1</v>
      </c>
      <c r="W127" s="543">
        <v>3</v>
      </c>
      <c r="X127" s="543">
        <v>2</v>
      </c>
      <c r="Y127" s="543" t="s">
        <v>934</v>
      </c>
    </row>
    <row r="128" spans="3:25" x14ac:dyDescent="0.3">
      <c r="C128" s="88" t="str">
        <f>'G-1 All Habitats'!B126</f>
        <v>Intertidal sediment - Littoral muddy sand</v>
      </c>
      <c r="D128" s="543" t="s">
        <v>934</v>
      </c>
      <c r="E128" s="543" t="s">
        <v>934</v>
      </c>
      <c r="F128" s="543" t="s">
        <v>934</v>
      </c>
      <c r="G128" s="543" t="s">
        <v>934</v>
      </c>
      <c r="H128" s="543" t="s">
        <v>934</v>
      </c>
      <c r="I128" s="543" t="s">
        <v>934</v>
      </c>
      <c r="J128" s="543" t="s">
        <v>934</v>
      </c>
      <c r="K128" s="543" t="s">
        <v>934</v>
      </c>
      <c r="L128" s="543" t="s">
        <v>934</v>
      </c>
      <c r="M128" s="543" t="s">
        <v>934</v>
      </c>
      <c r="N128" s="543" t="s">
        <v>934</v>
      </c>
      <c r="O128" s="543">
        <v>2</v>
      </c>
      <c r="P128" s="543">
        <v>4</v>
      </c>
      <c r="Q128" s="543">
        <v>6</v>
      </c>
      <c r="R128" s="543">
        <v>8</v>
      </c>
      <c r="S128" s="543">
        <v>2</v>
      </c>
      <c r="T128" s="543">
        <v>4</v>
      </c>
      <c r="U128" s="543">
        <v>6</v>
      </c>
      <c r="V128" s="543">
        <v>2</v>
      </c>
      <c r="W128" s="543">
        <v>4</v>
      </c>
      <c r="X128" s="543">
        <v>2</v>
      </c>
      <c r="Y128" s="543" t="s">
        <v>934</v>
      </c>
    </row>
    <row r="129" spans="3:25" x14ac:dyDescent="0.3">
      <c r="C129" s="88" t="str">
        <f>'G-1 All Habitats'!B127</f>
        <v>Intertidal Hard Structures - Artificial hard structures</v>
      </c>
      <c r="D129" s="543" t="s">
        <v>934</v>
      </c>
      <c r="E129" s="543" t="s">
        <v>934</v>
      </c>
      <c r="F129" s="543" t="s">
        <v>934</v>
      </c>
      <c r="G129" s="543" t="s">
        <v>934</v>
      </c>
      <c r="H129" s="543" t="s">
        <v>934</v>
      </c>
      <c r="I129" s="543" t="s">
        <v>934</v>
      </c>
      <c r="J129" s="543" t="s">
        <v>934</v>
      </c>
      <c r="K129" s="543" t="s">
        <v>934</v>
      </c>
      <c r="L129" s="543" t="s">
        <v>934</v>
      </c>
      <c r="M129" s="543" t="s">
        <v>934</v>
      </c>
      <c r="N129" s="543" t="s">
        <v>934</v>
      </c>
      <c r="O129" s="543">
        <v>6</v>
      </c>
      <c r="P129" s="543">
        <v>4</v>
      </c>
      <c r="Q129" s="543">
        <v>10</v>
      </c>
      <c r="R129" s="543">
        <v>2</v>
      </c>
      <c r="S129" s="543">
        <v>2</v>
      </c>
      <c r="T129" s="543">
        <v>8</v>
      </c>
      <c r="U129" s="543">
        <v>6</v>
      </c>
      <c r="V129" s="543">
        <v>2</v>
      </c>
      <c r="W129" s="543">
        <v>12</v>
      </c>
      <c r="X129" s="543">
        <v>4</v>
      </c>
      <c r="Y129" s="543" t="s">
        <v>934</v>
      </c>
    </row>
    <row r="130" spans="3:25" x14ac:dyDescent="0.3">
      <c r="C130" s="88" t="str">
        <f>'G-1 All Habitats'!B128</f>
        <v>Intertidal Hard Structures - Artificial features of hard structures</v>
      </c>
      <c r="D130" s="543" t="s">
        <v>934</v>
      </c>
      <c r="E130" s="543" t="s">
        <v>934</v>
      </c>
      <c r="F130" s="543" t="s">
        <v>934</v>
      </c>
      <c r="G130" s="543" t="s">
        <v>934</v>
      </c>
      <c r="H130" s="543" t="s">
        <v>934</v>
      </c>
      <c r="I130" s="543" t="s">
        <v>934</v>
      </c>
      <c r="J130" s="543" t="s">
        <v>934</v>
      </c>
      <c r="K130" s="543" t="s">
        <v>934</v>
      </c>
      <c r="L130" s="543" t="s">
        <v>934</v>
      </c>
      <c r="M130" s="543" t="s">
        <v>934</v>
      </c>
      <c r="N130" s="543" t="s">
        <v>934</v>
      </c>
      <c r="O130" s="543">
        <v>5</v>
      </c>
      <c r="P130" s="543">
        <v>4</v>
      </c>
      <c r="Q130" s="543">
        <v>9</v>
      </c>
      <c r="R130" s="543">
        <v>2</v>
      </c>
      <c r="S130" s="543">
        <v>2</v>
      </c>
      <c r="T130" s="543">
        <v>7</v>
      </c>
      <c r="U130" s="543">
        <v>6</v>
      </c>
      <c r="V130" s="543">
        <v>2</v>
      </c>
      <c r="W130" s="543">
        <v>11</v>
      </c>
      <c r="X130" s="543">
        <v>4</v>
      </c>
      <c r="Y130" s="543" t="s">
        <v>934</v>
      </c>
    </row>
    <row r="131" spans="3:25" x14ac:dyDescent="0.3">
      <c r="C131" s="88" t="str">
        <f>'G-1 All Habitats'!B129</f>
        <v>Intertidal Hard Structures - Artificial hard structures with Integrated Greening of Grey Infrastructure (IGGI)</v>
      </c>
      <c r="D131" s="543" t="s">
        <v>934</v>
      </c>
      <c r="E131" s="543" t="s">
        <v>934</v>
      </c>
      <c r="F131" s="543" t="s">
        <v>934</v>
      </c>
      <c r="G131" s="543" t="s">
        <v>934</v>
      </c>
      <c r="H131" s="543" t="s">
        <v>934</v>
      </c>
      <c r="I131" s="543" t="s">
        <v>934</v>
      </c>
      <c r="J131" s="543" t="s">
        <v>934</v>
      </c>
      <c r="K131" s="543" t="s">
        <v>934</v>
      </c>
      <c r="L131" s="543" t="s">
        <v>934</v>
      </c>
      <c r="M131" s="543" t="s">
        <v>934</v>
      </c>
      <c r="N131" s="543" t="s">
        <v>934</v>
      </c>
      <c r="O131" s="543">
        <v>5</v>
      </c>
      <c r="P131" s="543">
        <v>4</v>
      </c>
      <c r="Q131" s="543">
        <v>9</v>
      </c>
      <c r="R131" s="543">
        <v>2</v>
      </c>
      <c r="S131" s="543">
        <v>2</v>
      </c>
      <c r="T131" s="543">
        <v>7</v>
      </c>
      <c r="U131" s="543">
        <v>6</v>
      </c>
      <c r="V131" s="543">
        <v>2</v>
      </c>
      <c r="W131" s="543">
        <v>11</v>
      </c>
      <c r="X131" s="543">
        <v>4</v>
      </c>
      <c r="Y131" s="543" t="s">
        <v>934</v>
      </c>
    </row>
    <row r="132" spans="3:25" x14ac:dyDescent="0.3">
      <c r="C132" s="42"/>
    </row>
    <row r="133" spans="3:25" x14ac:dyDescent="0.3">
      <c r="C133" s="42"/>
    </row>
    <row r="144" spans="3:25" x14ac:dyDescent="0.3"/>
    <row r="276" x14ac:dyDescent="0.3"/>
    <row r="277" x14ac:dyDescent="0.3"/>
    <row r="278" x14ac:dyDescent="0.3"/>
    <row r="279" x14ac:dyDescent="0.3"/>
    <row r="280" x14ac:dyDescent="0.3"/>
    <row r="281" x14ac:dyDescent="0.3"/>
    <row r="282" x14ac:dyDescent="0.3"/>
    <row r="283" x14ac:dyDescent="0.3"/>
    <row r="284" x14ac:dyDescent="0.3"/>
    <row r="285" x14ac:dyDescent="0.3"/>
    <row r="286" x14ac:dyDescent="0.3"/>
    <row r="287" x14ac:dyDescent="0.3"/>
    <row r="288" x14ac:dyDescent="0.3"/>
    <row r="289" x14ac:dyDescent="0.3"/>
    <row r="290" x14ac:dyDescent="0.3"/>
    <row r="291" x14ac:dyDescent="0.3"/>
    <row r="292" x14ac:dyDescent="0.3"/>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4" zeroHeight="1" x14ac:dyDescent="0.3"/>
  <cols>
    <col min="1" max="1" width="8.26953125" style="31" customWidth="1"/>
    <col min="2" max="2" width="66.453125" style="31" bestFit="1" customWidth="1"/>
    <col min="3" max="3" width="17.26953125" style="31" customWidth="1"/>
    <col min="4" max="4" width="17.1796875" style="31" customWidth="1"/>
    <col min="5" max="5" width="10.26953125" style="31" customWidth="1"/>
    <col min="6" max="6" width="9.54296875" style="31" hidden="1" customWidth="1"/>
    <col min="7" max="7" width="12.1796875" style="31" customWidth="1"/>
    <col min="8" max="8" width="10" style="31" hidden="1" customWidth="1"/>
    <col min="9" max="9" width="10.26953125" style="31" customWidth="1"/>
    <col min="10" max="10" width="8.1796875" style="31" hidden="1" customWidth="1"/>
    <col min="11" max="11" width="12.1796875" style="31" customWidth="1"/>
    <col min="12" max="12" width="7.81640625" style="31" hidden="1" customWidth="1"/>
    <col min="13" max="13" width="10.7265625" style="31" customWidth="1"/>
    <col min="14" max="14" width="10.54296875" style="31" hidden="1" customWidth="1"/>
    <col min="15" max="15" width="10.7265625" style="31" hidden="1" customWidth="1"/>
    <col min="16" max="16" width="4.1796875" style="31" hidden="1" customWidth="1"/>
    <col min="17" max="17" width="12.54296875" style="190" customWidth="1"/>
    <col min="18" max="18" width="4.1796875" style="31" hidden="1" customWidth="1"/>
    <col min="19" max="19" width="6.81640625" style="31" bestFit="1" customWidth="1"/>
    <col min="20" max="31" width="5.26953125" style="31" bestFit="1" customWidth="1"/>
    <col min="32" max="32" width="12.7265625" style="31" customWidth="1"/>
    <col min="33" max="33" width="15.7265625" style="31" customWidth="1"/>
    <col min="34" max="34" width="32.1796875" style="31" customWidth="1"/>
    <col min="35" max="35" width="8.81640625" style="31" customWidth="1"/>
    <col min="36" max="37" width="14" style="31" customWidth="1"/>
    <col min="38" max="38" width="8.81640625" style="31" customWidth="1"/>
    <col min="39" max="39" width="66.453125" style="31" bestFit="1" customWidth="1"/>
    <col min="40" max="40" width="14.54296875" style="31" bestFit="1" customWidth="1"/>
    <col min="41" max="52" width="16.81640625" style="31" bestFit="1" customWidth="1"/>
    <col min="53" max="56" width="8.81640625" style="31" customWidth="1"/>
    <col min="57" max="61" width="8.81640625" style="31" hidden="1" customWidth="1"/>
    <col min="62" max="62" width="12.453125" style="175" hidden="1" customWidth="1"/>
    <col min="63" max="64" width="12" style="31" hidden="1" customWidth="1"/>
    <col min="65" max="75" width="0" style="31" hidden="1" customWidth="1"/>
    <col min="76" max="16384" width="8.81640625" style="31" hidden="1"/>
  </cols>
  <sheetData>
    <row r="1" spans="1:64" ht="66.75" customHeight="1" thickBot="1" x14ac:dyDescent="0.45">
      <c r="A1" s="1052"/>
      <c r="B1" s="1055"/>
      <c r="C1" s="1059" t="s">
        <v>189</v>
      </c>
      <c r="D1" s="1060"/>
      <c r="E1" s="1056" t="s">
        <v>962</v>
      </c>
      <c r="F1" s="1057"/>
      <c r="G1" s="1057"/>
      <c r="H1" s="1057"/>
      <c r="I1" s="1058"/>
      <c r="J1" s="1056" t="s">
        <v>963</v>
      </c>
      <c r="K1" s="1057"/>
      <c r="L1" s="1057"/>
      <c r="M1" s="1057"/>
      <c r="N1" s="1057"/>
      <c r="O1" s="1057"/>
      <c r="P1" s="1057"/>
      <c r="Q1" s="1057"/>
      <c r="R1" s="1058"/>
      <c r="S1" s="1056" t="s">
        <v>964</v>
      </c>
      <c r="T1" s="1057"/>
      <c r="U1" s="1057"/>
      <c r="V1" s="1057"/>
      <c r="W1" s="1057"/>
      <c r="X1" s="1057"/>
      <c r="Y1" s="1057"/>
      <c r="Z1" s="1057"/>
      <c r="AA1" s="1057"/>
      <c r="AB1" s="1057"/>
      <c r="AC1" s="1057"/>
      <c r="AD1" s="1057"/>
      <c r="AE1" s="1058"/>
      <c r="AF1" s="1059" t="s">
        <v>291</v>
      </c>
      <c r="AG1" s="1060"/>
      <c r="AH1" s="969" t="s">
        <v>965</v>
      </c>
      <c r="AJ1" s="1059" t="s">
        <v>966</v>
      </c>
      <c r="AK1" s="1060"/>
      <c r="AM1" s="174" t="s">
        <v>967</v>
      </c>
      <c r="AN1" s="1063" t="s">
        <v>968</v>
      </c>
      <c r="AO1" s="1063"/>
      <c r="AP1" s="1063"/>
      <c r="AQ1" s="1063"/>
      <c r="AR1" s="1063"/>
      <c r="AS1" s="1063"/>
      <c r="AT1" s="1063"/>
      <c r="AU1" s="1063"/>
      <c r="AV1" s="1063"/>
      <c r="AW1" s="1063"/>
      <c r="AX1" s="1063"/>
      <c r="AY1" s="1063"/>
      <c r="AZ1" s="1063"/>
      <c r="BK1" s="1061" t="s">
        <v>969</v>
      </c>
      <c r="BL1" s="1062"/>
    </row>
    <row r="2" spans="1:64" ht="182.25" customHeight="1" thickBot="1" x14ac:dyDescent="0.35">
      <c r="B2" s="176" t="s">
        <v>820</v>
      </c>
      <c r="C2" s="173" t="s">
        <v>356</v>
      </c>
      <c r="D2" s="177" t="s">
        <v>357</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359</v>
      </c>
      <c r="AG2" s="177" t="s">
        <v>360</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x14ac:dyDescent="0.35">
      <c r="A3" s="183"/>
      <c r="B3" s="637" t="s">
        <v>107</v>
      </c>
      <c r="C3" s="595" t="s">
        <v>375</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x14ac:dyDescent="0.35">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x14ac:dyDescent="0.35">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x14ac:dyDescent="0.35">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42.5" thickBot="1" x14ac:dyDescent="0.35">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42.5" thickBot="1" x14ac:dyDescent="0.35">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28.5" thickBot="1" x14ac:dyDescent="0.35">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42.5" thickBot="1" x14ac:dyDescent="0.35">
      <c r="B10" s="638" t="s">
        <v>114</v>
      </c>
      <c r="C10" s="536" t="s">
        <v>23</v>
      </c>
      <c r="D10" s="604">
        <v>4</v>
      </c>
      <c r="E10" s="603">
        <v>5</v>
      </c>
      <c r="F10" s="543"/>
      <c r="G10" s="543">
        <v>20</v>
      </c>
      <c r="H10" s="543"/>
      <c r="I10" s="604" t="s">
        <v>935</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42.5" thickBot="1" x14ac:dyDescent="0.35">
      <c r="B11" s="638" t="s">
        <v>115</v>
      </c>
      <c r="C11" s="536" t="s">
        <v>23</v>
      </c>
      <c r="D11" s="604">
        <v>4</v>
      </c>
      <c r="E11" s="603">
        <v>5</v>
      </c>
      <c r="F11" s="543"/>
      <c r="G11" s="543">
        <v>20</v>
      </c>
      <c r="H11" s="543"/>
      <c r="I11" s="604" t="s">
        <v>935</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42.5" thickBot="1" x14ac:dyDescent="0.35">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42.5" thickBot="1" x14ac:dyDescent="0.35">
      <c r="B13" s="638" t="s">
        <v>117</v>
      </c>
      <c r="C13" s="536" t="s">
        <v>156</v>
      </c>
      <c r="D13" s="604">
        <v>2</v>
      </c>
      <c r="E13" s="603">
        <v>5</v>
      </c>
      <c r="F13" s="543"/>
      <c r="G13" s="543">
        <v>20</v>
      </c>
      <c r="H13" s="543"/>
      <c r="I13" s="604" t="s">
        <v>935</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42.5" thickBot="1" x14ac:dyDescent="0.35">
      <c r="B14" s="638" t="s">
        <v>118</v>
      </c>
      <c r="C14" s="536" t="s">
        <v>156</v>
      </c>
      <c r="D14" s="604">
        <v>2</v>
      </c>
      <c r="E14" s="603">
        <v>5</v>
      </c>
      <c r="F14" s="543"/>
      <c r="G14" s="543">
        <v>20</v>
      </c>
      <c r="H14" s="543"/>
      <c r="I14" s="604" t="s">
        <v>935</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42.5" thickBot="1" x14ac:dyDescent="0.35">
      <c r="B15" s="639" t="s">
        <v>119</v>
      </c>
      <c r="C15" s="499" t="s">
        <v>397</v>
      </c>
      <c r="D15" s="594">
        <v>1</v>
      </c>
      <c r="E15" s="608">
        <v>1</v>
      </c>
      <c r="F15" s="525"/>
      <c r="G15" s="525" t="s">
        <v>924</v>
      </c>
      <c r="H15" s="525"/>
      <c r="I15" s="594" t="s">
        <v>924</v>
      </c>
      <c r="J15" s="608"/>
      <c r="K15" s="525" t="s">
        <v>924</v>
      </c>
      <c r="L15" s="525"/>
      <c r="M15" s="525" t="s">
        <v>924</v>
      </c>
      <c r="N15" s="525"/>
      <c r="O15" s="525"/>
      <c r="P15" s="525"/>
      <c r="Q15" s="594" t="s">
        <v>924</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x14ac:dyDescent="0.3">
      <c r="Q16" s="46"/>
    </row>
    <row r="17" spans="17:17" x14ac:dyDescent="0.3">
      <c r="Q17" s="31"/>
    </row>
    <row r="18" spans="17:17" x14ac:dyDescent="0.3">
      <c r="Q18" s="31"/>
    </row>
    <row r="19" spans="17:17" x14ac:dyDescent="0.3">
      <c r="Q19" s="31"/>
    </row>
    <row r="20" spans="17:17" ht="184.5" hidden="1" customHeight="1" x14ac:dyDescent="0.3"/>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defaultColWidth="0" defaultRowHeight="14" zeroHeight="1" x14ac:dyDescent="0.3"/>
  <cols>
    <col min="1" max="1" width="9.1796875" style="31" customWidth="1"/>
    <col min="2" max="2" width="37.26953125" style="31" customWidth="1"/>
    <col min="3" max="4" width="17.7265625" style="31" customWidth="1"/>
    <col min="5" max="5" width="14.54296875" style="31" customWidth="1"/>
    <col min="6" max="6" width="15.7265625" style="31" customWidth="1"/>
    <col min="7" max="7" width="13.1796875" style="31" customWidth="1"/>
    <col min="8" max="9" width="11.81640625" style="31" customWidth="1"/>
    <col min="10" max="10" width="13" style="31" customWidth="1"/>
    <col min="11" max="11" width="12.1796875" style="31" customWidth="1"/>
    <col min="12" max="13" width="10.7265625" style="31" customWidth="1"/>
    <col min="14" max="14" width="14.1796875" style="31" customWidth="1"/>
    <col min="15" max="15" width="8.54296875" style="31" customWidth="1"/>
    <col min="16" max="16" width="10.7265625" style="31" customWidth="1"/>
    <col min="17" max="17" width="19" style="31" customWidth="1"/>
    <col min="18" max="18" width="16" style="31" customWidth="1"/>
    <col min="19" max="19" width="14.453125" style="31" customWidth="1"/>
    <col min="20" max="20" width="15.81640625" style="31" customWidth="1"/>
    <col min="21" max="22" width="15.7265625" style="31" customWidth="1"/>
    <col min="23" max="26" width="10.7265625" style="31" customWidth="1"/>
    <col min="27" max="27" width="18.81640625" style="31" bestFit="1" customWidth="1"/>
    <col min="28" max="28" width="13.453125" style="31" customWidth="1"/>
    <col min="29" max="29" width="9.1796875" style="31" customWidth="1"/>
    <col min="30" max="30" width="18" style="31" customWidth="1"/>
    <col min="31" max="31" width="9.54296875" style="31" bestFit="1" customWidth="1"/>
    <col min="32" max="32" width="9.1796875" style="31" customWidth="1"/>
    <col min="33" max="33" width="59.81640625" style="31" customWidth="1"/>
    <col min="34" max="34" width="24.7265625" style="31" customWidth="1"/>
    <col min="35" max="35" width="18.81640625" style="31" customWidth="1"/>
    <col min="36" max="36" width="9.1796875" style="31" customWidth="1"/>
    <col min="37" max="37" width="46.7265625" style="31" bestFit="1" customWidth="1"/>
    <col min="38" max="38" width="24.26953125" style="31" customWidth="1"/>
    <col min="39" max="39" width="13.7265625" style="31" customWidth="1"/>
    <col min="40" max="40" width="9.1796875" style="31" customWidth="1"/>
    <col min="41" max="41" width="28.26953125" style="31" customWidth="1"/>
    <col min="42" max="42" width="13" style="31" customWidth="1"/>
    <col min="43" max="44" width="9.1796875" style="31" customWidth="1"/>
    <col min="45" max="45" width="25.1796875" style="31" bestFit="1" customWidth="1"/>
    <col min="46" max="46" width="20.453125" style="31" bestFit="1" customWidth="1"/>
    <col min="47" max="47" width="31.26953125" style="31" customWidth="1"/>
    <col min="48" max="48" width="9.1796875" style="31" customWidth="1"/>
    <col min="49" max="49" width="13" style="31" customWidth="1"/>
    <col min="50" max="50" width="9.1796875" style="31" hidden="1" customWidth="1"/>
    <col min="51" max="51" width="23.7265625" style="31" hidden="1" customWidth="1"/>
    <col min="52" max="52" width="15.7265625" style="31" hidden="1" customWidth="1"/>
    <col min="53" max="53" width="9.1796875" style="31" hidden="1" customWidth="1"/>
    <col min="54" max="55" width="10.81640625" style="31" hidden="1" customWidth="1"/>
    <col min="56" max="62" width="0" style="31" hidden="1" customWidth="1"/>
    <col min="63" max="16384" width="9.1796875" style="31" hidden="1"/>
  </cols>
  <sheetData>
    <row r="1" spans="1:55" ht="14.5" thickBot="1" x14ac:dyDescent="0.35">
      <c r="A1" s="1052"/>
      <c r="B1" s="1052"/>
    </row>
    <row r="2" spans="1:55" ht="31.5" customHeight="1" thickBot="1" x14ac:dyDescent="0.4">
      <c r="A2" s="1052"/>
      <c r="B2" s="1052"/>
      <c r="C2" s="1066" t="s">
        <v>189</v>
      </c>
      <c r="D2" s="1067"/>
      <c r="E2" s="1056" t="s">
        <v>291</v>
      </c>
      <c r="F2" s="1057"/>
      <c r="G2" s="1057"/>
      <c r="H2" s="1056" t="s">
        <v>966</v>
      </c>
      <c r="I2" s="1057"/>
      <c r="J2" s="1057"/>
      <c r="K2" s="1057"/>
      <c r="L2" s="1058"/>
      <c r="N2" s="1068" t="s">
        <v>999</v>
      </c>
      <c r="O2" s="1069"/>
      <c r="Q2" s="1064" t="s">
        <v>1000</v>
      </c>
      <c r="R2" s="1065"/>
      <c r="T2" s="1005" t="s">
        <v>1001</v>
      </c>
      <c r="U2" s="1011"/>
      <c r="V2" s="1011"/>
      <c r="W2" s="1011"/>
      <c r="X2" s="1011"/>
      <c r="Y2" s="1073"/>
      <c r="AA2" s="1074" t="s">
        <v>1002</v>
      </c>
      <c r="AB2" s="1075"/>
      <c r="AC2" s="132"/>
      <c r="AD2" s="1074" t="s">
        <v>1002</v>
      </c>
      <c r="AE2" s="1075"/>
      <c r="AG2" s="1074" t="s">
        <v>1003</v>
      </c>
      <c r="AH2" s="1076"/>
      <c r="AI2" s="1075"/>
      <c r="AK2" s="1074" t="s">
        <v>1003</v>
      </c>
      <c r="AL2" s="1076"/>
      <c r="AM2" s="1075"/>
      <c r="AO2" s="832" t="s">
        <v>1003</v>
      </c>
      <c r="AP2" s="1070"/>
      <c r="AQ2" s="288"/>
      <c r="AS2" s="1033" t="s">
        <v>1004</v>
      </c>
      <c r="AT2" s="1071"/>
      <c r="AU2" s="1072"/>
      <c r="AY2" s="289"/>
      <c r="AZ2" s="290" t="s">
        <v>200</v>
      </c>
      <c r="BB2" s="289" t="s">
        <v>1005</v>
      </c>
      <c r="BC2" s="290" t="s">
        <v>1006</v>
      </c>
    </row>
    <row r="3" spans="1:55" ht="42.5" thickBot="1" x14ac:dyDescent="0.35">
      <c r="B3" s="291" t="s">
        <v>820</v>
      </c>
      <c r="C3" s="265" t="s">
        <v>356</v>
      </c>
      <c r="D3" s="136" t="s">
        <v>357</v>
      </c>
      <c r="E3" s="640" t="s">
        <v>359</v>
      </c>
      <c r="F3" s="136" t="s">
        <v>360</v>
      </c>
      <c r="G3" s="642" t="s">
        <v>965</v>
      </c>
      <c r="H3" s="641" t="s">
        <v>21</v>
      </c>
      <c r="I3" s="292" t="s">
        <v>382</v>
      </c>
      <c r="J3" s="292" t="s">
        <v>20</v>
      </c>
      <c r="K3" s="292" t="s">
        <v>393</v>
      </c>
      <c r="L3" s="293" t="s">
        <v>242</v>
      </c>
      <c r="N3" s="643" t="s">
        <v>21</v>
      </c>
      <c r="O3" s="503">
        <v>10</v>
      </c>
      <c r="Q3" s="343" t="s">
        <v>967</v>
      </c>
      <c r="R3" s="594">
        <v>10</v>
      </c>
      <c r="T3" s="265"/>
      <c r="U3" s="1005" t="s">
        <v>1007</v>
      </c>
      <c r="V3" s="1011"/>
      <c r="W3" s="1011"/>
      <c r="X3" s="1011"/>
      <c r="Y3" s="1073"/>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970</v>
      </c>
      <c r="AU3" s="290" t="s">
        <v>1014</v>
      </c>
      <c r="AY3" s="296" t="s">
        <v>139</v>
      </c>
      <c r="AZ3" s="297" t="s">
        <v>1005</v>
      </c>
      <c r="BB3" s="143" t="s">
        <v>21</v>
      </c>
      <c r="BC3" s="144" t="s">
        <v>242</v>
      </c>
    </row>
    <row r="4" spans="1:55" ht="28.5" thickBot="1" x14ac:dyDescent="0.35">
      <c r="B4" s="88" t="s">
        <v>139</v>
      </c>
      <c r="C4" s="570" t="s">
        <v>375</v>
      </c>
      <c r="D4" s="519">
        <v>8</v>
      </c>
      <c r="E4" s="585" t="s">
        <v>153</v>
      </c>
      <c r="F4" s="585" t="s">
        <v>23</v>
      </c>
      <c r="G4" s="593" t="s">
        <v>1015</v>
      </c>
      <c r="H4" s="585">
        <v>3</v>
      </c>
      <c r="I4" s="585">
        <v>2.5</v>
      </c>
      <c r="J4" s="585">
        <v>2</v>
      </c>
      <c r="K4" s="585">
        <v>1.5</v>
      </c>
      <c r="L4" s="593">
        <v>1</v>
      </c>
      <c r="M4" s="22"/>
      <c r="N4" s="130" t="s">
        <v>382</v>
      </c>
      <c r="O4" s="519">
        <v>8</v>
      </c>
      <c r="T4" s="167" t="s">
        <v>1016</v>
      </c>
      <c r="U4" s="644" t="s">
        <v>242</v>
      </c>
      <c r="V4" s="298" t="s">
        <v>393</v>
      </c>
      <c r="W4" s="298" t="s">
        <v>20</v>
      </c>
      <c r="X4" s="298" t="s">
        <v>382</v>
      </c>
      <c r="Y4" s="298" t="s">
        <v>21</v>
      </c>
      <c r="AA4" s="104" t="s">
        <v>1017</v>
      </c>
      <c r="AB4" s="543">
        <v>1</v>
      </c>
      <c r="AC4" s="132"/>
      <c r="AD4" s="104" t="s">
        <v>1017</v>
      </c>
      <c r="AE4" s="543">
        <v>1</v>
      </c>
      <c r="AG4" s="104" t="s">
        <v>1018</v>
      </c>
      <c r="AH4" s="519" t="s">
        <v>922</v>
      </c>
      <c r="AI4" s="543">
        <v>1</v>
      </c>
      <c r="AK4" s="104" t="s">
        <v>1018</v>
      </c>
      <c r="AL4" s="519" t="s">
        <v>922</v>
      </c>
      <c r="AM4" s="543">
        <v>1</v>
      </c>
      <c r="AO4" s="130" t="s">
        <v>1019</v>
      </c>
      <c r="AP4" s="543">
        <v>1</v>
      </c>
      <c r="AS4" s="299" t="s">
        <v>375</v>
      </c>
      <c r="AT4" s="520">
        <v>8</v>
      </c>
      <c r="AU4" s="647" t="s">
        <v>1020</v>
      </c>
      <c r="AY4" s="87" t="s">
        <v>140</v>
      </c>
      <c r="AZ4" s="297" t="s">
        <v>1005</v>
      </c>
      <c r="BB4" s="187" t="s">
        <v>382</v>
      </c>
      <c r="BC4" s="300"/>
    </row>
    <row r="5" spans="1:55" ht="28" x14ac:dyDescent="0.3">
      <c r="B5" s="88" t="s">
        <v>140</v>
      </c>
      <c r="C5" s="570" t="s">
        <v>153</v>
      </c>
      <c r="D5" s="519">
        <v>6</v>
      </c>
      <c r="E5" s="585" t="s">
        <v>153</v>
      </c>
      <c r="F5" s="585" t="s">
        <v>23</v>
      </c>
      <c r="G5" s="593" t="s">
        <v>1015</v>
      </c>
      <c r="H5" s="585">
        <v>3</v>
      </c>
      <c r="I5" s="585">
        <v>2.5</v>
      </c>
      <c r="J5" s="585">
        <v>2</v>
      </c>
      <c r="K5" s="585">
        <v>1.5</v>
      </c>
      <c r="L5" s="593">
        <v>1</v>
      </c>
      <c r="M5" s="22"/>
      <c r="N5" s="130" t="s">
        <v>20</v>
      </c>
      <c r="O5" s="519">
        <v>5</v>
      </c>
      <c r="T5" s="130" t="s">
        <v>242</v>
      </c>
      <c r="U5" s="645">
        <v>1</v>
      </c>
      <c r="V5" s="584">
        <v>2</v>
      </c>
      <c r="W5" s="584">
        <v>4</v>
      </c>
      <c r="X5" s="584">
        <v>6</v>
      </c>
      <c r="Y5" s="584">
        <v>8</v>
      </c>
      <c r="AA5" s="104" t="s">
        <v>1021</v>
      </c>
      <c r="AB5" s="543">
        <v>0.8</v>
      </c>
      <c r="AC5" s="132"/>
      <c r="AD5" s="104" t="s">
        <v>1021</v>
      </c>
      <c r="AE5" s="543">
        <v>0.95</v>
      </c>
      <c r="AG5" s="104" t="s">
        <v>1022</v>
      </c>
      <c r="AH5" s="519" t="s">
        <v>914</v>
      </c>
      <c r="AI5" s="543">
        <v>1.1499999999999999</v>
      </c>
      <c r="AK5" s="104" t="s">
        <v>1023</v>
      </c>
      <c r="AL5" s="519" t="s">
        <v>914</v>
      </c>
      <c r="AM5" s="543">
        <v>1.1499999999999999</v>
      </c>
      <c r="AO5" s="130" t="s">
        <v>1024</v>
      </c>
      <c r="AP5" s="543">
        <v>0.75</v>
      </c>
      <c r="AS5" s="266" t="s">
        <v>153</v>
      </c>
      <c r="AT5" s="543">
        <v>6</v>
      </c>
      <c r="AU5" s="523" t="s">
        <v>1025</v>
      </c>
      <c r="AY5" s="87" t="s">
        <v>141</v>
      </c>
      <c r="AZ5" s="297" t="s">
        <v>1005</v>
      </c>
      <c r="BB5" s="187" t="s">
        <v>20</v>
      </c>
      <c r="BC5" s="300"/>
    </row>
    <row r="6" spans="1:55" ht="28" x14ac:dyDescent="0.3">
      <c r="B6" s="88" t="s">
        <v>141</v>
      </c>
      <c r="C6" s="570" t="s">
        <v>23</v>
      </c>
      <c r="D6" s="543">
        <v>4</v>
      </c>
      <c r="E6" s="585" t="s">
        <v>156</v>
      </c>
      <c r="F6" s="585" t="s">
        <v>23</v>
      </c>
      <c r="G6" s="593" t="s">
        <v>1015</v>
      </c>
      <c r="H6" s="585">
        <v>3</v>
      </c>
      <c r="I6" s="585">
        <v>2.5</v>
      </c>
      <c r="J6" s="585">
        <v>2</v>
      </c>
      <c r="K6" s="585">
        <v>1.5</v>
      </c>
      <c r="L6" s="593">
        <v>1</v>
      </c>
      <c r="M6" s="22"/>
      <c r="N6" s="130" t="s">
        <v>393</v>
      </c>
      <c r="O6" s="519">
        <v>2</v>
      </c>
      <c r="T6" s="130" t="s">
        <v>393</v>
      </c>
      <c r="U6" s="646" t="s">
        <v>924</v>
      </c>
      <c r="V6" s="585">
        <v>1</v>
      </c>
      <c r="W6" s="585">
        <v>2</v>
      </c>
      <c r="X6" s="585">
        <v>4</v>
      </c>
      <c r="Y6" s="585">
        <v>6</v>
      </c>
      <c r="AA6" s="104" t="s">
        <v>1026</v>
      </c>
      <c r="AB6" s="543">
        <v>0.5</v>
      </c>
      <c r="AC6" s="132"/>
      <c r="AD6" s="104" t="s">
        <v>20</v>
      </c>
      <c r="AE6" s="543">
        <v>0.85</v>
      </c>
      <c r="AG6" s="104" t="s">
        <v>1027</v>
      </c>
      <c r="AH6" s="519" t="s">
        <v>914</v>
      </c>
      <c r="AI6" s="543">
        <v>1.1499999999999999</v>
      </c>
      <c r="AK6" s="104" t="s">
        <v>1028</v>
      </c>
      <c r="AL6" s="519" t="s">
        <v>914</v>
      </c>
      <c r="AM6" s="543">
        <v>1.1499999999999999</v>
      </c>
      <c r="AO6" s="130" t="s">
        <v>1029</v>
      </c>
      <c r="AP6" s="543">
        <v>0.5</v>
      </c>
      <c r="AS6" s="266" t="s">
        <v>23</v>
      </c>
      <c r="AT6" s="543">
        <v>4</v>
      </c>
      <c r="AU6" s="523" t="s">
        <v>1030</v>
      </c>
      <c r="AY6" s="87" t="s">
        <v>142</v>
      </c>
      <c r="AZ6" s="297" t="s">
        <v>1005</v>
      </c>
      <c r="BB6" s="187" t="s">
        <v>393</v>
      </c>
      <c r="BC6" s="300"/>
    </row>
    <row r="7" spans="1:55" ht="28.5" thickBot="1" x14ac:dyDescent="0.35">
      <c r="B7" s="88" t="s">
        <v>142</v>
      </c>
      <c r="C7" s="570" t="s">
        <v>23</v>
      </c>
      <c r="D7" s="543">
        <v>4</v>
      </c>
      <c r="E7" s="585" t="s">
        <v>156</v>
      </c>
      <c r="F7" s="585" t="s">
        <v>23</v>
      </c>
      <c r="G7" s="593" t="s">
        <v>1015</v>
      </c>
      <c r="H7" s="585">
        <v>3</v>
      </c>
      <c r="I7" s="585">
        <v>2.5</v>
      </c>
      <c r="J7" s="585">
        <v>2</v>
      </c>
      <c r="K7" s="585">
        <v>1.5</v>
      </c>
      <c r="L7" s="593">
        <v>1</v>
      </c>
      <c r="M7" s="22"/>
      <c r="N7" s="130" t="s">
        <v>242</v>
      </c>
      <c r="O7" s="519">
        <v>1</v>
      </c>
      <c r="T7" s="130" t="s">
        <v>20</v>
      </c>
      <c r="U7" s="646" t="s">
        <v>924</v>
      </c>
      <c r="V7" s="585" t="s">
        <v>924</v>
      </c>
      <c r="W7" s="585">
        <v>1</v>
      </c>
      <c r="X7" s="585">
        <v>2</v>
      </c>
      <c r="Y7" s="585">
        <v>4</v>
      </c>
      <c r="AA7" s="104" t="s">
        <v>1031</v>
      </c>
      <c r="AB7" s="543">
        <v>1</v>
      </c>
      <c r="AC7" s="132"/>
      <c r="AD7" s="104" t="s">
        <v>1026</v>
      </c>
      <c r="AE7" s="543">
        <v>0.75</v>
      </c>
      <c r="AG7" s="104" t="s">
        <v>1032</v>
      </c>
      <c r="AH7" s="519" t="s">
        <v>914</v>
      </c>
      <c r="AI7" s="543">
        <v>1.1499999999999999</v>
      </c>
      <c r="AK7" s="104" t="s">
        <v>1033</v>
      </c>
      <c r="AL7" s="519" t="s">
        <v>914</v>
      </c>
      <c r="AM7" s="543">
        <v>1.1499999999999999</v>
      </c>
      <c r="AO7" s="301"/>
      <c r="AP7" s="301"/>
      <c r="AS7" s="261" t="s">
        <v>156</v>
      </c>
      <c r="AT7" s="525">
        <v>2</v>
      </c>
      <c r="AU7" s="594" t="s">
        <v>1034</v>
      </c>
      <c r="AY7" s="89" t="s">
        <v>143</v>
      </c>
      <c r="AZ7" s="297" t="s">
        <v>1006</v>
      </c>
      <c r="BB7" s="189" t="s">
        <v>242</v>
      </c>
      <c r="BC7" s="302"/>
    </row>
    <row r="8" spans="1:55" ht="28" x14ac:dyDescent="0.3">
      <c r="B8" s="110" t="s">
        <v>143</v>
      </c>
      <c r="C8" s="570" t="s">
        <v>156</v>
      </c>
      <c r="D8" s="543">
        <v>2</v>
      </c>
      <c r="E8" s="585" t="s">
        <v>156</v>
      </c>
      <c r="F8" s="585" t="s">
        <v>23</v>
      </c>
      <c r="G8" s="593" t="s">
        <v>1015</v>
      </c>
      <c r="H8" s="585" t="s">
        <v>934</v>
      </c>
      <c r="I8" s="585" t="s">
        <v>934</v>
      </c>
      <c r="J8" s="585" t="s">
        <v>934</v>
      </c>
      <c r="K8" s="585" t="s">
        <v>934</v>
      </c>
      <c r="L8" s="593">
        <v>1</v>
      </c>
      <c r="M8" s="22"/>
      <c r="T8" s="130" t="s">
        <v>382</v>
      </c>
      <c r="U8" s="646" t="s">
        <v>924</v>
      </c>
      <c r="V8" s="585" t="s">
        <v>924</v>
      </c>
      <c r="W8" s="585" t="s">
        <v>924</v>
      </c>
      <c r="X8" s="585">
        <v>1</v>
      </c>
      <c r="Y8" s="585">
        <v>2</v>
      </c>
      <c r="AC8" s="132"/>
      <c r="AG8" s="104" t="s">
        <v>1035</v>
      </c>
      <c r="AH8" s="519" t="s">
        <v>914</v>
      </c>
      <c r="AI8" s="543">
        <v>1.1499999999999999</v>
      </c>
      <c r="AK8" s="104" t="s">
        <v>1036</v>
      </c>
      <c r="AL8" s="519" t="s">
        <v>914</v>
      </c>
      <c r="AM8" s="543">
        <v>1.1499999999999999</v>
      </c>
    </row>
    <row r="9" spans="1:55" ht="28" x14ac:dyDescent="0.3">
      <c r="T9" s="130" t="s">
        <v>21</v>
      </c>
      <c r="U9" s="646" t="s">
        <v>924</v>
      </c>
      <c r="V9" s="585" t="s">
        <v>924</v>
      </c>
      <c r="W9" s="585" t="s">
        <v>924</v>
      </c>
      <c r="X9" s="585" t="s">
        <v>924</v>
      </c>
      <c r="Y9" s="585">
        <v>1</v>
      </c>
      <c r="AG9" s="104" t="s">
        <v>1037</v>
      </c>
      <c r="AH9" s="519" t="s">
        <v>914</v>
      </c>
      <c r="AI9" s="543">
        <v>1.1499999999999999</v>
      </c>
      <c r="AK9" s="104" t="s">
        <v>1038</v>
      </c>
      <c r="AL9" s="519" t="s">
        <v>914</v>
      </c>
      <c r="AM9" s="543">
        <v>1.1499999999999999</v>
      </c>
    </row>
    <row r="10" spans="1:55" x14ac:dyDescent="0.3">
      <c r="AF10" s="132"/>
    </row>
    <row r="11" spans="1:55" x14ac:dyDescent="0.3">
      <c r="AF11" s="132"/>
    </row>
    <row r="12" spans="1:55" x14ac:dyDescent="0.3">
      <c r="AF12" s="132"/>
    </row>
    <row r="13" spans="1:55" x14ac:dyDescent="0.3">
      <c r="AF13" s="132"/>
      <c r="AG13" s="132"/>
      <c r="AH13" s="132"/>
    </row>
    <row r="14" spans="1:55" x14ac:dyDescent="0.3">
      <c r="AF14" s="132"/>
    </row>
    <row r="15" spans="1:55" x14ac:dyDescent="0.3"/>
    <row r="16" spans="1:55"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x14ac:dyDescent="0.3"/>
  <cols>
    <col min="1" max="1" width="88.81640625" style="31" bestFit="1" customWidth="1"/>
    <col min="2" max="2" width="12.7265625" style="31" bestFit="1" customWidth="1"/>
    <col min="3" max="3" width="17.1796875" style="31" bestFit="1" customWidth="1"/>
    <col min="4" max="4" width="15.26953125" style="31" bestFit="1" customWidth="1"/>
    <col min="5" max="5" width="16.26953125" style="31" bestFit="1" customWidth="1"/>
    <col min="6" max="6" width="12.7265625" style="31" bestFit="1" customWidth="1"/>
    <col min="7" max="7" width="22" style="31" bestFit="1" customWidth="1"/>
    <col min="8" max="8" width="16.7265625" style="31" customWidth="1"/>
    <col min="9" max="9" width="15.7265625" style="31" hidden="1" customWidth="1"/>
    <col min="10" max="10" width="27" style="31" hidden="1" customWidth="1"/>
    <col min="11" max="11" width="11.26953125" style="31" hidden="1" customWidth="1"/>
    <col min="12" max="12" width="6.54296875" style="31" hidden="1" customWidth="1"/>
    <col min="13" max="13" width="11" style="31" hidden="1" customWidth="1"/>
    <col min="14" max="14" width="14.1796875" style="31" hidden="1" customWidth="1"/>
    <col min="15" max="15" width="15.1796875" style="31" customWidth="1"/>
    <col min="16" max="17" width="9.1796875" style="31" customWidth="1"/>
    <col min="18" max="16384" width="9.1796875" style="31" hidden="1"/>
  </cols>
  <sheetData>
    <row r="1" spans="1:14" ht="28.9" customHeight="1" x14ac:dyDescent="0.6">
      <c r="A1" s="1079"/>
      <c r="B1" s="280"/>
      <c r="C1" s="280"/>
      <c r="D1" s="280"/>
      <c r="E1" s="280"/>
      <c r="F1" s="280"/>
      <c r="G1" s="280"/>
      <c r="H1" s="305"/>
    </row>
    <row r="2" spans="1:14" ht="29.5" customHeight="1" x14ac:dyDescent="0.6">
      <c r="A2" s="1080"/>
      <c r="B2" s="1077" t="s">
        <v>966</v>
      </c>
      <c r="C2" s="1077"/>
      <c r="D2" s="1077"/>
      <c r="E2" s="1077"/>
      <c r="F2" s="1077"/>
      <c r="G2" s="1077"/>
      <c r="H2" s="1078"/>
    </row>
    <row r="3" spans="1:14" ht="28" x14ac:dyDescent="0.45">
      <c r="A3" s="282" t="s">
        <v>820</v>
      </c>
      <c r="B3" s="104" t="s">
        <v>21</v>
      </c>
      <c r="C3" s="104" t="s">
        <v>382</v>
      </c>
      <c r="D3" s="104" t="s">
        <v>20</v>
      </c>
      <c r="E3" s="104" t="s">
        <v>393</v>
      </c>
      <c r="F3" s="130" t="s">
        <v>242</v>
      </c>
      <c r="G3" s="130" t="s">
        <v>403</v>
      </c>
      <c r="H3" s="104" t="s">
        <v>407</v>
      </c>
      <c r="I3" s="31" t="s">
        <v>200</v>
      </c>
      <c r="J3" s="1081" t="s">
        <v>1039</v>
      </c>
      <c r="K3" s="1082"/>
      <c r="L3" s="1082"/>
      <c r="M3" s="1083"/>
    </row>
    <row r="4" spans="1:14" ht="14" x14ac:dyDescent="0.3">
      <c r="A4" s="88" t="str">
        <f>'G-1 All Habitats'!B3</f>
        <v>Cropland - Arable field margins cultivated annually</v>
      </c>
      <c r="B4" s="543" t="s">
        <v>934</v>
      </c>
      <c r="C4" s="543" t="s">
        <v>934</v>
      </c>
      <c r="D4" s="543" t="s">
        <v>934</v>
      </c>
      <c r="E4" s="543" t="s">
        <v>934</v>
      </c>
      <c r="F4" s="543" t="s">
        <v>934</v>
      </c>
      <c r="G4" s="543">
        <v>1</v>
      </c>
      <c r="H4" s="543" t="s">
        <v>934</v>
      </c>
      <c r="I4" s="31" t="str">
        <f>IF(G4=1,"Cond1",IF(H4=0,"Cond2",IF(AND(B4=3,C4=2.5,D4=2,E4=1.5,F4=1),"Cond4",IF(F4=1,"Cond3","Check"))))</f>
        <v>Cond1</v>
      </c>
      <c r="J4" s="304" t="s">
        <v>1040</v>
      </c>
      <c r="K4" s="304" t="s">
        <v>1041</v>
      </c>
      <c r="L4" s="304" t="s">
        <v>1042</v>
      </c>
      <c r="M4" s="304" t="s">
        <v>1043</v>
      </c>
      <c r="N4" s="31" t="s">
        <v>1044</v>
      </c>
    </row>
    <row r="5" spans="1:14" ht="14" x14ac:dyDescent="0.3">
      <c r="A5" s="88" t="str">
        <f>'G-1 All Habitats'!B4</f>
        <v>Cropland - Arable field margins game bird mix</v>
      </c>
      <c r="B5" s="543" t="s">
        <v>934</v>
      </c>
      <c r="C5" s="543" t="s">
        <v>934</v>
      </c>
      <c r="D5" s="543" t="s">
        <v>934</v>
      </c>
      <c r="E5" s="543" t="s">
        <v>934</v>
      </c>
      <c r="F5" s="543" t="s">
        <v>934</v>
      </c>
      <c r="G5" s="543">
        <v>1</v>
      </c>
      <c r="H5" s="543" t="s">
        <v>934</v>
      </c>
      <c r="I5" s="31" t="str">
        <f t="shared" ref="I5:I8" si="0">IF(G5=1,"Cond1",IF(H5=0,"Cond2",IF(AND(B5=3,C5=2.5,D5=2,E5=1.5,F5=1),"Cond4",IF(F5=1,"Cond3","Check"))))</f>
        <v>Cond1</v>
      </c>
      <c r="J5" s="216" t="s">
        <v>403</v>
      </c>
      <c r="K5" s="216" t="s">
        <v>407</v>
      </c>
      <c r="L5" s="277" t="s">
        <v>242</v>
      </c>
      <c r="M5" s="216" t="s">
        <v>21</v>
      </c>
      <c r="N5" s="31" t="s">
        <v>21</v>
      </c>
    </row>
    <row r="6" spans="1:14" ht="14" x14ac:dyDescent="0.3">
      <c r="A6" s="88" t="str">
        <f>'G-1 All Habitats'!B5</f>
        <v>Cropland - Arable field margins pollen &amp; nectar</v>
      </c>
      <c r="B6" s="543" t="s">
        <v>934</v>
      </c>
      <c r="C6" s="543" t="s">
        <v>934</v>
      </c>
      <c r="D6" s="543" t="s">
        <v>934</v>
      </c>
      <c r="E6" s="543" t="s">
        <v>934</v>
      </c>
      <c r="F6" s="543" t="s">
        <v>934</v>
      </c>
      <c r="G6" s="543">
        <v>1</v>
      </c>
      <c r="H6" s="543" t="s">
        <v>934</v>
      </c>
      <c r="I6" s="31" t="str">
        <f t="shared" si="0"/>
        <v>Cond1</v>
      </c>
      <c r="M6" s="216" t="s">
        <v>382</v>
      </c>
    </row>
    <row r="7" spans="1:14" ht="14" x14ac:dyDescent="0.3">
      <c r="A7" s="88" t="str">
        <f>'G-1 All Habitats'!B6</f>
        <v>Cropland - Arable field margins tussocky</v>
      </c>
      <c r="B7" s="543" t="s">
        <v>934</v>
      </c>
      <c r="C7" s="543" t="s">
        <v>934</v>
      </c>
      <c r="D7" s="543" t="s">
        <v>934</v>
      </c>
      <c r="E7" s="543" t="s">
        <v>934</v>
      </c>
      <c r="F7" s="543" t="s">
        <v>934</v>
      </c>
      <c r="G7" s="543">
        <v>1</v>
      </c>
      <c r="H7" s="543" t="s">
        <v>934</v>
      </c>
      <c r="I7" s="31" t="str">
        <f t="shared" si="0"/>
        <v>Cond1</v>
      </c>
      <c r="M7" s="216" t="s">
        <v>20</v>
      </c>
    </row>
    <row r="8" spans="1:14" ht="14" x14ac:dyDescent="0.3">
      <c r="A8" s="88" t="str">
        <f>'G-1 All Habitats'!B7</f>
        <v>Cropland - Cereal crops</v>
      </c>
      <c r="B8" s="543" t="s">
        <v>934</v>
      </c>
      <c r="C8" s="543" t="s">
        <v>934</v>
      </c>
      <c r="D8" s="543" t="s">
        <v>934</v>
      </c>
      <c r="E8" s="543" t="s">
        <v>934</v>
      </c>
      <c r="F8" s="543" t="s">
        <v>934</v>
      </c>
      <c r="G8" s="543">
        <v>1</v>
      </c>
      <c r="H8" s="543" t="s">
        <v>934</v>
      </c>
      <c r="I8" s="31" t="str">
        <f t="shared" si="0"/>
        <v>Cond1</v>
      </c>
      <c r="M8" s="216" t="s">
        <v>393</v>
      </c>
    </row>
    <row r="9" spans="1:14" ht="14" x14ac:dyDescent="0.3">
      <c r="A9" s="88" t="str">
        <f>'G-1 All Habitats'!B8</f>
        <v>Cropland - Cereal crops winter stubble</v>
      </c>
      <c r="B9" s="543" t="s">
        <v>934</v>
      </c>
      <c r="C9" s="543" t="s">
        <v>934</v>
      </c>
      <c r="D9" s="543" t="s">
        <v>934</v>
      </c>
      <c r="E9" s="543" t="s">
        <v>934</v>
      </c>
      <c r="F9" s="543" t="s">
        <v>934</v>
      </c>
      <c r="G9" s="543">
        <v>1</v>
      </c>
      <c r="H9" s="543" t="s">
        <v>934</v>
      </c>
      <c r="I9" s="31" t="str">
        <f t="shared" ref="I9:I40" si="1">IF(G9=1,"Cond1",IF(H9=0,"Cond2",IF(AND(B9=3,C9=2.5,D9=2,E9=1.5,F9=1),"Cond4",IF(F9=1,"Cond3","Check"))))</f>
        <v>Cond1</v>
      </c>
      <c r="M9" s="277" t="s">
        <v>242</v>
      </c>
    </row>
    <row r="10" spans="1:14" ht="14" x14ac:dyDescent="0.3">
      <c r="A10" s="88" t="str">
        <f>'G-1 All Habitats'!B9</f>
        <v>Cropland - Horticulture</v>
      </c>
      <c r="B10" s="543" t="s">
        <v>934</v>
      </c>
      <c r="C10" s="543" t="s">
        <v>934</v>
      </c>
      <c r="D10" s="543" t="s">
        <v>934</v>
      </c>
      <c r="E10" s="543" t="s">
        <v>934</v>
      </c>
      <c r="F10" s="543" t="s">
        <v>934</v>
      </c>
      <c r="G10" s="543">
        <v>1</v>
      </c>
      <c r="H10" s="543" t="s">
        <v>934</v>
      </c>
      <c r="I10" s="31" t="str">
        <f t="shared" si="1"/>
        <v>Cond1</v>
      </c>
    </row>
    <row r="11" spans="1:14" ht="14" x14ac:dyDescent="0.3">
      <c r="A11" s="88" t="str">
        <f>'G-1 All Habitats'!B10</f>
        <v>Cropland - Intensive orchards</v>
      </c>
      <c r="B11" s="543" t="s">
        <v>934</v>
      </c>
      <c r="C11" s="543" t="s">
        <v>934</v>
      </c>
      <c r="D11" s="543" t="s">
        <v>934</v>
      </c>
      <c r="E11" s="543" t="s">
        <v>934</v>
      </c>
      <c r="F11" s="543" t="s">
        <v>934</v>
      </c>
      <c r="G11" s="543">
        <v>1</v>
      </c>
      <c r="H11" s="543" t="s">
        <v>934</v>
      </c>
      <c r="I11" s="31" t="str">
        <f t="shared" si="1"/>
        <v>Cond1</v>
      </c>
    </row>
    <row r="12" spans="1:14" ht="14" x14ac:dyDescent="0.3">
      <c r="A12" s="88" t="str">
        <f>'G-1 All Habitats'!B11</f>
        <v>Cropland - Non-cereal crops</v>
      </c>
      <c r="B12" s="543" t="s">
        <v>934</v>
      </c>
      <c r="C12" s="543" t="s">
        <v>934</v>
      </c>
      <c r="D12" s="543" t="s">
        <v>934</v>
      </c>
      <c r="E12" s="543" t="s">
        <v>934</v>
      </c>
      <c r="F12" s="543" t="s">
        <v>934</v>
      </c>
      <c r="G12" s="543">
        <v>1</v>
      </c>
      <c r="H12" s="543" t="s">
        <v>934</v>
      </c>
      <c r="I12" s="31" t="str">
        <f t="shared" si="1"/>
        <v>Cond1</v>
      </c>
    </row>
    <row r="13" spans="1:14" ht="14" x14ac:dyDescent="0.3">
      <c r="A13" s="88" t="str">
        <f>'G-1 All Habitats'!B12</f>
        <v>Cropland - Temporary grass and clover leys</v>
      </c>
      <c r="B13" s="543" t="s">
        <v>934</v>
      </c>
      <c r="C13" s="543" t="s">
        <v>934</v>
      </c>
      <c r="D13" s="543" t="s">
        <v>934</v>
      </c>
      <c r="E13" s="543" t="s">
        <v>934</v>
      </c>
      <c r="F13" s="543" t="s">
        <v>934</v>
      </c>
      <c r="G13" s="543">
        <v>1</v>
      </c>
      <c r="H13" s="543" t="s">
        <v>934</v>
      </c>
      <c r="I13" s="31" t="str">
        <f t="shared" si="1"/>
        <v>Cond1</v>
      </c>
    </row>
    <row r="14" spans="1:14" ht="14" x14ac:dyDescent="0.3">
      <c r="A14" s="88" t="str">
        <f>'G-1 All Habitats'!B13</f>
        <v>Grassland - Traditional orchards</v>
      </c>
      <c r="B14" s="543">
        <v>3</v>
      </c>
      <c r="C14" s="543">
        <v>2.5</v>
      </c>
      <c r="D14" s="543">
        <v>2</v>
      </c>
      <c r="E14" s="543">
        <v>1.5</v>
      </c>
      <c r="F14" s="543">
        <v>1</v>
      </c>
      <c r="G14" s="543" t="s">
        <v>934</v>
      </c>
      <c r="H14" s="543" t="s">
        <v>934</v>
      </c>
      <c r="I14" s="31" t="str">
        <f t="shared" si="1"/>
        <v>Cond4</v>
      </c>
    </row>
    <row r="15" spans="1:14" ht="14" x14ac:dyDescent="0.3">
      <c r="A15" s="88" t="str">
        <f>'G-1 All Habitats'!B14</f>
        <v>Grassland - Bracken</v>
      </c>
      <c r="B15" s="543" t="s">
        <v>934</v>
      </c>
      <c r="C15" s="543" t="s">
        <v>934</v>
      </c>
      <c r="D15" s="543" t="s">
        <v>934</v>
      </c>
      <c r="E15" s="543" t="s">
        <v>934</v>
      </c>
      <c r="F15" s="543" t="s">
        <v>934</v>
      </c>
      <c r="G15" s="543">
        <v>1</v>
      </c>
      <c r="H15" s="543" t="s">
        <v>934</v>
      </c>
      <c r="I15" s="31" t="str">
        <f t="shared" si="1"/>
        <v>Cond1</v>
      </c>
    </row>
    <row r="16" spans="1:14" ht="14" x14ac:dyDescent="0.3">
      <c r="A16" s="88" t="str">
        <f>'G-1 All Habitats'!B15</f>
        <v>Grassland - Floodplain Wetland Mosaic (CFGM)</v>
      </c>
      <c r="B16" s="543">
        <v>3</v>
      </c>
      <c r="C16" s="543">
        <v>2.5</v>
      </c>
      <c r="D16" s="543">
        <v>2</v>
      </c>
      <c r="E16" s="543">
        <v>1.5</v>
      </c>
      <c r="F16" s="543">
        <v>1</v>
      </c>
      <c r="G16" s="543" t="s">
        <v>934</v>
      </c>
      <c r="H16" s="543" t="s">
        <v>934</v>
      </c>
      <c r="I16" s="31" t="str">
        <f t="shared" si="1"/>
        <v>Cond4</v>
      </c>
    </row>
    <row r="17" spans="1:9" ht="14" x14ac:dyDescent="0.3">
      <c r="A17" s="88" t="str">
        <f>'G-1 All Habitats'!B16</f>
        <v>Grassland - Lowland calcareous grassland</v>
      </c>
      <c r="B17" s="543">
        <v>3</v>
      </c>
      <c r="C17" s="543">
        <v>2.5</v>
      </c>
      <c r="D17" s="543">
        <v>2</v>
      </c>
      <c r="E17" s="543">
        <v>1.5</v>
      </c>
      <c r="F17" s="543">
        <v>1</v>
      </c>
      <c r="G17" s="543" t="s">
        <v>934</v>
      </c>
      <c r="H17" s="543" t="s">
        <v>934</v>
      </c>
      <c r="I17" s="31" t="str">
        <f t="shared" si="1"/>
        <v>Cond4</v>
      </c>
    </row>
    <row r="18" spans="1:9" ht="14" x14ac:dyDescent="0.3">
      <c r="A18" s="88" t="str">
        <f>'G-1 All Habitats'!B17</f>
        <v>Grassland - Lowland dry acid grassland</v>
      </c>
      <c r="B18" s="543">
        <v>3</v>
      </c>
      <c r="C18" s="543">
        <v>2.5</v>
      </c>
      <c r="D18" s="543">
        <v>2</v>
      </c>
      <c r="E18" s="543">
        <v>1.5</v>
      </c>
      <c r="F18" s="543">
        <v>1</v>
      </c>
      <c r="G18" s="543" t="s">
        <v>934</v>
      </c>
      <c r="H18" s="543" t="s">
        <v>934</v>
      </c>
      <c r="I18" s="31" t="str">
        <f t="shared" si="1"/>
        <v>Cond4</v>
      </c>
    </row>
    <row r="19" spans="1:9" ht="14" x14ac:dyDescent="0.3">
      <c r="A19" s="88" t="str">
        <f>'G-1 All Habitats'!B18</f>
        <v>Grassland - Lowland meadows</v>
      </c>
      <c r="B19" s="543">
        <v>3</v>
      </c>
      <c r="C19" s="543">
        <v>2.5</v>
      </c>
      <c r="D19" s="543">
        <v>2</v>
      </c>
      <c r="E19" s="543">
        <v>1.5</v>
      </c>
      <c r="F19" s="543">
        <v>1</v>
      </c>
      <c r="G19" s="543" t="s">
        <v>934</v>
      </c>
      <c r="H19" s="543" t="s">
        <v>934</v>
      </c>
      <c r="I19" s="31" t="str">
        <f t="shared" si="1"/>
        <v>Cond4</v>
      </c>
    </row>
    <row r="20" spans="1:9" ht="14" x14ac:dyDescent="0.3">
      <c r="A20" s="88" t="str">
        <f>'G-1 All Habitats'!B19</f>
        <v>Grassland - Modified grassland</v>
      </c>
      <c r="B20" s="543">
        <v>3</v>
      </c>
      <c r="C20" s="543">
        <v>2.5</v>
      </c>
      <c r="D20" s="543">
        <v>2</v>
      </c>
      <c r="E20" s="543">
        <v>1.5</v>
      </c>
      <c r="F20" s="543">
        <v>1</v>
      </c>
      <c r="G20" s="543" t="s">
        <v>934</v>
      </c>
      <c r="H20" s="543" t="s">
        <v>934</v>
      </c>
      <c r="I20" s="31" t="str">
        <f t="shared" si="1"/>
        <v>Cond4</v>
      </c>
    </row>
    <row r="21" spans="1:9" ht="15" customHeight="1" x14ac:dyDescent="0.3">
      <c r="A21" s="88" t="str">
        <f>'G-1 All Habitats'!B20</f>
        <v>Grassland - Other lowland acid grassland</v>
      </c>
      <c r="B21" s="543">
        <v>3</v>
      </c>
      <c r="C21" s="543">
        <v>2.5</v>
      </c>
      <c r="D21" s="543">
        <v>2</v>
      </c>
      <c r="E21" s="543">
        <v>1.5</v>
      </c>
      <c r="F21" s="543">
        <v>1</v>
      </c>
      <c r="G21" s="543" t="s">
        <v>934</v>
      </c>
      <c r="H21" s="543" t="s">
        <v>934</v>
      </c>
      <c r="I21" s="31" t="str">
        <f t="shared" si="1"/>
        <v>Cond4</v>
      </c>
    </row>
    <row r="22" spans="1:9" ht="15" customHeight="1" x14ac:dyDescent="0.3">
      <c r="A22" s="88" t="str">
        <f>'G-1 All Habitats'!B21</f>
        <v>Grassland - Other neutral grassland</v>
      </c>
      <c r="B22" s="543">
        <v>3</v>
      </c>
      <c r="C22" s="543">
        <v>2.5</v>
      </c>
      <c r="D22" s="543">
        <v>2</v>
      </c>
      <c r="E22" s="543">
        <v>1.5</v>
      </c>
      <c r="F22" s="543">
        <v>1</v>
      </c>
      <c r="G22" s="543" t="s">
        <v>934</v>
      </c>
      <c r="H22" s="543" t="s">
        <v>934</v>
      </c>
      <c r="I22" s="31" t="str">
        <f t="shared" si="1"/>
        <v>Cond4</v>
      </c>
    </row>
    <row r="23" spans="1:9" ht="15" customHeight="1" x14ac:dyDescent="0.3">
      <c r="A23" s="88" t="str">
        <f>'G-1 All Habitats'!B22</f>
        <v>Grassland - Tall herb communities (H6430)</v>
      </c>
      <c r="B23" s="543">
        <v>3</v>
      </c>
      <c r="C23" s="543">
        <v>2.5</v>
      </c>
      <c r="D23" s="543">
        <v>2</v>
      </c>
      <c r="E23" s="543">
        <v>1.5</v>
      </c>
      <c r="F23" s="543">
        <v>1</v>
      </c>
      <c r="G23" s="543" t="s">
        <v>934</v>
      </c>
      <c r="H23" s="543" t="s">
        <v>934</v>
      </c>
      <c r="I23" s="31" t="str">
        <f t="shared" si="1"/>
        <v>Cond4</v>
      </c>
    </row>
    <row r="24" spans="1:9" ht="15" customHeight="1" x14ac:dyDescent="0.3">
      <c r="A24" s="88" t="str">
        <f>'G-1 All Habitats'!B23</f>
        <v>Grassland - Upland acid grassland</v>
      </c>
      <c r="B24" s="543">
        <v>3</v>
      </c>
      <c r="C24" s="543">
        <v>2.5</v>
      </c>
      <c r="D24" s="543">
        <v>2</v>
      </c>
      <c r="E24" s="543">
        <v>1.5</v>
      </c>
      <c r="F24" s="543">
        <v>1</v>
      </c>
      <c r="G24" s="543" t="s">
        <v>934</v>
      </c>
      <c r="H24" s="543" t="s">
        <v>934</v>
      </c>
      <c r="I24" s="31" t="str">
        <f t="shared" si="1"/>
        <v>Cond4</v>
      </c>
    </row>
    <row r="25" spans="1:9" ht="15" customHeight="1" x14ac:dyDescent="0.3">
      <c r="A25" s="88" t="str">
        <f>'G-1 All Habitats'!B24</f>
        <v>Grassland - Upland calcareous grassland</v>
      </c>
      <c r="B25" s="543">
        <v>3</v>
      </c>
      <c r="C25" s="543">
        <v>2.5</v>
      </c>
      <c r="D25" s="543">
        <v>2</v>
      </c>
      <c r="E25" s="543">
        <v>1.5</v>
      </c>
      <c r="F25" s="543">
        <v>1</v>
      </c>
      <c r="G25" s="543" t="s">
        <v>934</v>
      </c>
      <c r="H25" s="543" t="s">
        <v>934</v>
      </c>
      <c r="I25" s="31" t="str">
        <f t="shared" si="1"/>
        <v>Cond4</v>
      </c>
    </row>
    <row r="26" spans="1:9" ht="15" customHeight="1" x14ac:dyDescent="0.3">
      <c r="A26" s="88" t="str">
        <f>'G-1 All Habitats'!B25</f>
        <v>Grassland - Upland hay meadows</v>
      </c>
      <c r="B26" s="543">
        <v>3</v>
      </c>
      <c r="C26" s="543">
        <v>2.5</v>
      </c>
      <c r="D26" s="543">
        <v>2</v>
      </c>
      <c r="E26" s="543">
        <v>1.5</v>
      </c>
      <c r="F26" s="543">
        <v>1</v>
      </c>
      <c r="G26" s="543" t="s">
        <v>934</v>
      </c>
      <c r="H26" s="543" t="s">
        <v>934</v>
      </c>
      <c r="I26" s="31" t="str">
        <f t="shared" si="1"/>
        <v>Cond4</v>
      </c>
    </row>
    <row r="27" spans="1:9" ht="14" x14ac:dyDescent="0.3">
      <c r="A27" s="88" t="str">
        <f>'G-1 All Habitats'!B26</f>
        <v>Heathland and shrub - Blackthorn scrub</v>
      </c>
      <c r="B27" s="543">
        <v>3</v>
      </c>
      <c r="C27" s="543">
        <v>2.5</v>
      </c>
      <c r="D27" s="543">
        <v>2</v>
      </c>
      <c r="E27" s="543">
        <v>1.5</v>
      </c>
      <c r="F27" s="543">
        <v>1</v>
      </c>
      <c r="G27" s="543" t="s">
        <v>934</v>
      </c>
      <c r="H27" s="543" t="s">
        <v>934</v>
      </c>
      <c r="I27" s="31" t="str">
        <f t="shared" si="1"/>
        <v>Cond4</v>
      </c>
    </row>
    <row r="28" spans="1:9" ht="14" x14ac:dyDescent="0.3">
      <c r="A28" s="88" t="str">
        <f>'G-1 All Habitats'!B27</f>
        <v>Heathland and shrub - Bramble scrub</v>
      </c>
      <c r="B28" s="543" t="s">
        <v>934</v>
      </c>
      <c r="C28" s="543" t="s">
        <v>934</v>
      </c>
      <c r="D28" s="543" t="s">
        <v>934</v>
      </c>
      <c r="E28" s="543" t="s">
        <v>934</v>
      </c>
      <c r="F28" s="543" t="s">
        <v>934</v>
      </c>
      <c r="G28" s="543">
        <v>1</v>
      </c>
      <c r="H28" s="543" t="s">
        <v>934</v>
      </c>
      <c r="I28" s="31" t="str">
        <f t="shared" si="1"/>
        <v>Cond1</v>
      </c>
    </row>
    <row r="29" spans="1:9" ht="14" x14ac:dyDescent="0.3">
      <c r="A29" s="88" t="str">
        <f>'G-1 All Habitats'!B28</f>
        <v>Heathland and shrub - Gorse scrub</v>
      </c>
      <c r="B29" s="543">
        <v>3</v>
      </c>
      <c r="C29" s="543">
        <v>2.5</v>
      </c>
      <c r="D29" s="543">
        <v>2</v>
      </c>
      <c r="E29" s="543">
        <v>1.5</v>
      </c>
      <c r="F29" s="543">
        <v>1</v>
      </c>
      <c r="G29" s="543" t="s">
        <v>934</v>
      </c>
      <c r="H29" s="543" t="s">
        <v>934</v>
      </c>
      <c r="I29" s="31" t="str">
        <f t="shared" si="1"/>
        <v>Cond4</v>
      </c>
    </row>
    <row r="30" spans="1:9" ht="14" x14ac:dyDescent="0.3">
      <c r="A30" s="88" t="str">
        <f>'G-1 All Habitats'!B29</f>
        <v>Heathland and shrub - Hawthorn scrub</v>
      </c>
      <c r="B30" s="543">
        <v>3</v>
      </c>
      <c r="C30" s="543">
        <v>2.5</v>
      </c>
      <c r="D30" s="543">
        <v>2</v>
      </c>
      <c r="E30" s="543">
        <v>1.5</v>
      </c>
      <c r="F30" s="543">
        <v>1</v>
      </c>
      <c r="G30" s="543" t="s">
        <v>934</v>
      </c>
      <c r="H30" s="543" t="s">
        <v>934</v>
      </c>
      <c r="I30" s="31" t="str">
        <f t="shared" si="1"/>
        <v>Cond4</v>
      </c>
    </row>
    <row r="31" spans="1:9" ht="14" x14ac:dyDescent="0.3">
      <c r="A31" s="88" t="str">
        <f>'G-1 All Habitats'!B30</f>
        <v>Heathland and shrub - Hazel scrub</v>
      </c>
      <c r="B31" s="543">
        <v>3</v>
      </c>
      <c r="C31" s="543">
        <v>2.5</v>
      </c>
      <c r="D31" s="543">
        <v>2</v>
      </c>
      <c r="E31" s="543">
        <v>1.5</v>
      </c>
      <c r="F31" s="543">
        <v>1</v>
      </c>
      <c r="G31" s="543" t="s">
        <v>934</v>
      </c>
      <c r="H31" s="543" t="s">
        <v>934</v>
      </c>
      <c r="I31" s="31" t="str">
        <f t="shared" si="1"/>
        <v>Cond4</v>
      </c>
    </row>
    <row r="32" spans="1:9" ht="14" x14ac:dyDescent="0.3">
      <c r="A32" s="88" t="str">
        <f>'G-1 All Habitats'!B31</f>
        <v>Heathland and shrub - Lowland Heathland</v>
      </c>
      <c r="B32" s="543">
        <v>3</v>
      </c>
      <c r="C32" s="543">
        <v>2.5</v>
      </c>
      <c r="D32" s="543">
        <v>2</v>
      </c>
      <c r="E32" s="543">
        <v>1.5</v>
      </c>
      <c r="F32" s="543">
        <v>1</v>
      </c>
      <c r="G32" s="543" t="s">
        <v>934</v>
      </c>
      <c r="H32" s="543" t="s">
        <v>934</v>
      </c>
      <c r="I32" s="31" t="str">
        <f t="shared" si="1"/>
        <v>Cond4</v>
      </c>
    </row>
    <row r="33" spans="1:9" ht="14" x14ac:dyDescent="0.3">
      <c r="A33" s="88" t="str">
        <f>'G-1 All Habitats'!B32</f>
        <v>Heathland and shrub - Mixed scrub</v>
      </c>
      <c r="B33" s="543">
        <v>3</v>
      </c>
      <c r="C33" s="543">
        <v>2.5</v>
      </c>
      <c r="D33" s="543">
        <v>2</v>
      </c>
      <c r="E33" s="543">
        <v>1.5</v>
      </c>
      <c r="F33" s="543">
        <v>1</v>
      </c>
      <c r="G33" s="543" t="s">
        <v>934</v>
      </c>
      <c r="H33" s="543" t="s">
        <v>934</v>
      </c>
      <c r="I33" s="31" t="str">
        <f t="shared" si="1"/>
        <v>Cond4</v>
      </c>
    </row>
    <row r="34" spans="1:9" ht="14" x14ac:dyDescent="0.3">
      <c r="A34" s="88" t="str">
        <f>'G-1 All Habitats'!B33</f>
        <v>Heathland and shrub - Mountain heaths and willow scrub</v>
      </c>
      <c r="B34" s="543">
        <v>3</v>
      </c>
      <c r="C34" s="543">
        <v>2.5</v>
      </c>
      <c r="D34" s="543">
        <v>2</v>
      </c>
      <c r="E34" s="543">
        <v>1.5</v>
      </c>
      <c r="F34" s="543">
        <v>1</v>
      </c>
      <c r="G34" s="543" t="s">
        <v>934</v>
      </c>
      <c r="H34" s="543" t="s">
        <v>934</v>
      </c>
      <c r="I34" s="31" t="str">
        <f t="shared" si="1"/>
        <v>Cond4</v>
      </c>
    </row>
    <row r="35" spans="1:9" ht="14" x14ac:dyDescent="0.3">
      <c r="A35" s="88" t="str">
        <f>'G-1 All Habitats'!B34</f>
        <v>Heathland and shrub - Rhododendron scrub</v>
      </c>
      <c r="B35" s="543" t="s">
        <v>934</v>
      </c>
      <c r="C35" s="543" t="s">
        <v>934</v>
      </c>
      <c r="D35" s="543" t="s">
        <v>934</v>
      </c>
      <c r="E35" s="543" t="s">
        <v>934</v>
      </c>
      <c r="F35" s="543" t="s">
        <v>934</v>
      </c>
      <c r="G35" s="543">
        <v>1</v>
      </c>
      <c r="H35" s="543" t="s">
        <v>934</v>
      </c>
      <c r="I35" s="31" t="str">
        <f t="shared" si="1"/>
        <v>Cond1</v>
      </c>
    </row>
    <row r="36" spans="1:9" ht="14" x14ac:dyDescent="0.3">
      <c r="A36" s="88" t="str">
        <f>'G-1 All Habitats'!B35</f>
        <v>Heathland and shrub - Sea buckthorn scrub (Annex 1)</v>
      </c>
      <c r="B36" s="543">
        <v>3</v>
      </c>
      <c r="C36" s="543">
        <v>2.5</v>
      </c>
      <c r="D36" s="543">
        <v>2</v>
      </c>
      <c r="E36" s="543">
        <v>1.5</v>
      </c>
      <c r="F36" s="543">
        <v>1</v>
      </c>
      <c r="G36" s="543" t="s">
        <v>934</v>
      </c>
      <c r="H36" s="543" t="s">
        <v>934</v>
      </c>
      <c r="I36" s="31" t="str">
        <f t="shared" si="1"/>
        <v>Cond4</v>
      </c>
    </row>
    <row r="37" spans="1:9" ht="14" x14ac:dyDescent="0.3">
      <c r="A37" s="88" t="str">
        <f>'G-1 All Habitats'!B36</f>
        <v>Heathland and shrub - Sea buckthorn scrub (other)</v>
      </c>
      <c r="B37" s="543" t="s">
        <v>934</v>
      </c>
      <c r="C37" s="543" t="s">
        <v>934</v>
      </c>
      <c r="D37" s="543" t="s">
        <v>934</v>
      </c>
      <c r="E37" s="543" t="s">
        <v>934</v>
      </c>
      <c r="F37" s="543" t="s">
        <v>934</v>
      </c>
      <c r="G37" s="543">
        <v>1</v>
      </c>
      <c r="H37" s="543" t="s">
        <v>934</v>
      </c>
      <c r="I37" s="31" t="str">
        <f t="shared" si="1"/>
        <v>Cond1</v>
      </c>
    </row>
    <row r="38" spans="1:9" ht="14" x14ac:dyDescent="0.3">
      <c r="A38" s="88" t="str">
        <f>'G-1 All Habitats'!B37</f>
        <v>Heathland and shrub - Upland Heathland</v>
      </c>
      <c r="B38" s="543">
        <v>3</v>
      </c>
      <c r="C38" s="543">
        <v>2.5</v>
      </c>
      <c r="D38" s="543">
        <v>2</v>
      </c>
      <c r="E38" s="543">
        <v>1.5</v>
      </c>
      <c r="F38" s="543">
        <v>1</v>
      </c>
      <c r="G38" s="543" t="s">
        <v>934</v>
      </c>
      <c r="H38" s="543" t="s">
        <v>934</v>
      </c>
      <c r="I38" s="31" t="str">
        <f t="shared" si="1"/>
        <v>Cond4</v>
      </c>
    </row>
    <row r="39" spans="1:9" ht="14" x14ac:dyDescent="0.3">
      <c r="A39" s="88" t="str">
        <f>'G-1 All Habitats'!B38</f>
        <v>Lakes - Aquifer fed naturally fluctuating water bodies</v>
      </c>
      <c r="B39" s="543">
        <v>3</v>
      </c>
      <c r="C39" s="543">
        <v>2.5</v>
      </c>
      <c r="D39" s="543">
        <v>2</v>
      </c>
      <c r="E39" s="543">
        <v>1.5</v>
      </c>
      <c r="F39" s="543">
        <v>1</v>
      </c>
      <c r="G39" s="543" t="s">
        <v>934</v>
      </c>
      <c r="H39" s="543" t="s">
        <v>934</v>
      </c>
      <c r="I39" s="31" t="str">
        <f t="shared" si="1"/>
        <v>Cond4</v>
      </c>
    </row>
    <row r="40" spans="1:9" ht="14" x14ac:dyDescent="0.3">
      <c r="A40" s="88" t="str">
        <f>'G-1 All Habitats'!B40</f>
        <v>Lakes - High alkalinity lakes</v>
      </c>
      <c r="B40" s="543">
        <v>3</v>
      </c>
      <c r="C40" s="543">
        <v>2.5</v>
      </c>
      <c r="D40" s="543">
        <v>2</v>
      </c>
      <c r="E40" s="543">
        <v>1.5</v>
      </c>
      <c r="F40" s="543">
        <v>1</v>
      </c>
      <c r="G40" s="543" t="s">
        <v>934</v>
      </c>
      <c r="H40" s="543" t="s">
        <v>934</v>
      </c>
      <c r="I40" s="31" t="str">
        <f t="shared" si="1"/>
        <v>Cond4</v>
      </c>
    </row>
    <row r="41" spans="1:9" ht="14" x14ac:dyDescent="0.3">
      <c r="A41" s="88" t="str">
        <f>'G-1 All Habitats'!B41</f>
        <v>Lakes - Low alkalinity lakes</v>
      </c>
      <c r="B41" s="543">
        <v>3</v>
      </c>
      <c r="C41" s="543">
        <v>2.5</v>
      </c>
      <c r="D41" s="543">
        <v>2</v>
      </c>
      <c r="E41" s="543">
        <v>1.5</v>
      </c>
      <c r="F41" s="543">
        <v>1</v>
      </c>
      <c r="G41" s="543" t="s">
        <v>934</v>
      </c>
      <c r="H41" s="543" t="s">
        <v>934</v>
      </c>
      <c r="I41" s="31" t="str">
        <f t="shared" ref="I41:I72" si="2">IF(G41=1,"Cond1",IF(H41=0,"Cond2",IF(AND(B41=3,C41=2.5,D41=2,E41=1.5,F41=1),"Cond4",IF(F41=1,"Cond3","Check"))))</f>
        <v>Cond4</v>
      </c>
    </row>
    <row r="42" spans="1:9" ht="14" x14ac:dyDescent="0.3">
      <c r="A42" s="88" t="str">
        <f>'G-1 All Habitats'!B42</f>
        <v>Lakes - Marl Lakes</v>
      </c>
      <c r="B42" s="543">
        <v>3</v>
      </c>
      <c r="C42" s="543">
        <v>2.5</v>
      </c>
      <c r="D42" s="543">
        <v>2</v>
      </c>
      <c r="E42" s="543">
        <v>1.5</v>
      </c>
      <c r="F42" s="543">
        <v>1</v>
      </c>
      <c r="G42" s="543" t="s">
        <v>934</v>
      </c>
      <c r="H42" s="543" t="s">
        <v>934</v>
      </c>
      <c r="I42" s="31" t="str">
        <f t="shared" si="2"/>
        <v>Cond4</v>
      </c>
    </row>
    <row r="43" spans="1:9" ht="14" x14ac:dyDescent="0.3">
      <c r="A43" s="88" t="str">
        <f>'G-1 All Habitats'!B43</f>
        <v>Lakes - Moderate alkalinity lakes</v>
      </c>
      <c r="B43" s="543">
        <v>3</v>
      </c>
      <c r="C43" s="543">
        <v>2.5</v>
      </c>
      <c r="D43" s="543">
        <v>2</v>
      </c>
      <c r="E43" s="543">
        <v>1.5</v>
      </c>
      <c r="F43" s="543">
        <v>1</v>
      </c>
      <c r="G43" s="543" t="s">
        <v>934</v>
      </c>
      <c r="H43" s="543" t="s">
        <v>934</v>
      </c>
      <c r="I43" s="31" t="str">
        <f t="shared" si="2"/>
        <v>Cond4</v>
      </c>
    </row>
    <row r="44" spans="1:9" ht="14" x14ac:dyDescent="0.3">
      <c r="A44" s="88" t="str">
        <f>'G-1 All Habitats'!B44</f>
        <v>Lakes - Peat Lakes</v>
      </c>
      <c r="B44" s="543">
        <v>3</v>
      </c>
      <c r="C44" s="543">
        <v>2.5</v>
      </c>
      <c r="D44" s="543">
        <v>2</v>
      </c>
      <c r="E44" s="543">
        <v>1.5</v>
      </c>
      <c r="F44" s="543">
        <v>1</v>
      </c>
      <c r="G44" s="543" t="s">
        <v>934</v>
      </c>
      <c r="H44" s="543" t="s">
        <v>934</v>
      </c>
      <c r="I44" s="31" t="str">
        <f t="shared" si="2"/>
        <v>Cond4</v>
      </c>
    </row>
    <row r="45" spans="1:9" ht="14" x14ac:dyDescent="0.3">
      <c r="A45" s="88" t="str">
        <f>'G-1 All Habitats'!B45</f>
        <v>Lakes - Ponds (Priority Habitat)</v>
      </c>
      <c r="B45" s="543">
        <v>3</v>
      </c>
      <c r="C45" s="543">
        <v>2.5</v>
      </c>
      <c r="D45" s="543">
        <v>2</v>
      </c>
      <c r="E45" s="543">
        <v>1.5</v>
      </c>
      <c r="F45" s="543">
        <v>1</v>
      </c>
      <c r="G45" s="543" t="s">
        <v>934</v>
      </c>
      <c r="H45" s="543" t="s">
        <v>934</v>
      </c>
      <c r="I45" s="31" t="str">
        <f t="shared" si="2"/>
        <v>Cond4</v>
      </c>
    </row>
    <row r="46" spans="1:9" ht="14" x14ac:dyDescent="0.3">
      <c r="A46" s="88" t="str">
        <f>'G-1 All Habitats'!B46</f>
        <v>Lakes - Ponds (Non- Priority Habitat)</v>
      </c>
      <c r="B46" s="543">
        <v>3</v>
      </c>
      <c r="C46" s="543">
        <v>2.5</v>
      </c>
      <c r="D46" s="543">
        <v>2</v>
      </c>
      <c r="E46" s="543">
        <v>1.5</v>
      </c>
      <c r="F46" s="543">
        <v>1</v>
      </c>
      <c r="G46" s="543" t="s">
        <v>934</v>
      </c>
      <c r="H46" s="543" t="s">
        <v>934</v>
      </c>
      <c r="I46" s="31" t="str">
        <f t="shared" si="2"/>
        <v>Cond4</v>
      </c>
    </row>
    <row r="47" spans="1:9" ht="14" x14ac:dyDescent="0.3">
      <c r="A47" s="88" t="str">
        <f>'G-1 All Habitats'!B47</f>
        <v>Lakes - Reservoirs</v>
      </c>
      <c r="B47" s="543">
        <v>3</v>
      </c>
      <c r="C47" s="543">
        <v>2.5</v>
      </c>
      <c r="D47" s="543">
        <v>2</v>
      </c>
      <c r="E47" s="543">
        <v>1.5</v>
      </c>
      <c r="F47" s="543">
        <v>1</v>
      </c>
      <c r="G47" s="543" t="s">
        <v>934</v>
      </c>
      <c r="H47" s="543" t="s">
        <v>934</v>
      </c>
      <c r="I47" s="31" t="str">
        <f t="shared" si="2"/>
        <v>Cond4</v>
      </c>
    </row>
    <row r="48" spans="1:9" ht="14" x14ac:dyDescent="0.3">
      <c r="A48" s="88" t="str">
        <f>'G-1 All Habitats'!B48</f>
        <v>Lakes - Temporary lakes, ponds and pools</v>
      </c>
      <c r="B48" s="543">
        <v>3</v>
      </c>
      <c r="C48" s="543">
        <v>2.5</v>
      </c>
      <c r="D48" s="543">
        <v>2</v>
      </c>
      <c r="E48" s="543">
        <v>1.5</v>
      </c>
      <c r="F48" s="543">
        <v>1</v>
      </c>
      <c r="G48" s="543" t="s">
        <v>934</v>
      </c>
      <c r="H48" s="543" t="s">
        <v>934</v>
      </c>
      <c r="I48" s="31" t="str">
        <f t="shared" si="2"/>
        <v>Cond4</v>
      </c>
    </row>
    <row r="49" spans="1:9" ht="14" x14ac:dyDescent="0.3">
      <c r="A49" s="88" t="str">
        <f>'G-1 All Habitats'!B49</f>
        <v>Sparsely vegetated land - Calaminarian grasslands</v>
      </c>
      <c r="B49" s="543">
        <v>3</v>
      </c>
      <c r="C49" s="543">
        <v>2.5</v>
      </c>
      <c r="D49" s="543">
        <v>2</v>
      </c>
      <c r="E49" s="543">
        <v>1.5</v>
      </c>
      <c r="F49" s="543">
        <v>1</v>
      </c>
      <c r="G49" s="543" t="s">
        <v>934</v>
      </c>
      <c r="H49" s="543" t="s">
        <v>934</v>
      </c>
      <c r="I49" s="31" t="str">
        <f t="shared" si="2"/>
        <v>Cond4</v>
      </c>
    </row>
    <row r="50" spans="1:9" ht="14" x14ac:dyDescent="0.3">
      <c r="A50" s="88" t="str">
        <f>'G-1 All Habitats'!B50</f>
        <v>Sparsely vegetated land - Coastal sand dunes</v>
      </c>
      <c r="B50" s="543">
        <v>3</v>
      </c>
      <c r="C50" s="543">
        <v>2.5</v>
      </c>
      <c r="D50" s="543">
        <v>2</v>
      </c>
      <c r="E50" s="543">
        <v>1.5</v>
      </c>
      <c r="F50" s="543">
        <v>1</v>
      </c>
      <c r="G50" s="543" t="s">
        <v>934</v>
      </c>
      <c r="H50" s="543" t="s">
        <v>934</v>
      </c>
      <c r="I50" s="31" t="str">
        <f t="shared" si="2"/>
        <v>Cond4</v>
      </c>
    </row>
    <row r="51" spans="1:9" ht="14" x14ac:dyDescent="0.3">
      <c r="A51" s="88" t="str">
        <f>'G-1 All Habitats'!B51</f>
        <v>Sparsely vegetated land - Coastal vegetated shingle</v>
      </c>
      <c r="B51" s="543">
        <v>3</v>
      </c>
      <c r="C51" s="543">
        <v>2.5</v>
      </c>
      <c r="D51" s="543">
        <v>2</v>
      </c>
      <c r="E51" s="543">
        <v>1.5</v>
      </c>
      <c r="F51" s="543">
        <v>1</v>
      </c>
      <c r="G51" s="543" t="s">
        <v>934</v>
      </c>
      <c r="H51" s="543" t="s">
        <v>934</v>
      </c>
      <c r="I51" s="31" t="str">
        <f t="shared" si="2"/>
        <v>Cond4</v>
      </c>
    </row>
    <row r="52" spans="1:9" ht="14" x14ac:dyDescent="0.3">
      <c r="A52" s="88" t="str">
        <f>'G-1 All Habitats'!B52</f>
        <v>Sparsely vegetated land - Ruderal/Ephemeral</v>
      </c>
      <c r="B52" s="543">
        <v>3</v>
      </c>
      <c r="C52" s="543">
        <v>2.5</v>
      </c>
      <c r="D52" s="543">
        <v>2</v>
      </c>
      <c r="E52" s="543">
        <v>1.5</v>
      </c>
      <c r="F52" s="543">
        <v>1</v>
      </c>
      <c r="G52" s="543" t="s">
        <v>934</v>
      </c>
      <c r="H52" s="543" t="s">
        <v>934</v>
      </c>
      <c r="I52" s="31" t="str">
        <f t="shared" si="2"/>
        <v>Cond4</v>
      </c>
    </row>
    <row r="53" spans="1:9" ht="14" x14ac:dyDescent="0.3">
      <c r="A53" s="88" t="str">
        <f>'G-1 All Habitats'!B53</f>
        <v>Sparsely vegetated land - Inland rock outcrop and scree habitats</v>
      </c>
      <c r="B53" s="543">
        <v>3</v>
      </c>
      <c r="C53" s="543">
        <v>2.5</v>
      </c>
      <c r="D53" s="543">
        <v>2</v>
      </c>
      <c r="E53" s="543">
        <v>1.5</v>
      </c>
      <c r="F53" s="543">
        <v>1</v>
      </c>
      <c r="G53" s="543" t="s">
        <v>934</v>
      </c>
      <c r="H53" s="543" t="s">
        <v>934</v>
      </c>
      <c r="I53" s="31" t="str">
        <f t="shared" si="2"/>
        <v>Cond4</v>
      </c>
    </row>
    <row r="54" spans="1:9" ht="14" x14ac:dyDescent="0.3">
      <c r="A54" s="88" t="str">
        <f>'G-1 All Habitats'!B54</f>
        <v>Sparsely vegetated land - Limestone pavement</v>
      </c>
      <c r="B54" s="543">
        <v>3</v>
      </c>
      <c r="C54" s="543">
        <v>2.5</v>
      </c>
      <c r="D54" s="543">
        <v>2</v>
      </c>
      <c r="E54" s="543">
        <v>1.5</v>
      </c>
      <c r="F54" s="543">
        <v>1</v>
      </c>
      <c r="G54" s="543" t="s">
        <v>934</v>
      </c>
      <c r="H54" s="543" t="s">
        <v>934</v>
      </c>
      <c r="I54" s="31" t="str">
        <f t="shared" si="2"/>
        <v>Cond4</v>
      </c>
    </row>
    <row r="55" spans="1:9" ht="14" x14ac:dyDescent="0.3">
      <c r="A55" s="88" t="str">
        <f>'G-1 All Habitats'!B55</f>
        <v>Sparsely vegetated land - Maritime cliff and slopes</v>
      </c>
      <c r="B55" s="543">
        <v>3</v>
      </c>
      <c r="C55" s="543">
        <v>2.5</v>
      </c>
      <c r="D55" s="543">
        <v>2</v>
      </c>
      <c r="E55" s="543">
        <v>1.5</v>
      </c>
      <c r="F55" s="543">
        <v>1</v>
      </c>
      <c r="G55" s="543" t="s">
        <v>934</v>
      </c>
      <c r="H55" s="543" t="s">
        <v>934</v>
      </c>
      <c r="I55" s="31" t="str">
        <f t="shared" si="2"/>
        <v>Cond4</v>
      </c>
    </row>
    <row r="56" spans="1:9" ht="14" x14ac:dyDescent="0.3">
      <c r="A56" s="88" t="str">
        <f>'G-1 All Habitats'!B56</f>
        <v>Sparsely vegetated land - Other inland rock and scree</v>
      </c>
      <c r="B56" s="543">
        <v>3</v>
      </c>
      <c r="C56" s="543">
        <v>2.5</v>
      </c>
      <c r="D56" s="543">
        <v>2</v>
      </c>
      <c r="E56" s="543">
        <v>1.5</v>
      </c>
      <c r="F56" s="543">
        <v>1</v>
      </c>
      <c r="G56" s="543" t="s">
        <v>934</v>
      </c>
      <c r="H56" s="543" t="s">
        <v>934</v>
      </c>
      <c r="I56" s="31" t="str">
        <f t="shared" si="2"/>
        <v>Cond4</v>
      </c>
    </row>
    <row r="57" spans="1:9" ht="14" x14ac:dyDescent="0.3">
      <c r="A57" s="88" t="str">
        <f>'G-1 All Habitats'!B57</f>
        <v>Urban - Allotments</v>
      </c>
      <c r="B57" s="543">
        <v>3</v>
      </c>
      <c r="C57" s="543">
        <v>2.5</v>
      </c>
      <c r="D57" s="543">
        <v>2</v>
      </c>
      <c r="E57" s="543">
        <v>1.5</v>
      </c>
      <c r="F57" s="543">
        <v>1</v>
      </c>
      <c r="G57" s="543" t="s">
        <v>934</v>
      </c>
      <c r="H57" s="543" t="s">
        <v>934</v>
      </c>
      <c r="I57" s="31" t="str">
        <f t="shared" si="2"/>
        <v>Cond4</v>
      </c>
    </row>
    <row r="58" spans="1:9" ht="14" x14ac:dyDescent="0.3">
      <c r="A58" s="88" t="str">
        <f>'G-1 All Habitats'!B39</f>
        <v>Lakes - Ornamental lake or pond</v>
      </c>
      <c r="B58" s="543">
        <v>3</v>
      </c>
      <c r="C58" s="543">
        <v>2.5</v>
      </c>
      <c r="D58" s="543">
        <v>2</v>
      </c>
      <c r="E58" s="543">
        <v>1.5</v>
      </c>
      <c r="F58" s="543">
        <v>1</v>
      </c>
      <c r="G58" s="543" t="s">
        <v>934</v>
      </c>
      <c r="H58" s="543" t="s">
        <v>934</v>
      </c>
      <c r="I58" s="31" t="str">
        <f t="shared" si="2"/>
        <v>Cond4</v>
      </c>
    </row>
    <row r="59" spans="1:9" ht="14" x14ac:dyDescent="0.3">
      <c r="A59" s="88" t="str">
        <f>'G-1 All Habitats'!B58</f>
        <v>Urban - Artificial unvegetated, unsealed surface</v>
      </c>
      <c r="B59" s="543" t="s">
        <v>934</v>
      </c>
      <c r="C59" s="543" t="s">
        <v>934</v>
      </c>
      <c r="D59" s="543" t="s">
        <v>934</v>
      </c>
      <c r="E59" s="543" t="s">
        <v>934</v>
      </c>
      <c r="F59" s="543" t="s">
        <v>934</v>
      </c>
      <c r="G59" s="543" t="s">
        <v>934</v>
      </c>
      <c r="H59" s="592">
        <v>0</v>
      </c>
      <c r="I59" s="31" t="str">
        <f t="shared" si="2"/>
        <v>Cond2</v>
      </c>
    </row>
    <row r="60" spans="1:9" ht="14" x14ac:dyDescent="0.3">
      <c r="A60" s="88" t="str">
        <f>'G-1 All Habitats'!B59</f>
        <v>Urban - Bioswale</v>
      </c>
      <c r="B60" s="543">
        <v>3</v>
      </c>
      <c r="C60" s="543">
        <v>2.5</v>
      </c>
      <c r="D60" s="543">
        <v>2</v>
      </c>
      <c r="E60" s="543">
        <v>1.5</v>
      </c>
      <c r="F60" s="543">
        <v>1</v>
      </c>
      <c r="G60" s="543" t="s">
        <v>934</v>
      </c>
      <c r="H60" s="543" t="s">
        <v>934</v>
      </c>
      <c r="I60" s="31" t="str">
        <f t="shared" si="2"/>
        <v>Cond4</v>
      </c>
    </row>
    <row r="61" spans="1:9" ht="14" x14ac:dyDescent="0.3">
      <c r="A61" s="88" t="str">
        <f>'G-1 All Habitats'!B60</f>
        <v>Urban - Intensive green roof</v>
      </c>
      <c r="B61" s="543">
        <v>3</v>
      </c>
      <c r="C61" s="543">
        <v>2.5</v>
      </c>
      <c r="D61" s="543">
        <v>2</v>
      </c>
      <c r="E61" s="543">
        <v>1.5</v>
      </c>
      <c r="F61" s="543">
        <v>1</v>
      </c>
      <c r="G61" s="543" t="s">
        <v>934</v>
      </c>
      <c r="H61" s="543" t="s">
        <v>934</v>
      </c>
      <c r="I61" s="31" t="str">
        <f t="shared" si="2"/>
        <v>Cond4</v>
      </c>
    </row>
    <row r="62" spans="1:9" ht="14" x14ac:dyDescent="0.3">
      <c r="A62" s="88" t="str">
        <f>'G-1 All Habitats'!B61</f>
        <v>Urban - Built linear features</v>
      </c>
      <c r="B62" s="543" t="s">
        <v>934</v>
      </c>
      <c r="C62" s="543" t="s">
        <v>934</v>
      </c>
      <c r="D62" s="543" t="s">
        <v>934</v>
      </c>
      <c r="E62" s="543" t="s">
        <v>934</v>
      </c>
      <c r="F62" s="543" t="s">
        <v>934</v>
      </c>
      <c r="G62" s="543" t="s">
        <v>934</v>
      </c>
      <c r="H62" s="592">
        <v>0</v>
      </c>
      <c r="I62" s="31" t="str">
        <f t="shared" si="2"/>
        <v>Cond2</v>
      </c>
    </row>
    <row r="63" spans="1:9" ht="14" x14ac:dyDescent="0.3">
      <c r="A63" s="88" t="str">
        <f>'G-1 All Habitats'!B62</f>
        <v>Urban - Cemeteries and churchyards</v>
      </c>
      <c r="B63" s="543">
        <v>3</v>
      </c>
      <c r="C63" s="543">
        <v>2.5</v>
      </c>
      <c r="D63" s="543">
        <v>2</v>
      </c>
      <c r="E63" s="543">
        <v>1.5</v>
      </c>
      <c r="F63" s="543">
        <v>1</v>
      </c>
      <c r="G63" s="543" t="s">
        <v>934</v>
      </c>
      <c r="H63" s="543" t="s">
        <v>934</v>
      </c>
      <c r="I63" s="31" t="str">
        <f t="shared" si="2"/>
        <v>Cond4</v>
      </c>
    </row>
    <row r="64" spans="1:9" ht="14" x14ac:dyDescent="0.3">
      <c r="A64" s="88" t="str">
        <f>'G-1 All Habitats'!B63</f>
        <v>Urban - Developed land; sealed surface</v>
      </c>
      <c r="B64" s="543" t="s">
        <v>934</v>
      </c>
      <c r="C64" s="543" t="s">
        <v>934</v>
      </c>
      <c r="D64" s="543" t="s">
        <v>934</v>
      </c>
      <c r="E64" s="543" t="s">
        <v>934</v>
      </c>
      <c r="F64" s="543" t="s">
        <v>934</v>
      </c>
      <c r="G64" s="543" t="s">
        <v>934</v>
      </c>
      <c r="H64" s="592">
        <v>0</v>
      </c>
      <c r="I64" s="31" t="str">
        <f t="shared" si="2"/>
        <v>Cond2</v>
      </c>
    </row>
    <row r="65" spans="1:9" ht="14" x14ac:dyDescent="0.3">
      <c r="A65" s="88" t="str">
        <f>'G-1 All Habitats'!B64</f>
        <v>Urban - Other green roof</v>
      </c>
      <c r="B65" s="543" t="s">
        <v>934</v>
      </c>
      <c r="C65" s="543" t="s">
        <v>934</v>
      </c>
      <c r="D65" s="543" t="s">
        <v>934</v>
      </c>
      <c r="E65" s="543" t="s">
        <v>934</v>
      </c>
      <c r="F65" s="543" t="s">
        <v>934</v>
      </c>
      <c r="G65" s="543">
        <v>1</v>
      </c>
      <c r="H65" s="543" t="s">
        <v>934</v>
      </c>
      <c r="I65" s="31" t="str">
        <f t="shared" si="2"/>
        <v>Cond1</v>
      </c>
    </row>
    <row r="66" spans="1:9" ht="14" x14ac:dyDescent="0.3">
      <c r="A66" s="88" t="str">
        <f>'G-1 All Habitats'!B65</f>
        <v>Urban - Facade-bound green wall</v>
      </c>
      <c r="B66" s="543">
        <v>3</v>
      </c>
      <c r="C66" s="543">
        <v>2.5</v>
      </c>
      <c r="D66" s="543">
        <v>2</v>
      </c>
      <c r="E66" s="543">
        <v>1.5</v>
      </c>
      <c r="F66" s="543">
        <v>1</v>
      </c>
      <c r="G66" s="543" t="s">
        <v>934</v>
      </c>
      <c r="H66" s="543" t="s">
        <v>934</v>
      </c>
      <c r="I66" s="31" t="str">
        <f t="shared" si="2"/>
        <v>Cond4</v>
      </c>
    </row>
    <row r="67" spans="1:9" ht="14" x14ac:dyDescent="0.3">
      <c r="A67" s="88" t="str">
        <f>'G-1 All Habitats'!B66</f>
        <v>Urban - Ground based green wall</v>
      </c>
      <c r="B67" s="543">
        <v>3</v>
      </c>
      <c r="C67" s="543">
        <v>2.5</v>
      </c>
      <c r="D67" s="543">
        <v>2</v>
      </c>
      <c r="E67" s="543">
        <v>1.5</v>
      </c>
      <c r="F67" s="543">
        <v>1</v>
      </c>
      <c r="G67" s="543" t="s">
        <v>934</v>
      </c>
      <c r="H67" s="543" t="s">
        <v>934</v>
      </c>
      <c r="I67" s="31" t="str">
        <f t="shared" si="2"/>
        <v>Cond4</v>
      </c>
    </row>
    <row r="68" spans="1:9" ht="14" x14ac:dyDescent="0.3">
      <c r="A68" s="88" t="str">
        <f>'G-1 All Habitats'!B67</f>
        <v>Urban - Ground level planters</v>
      </c>
      <c r="B68" s="543" t="s">
        <v>934</v>
      </c>
      <c r="C68" s="543" t="s">
        <v>934</v>
      </c>
      <c r="D68" s="543" t="s">
        <v>934</v>
      </c>
      <c r="E68" s="543" t="s">
        <v>934</v>
      </c>
      <c r="F68" s="543" t="s">
        <v>934</v>
      </c>
      <c r="G68" s="543">
        <v>1</v>
      </c>
      <c r="H68" s="543" t="s">
        <v>934</v>
      </c>
      <c r="I68" s="31" t="str">
        <f t="shared" si="2"/>
        <v>Cond1</v>
      </c>
    </row>
    <row r="69" spans="1:9" ht="14" x14ac:dyDescent="0.3">
      <c r="A69" s="88" t="str">
        <f>'G-1 All Habitats'!B68</f>
        <v>Urban - Biodiverse green roof</v>
      </c>
      <c r="B69" s="543">
        <v>3</v>
      </c>
      <c r="C69" s="543">
        <v>2.5</v>
      </c>
      <c r="D69" s="543">
        <v>2</v>
      </c>
      <c r="E69" s="543">
        <v>1.5</v>
      </c>
      <c r="F69" s="543">
        <v>1</v>
      </c>
      <c r="G69" s="543" t="s">
        <v>934</v>
      </c>
      <c r="H69" s="543" t="s">
        <v>934</v>
      </c>
      <c r="I69" s="31" t="str">
        <f t="shared" si="2"/>
        <v>Cond4</v>
      </c>
    </row>
    <row r="70" spans="1:9" ht="14" x14ac:dyDescent="0.3">
      <c r="A70" s="88" t="str">
        <f>'G-1 All Habitats'!B69</f>
        <v>Urban - Introduced shrub</v>
      </c>
      <c r="B70" s="543" t="s">
        <v>934</v>
      </c>
      <c r="C70" s="543" t="s">
        <v>934</v>
      </c>
      <c r="D70" s="543" t="s">
        <v>934</v>
      </c>
      <c r="E70" s="543" t="s">
        <v>934</v>
      </c>
      <c r="F70" s="543" t="s">
        <v>934</v>
      </c>
      <c r="G70" s="543">
        <v>1</v>
      </c>
      <c r="H70" s="543" t="s">
        <v>934</v>
      </c>
      <c r="I70" s="31" t="str">
        <f t="shared" si="2"/>
        <v>Cond1</v>
      </c>
    </row>
    <row r="71" spans="1:9" ht="14" x14ac:dyDescent="0.3">
      <c r="A71" s="88" t="str">
        <f>'G-1 All Habitats'!B70</f>
        <v>Urban - Open Mosaic Habitats on Previously Developed Land</v>
      </c>
      <c r="B71" s="543">
        <v>3</v>
      </c>
      <c r="C71" s="543">
        <v>2.5</v>
      </c>
      <c r="D71" s="543">
        <v>2</v>
      </c>
      <c r="E71" s="543">
        <v>1.5</v>
      </c>
      <c r="F71" s="543">
        <v>1</v>
      </c>
      <c r="G71" s="543" t="s">
        <v>934</v>
      </c>
      <c r="H71" s="543" t="s">
        <v>934</v>
      </c>
      <c r="I71" s="31" t="str">
        <f t="shared" si="2"/>
        <v>Cond4</v>
      </c>
    </row>
    <row r="72" spans="1:9" ht="14" x14ac:dyDescent="0.3">
      <c r="A72" s="88" t="str">
        <f>'G-1 All Habitats'!B71</f>
        <v>Urban - Rain garden</v>
      </c>
      <c r="B72" s="543">
        <v>3</v>
      </c>
      <c r="C72" s="543">
        <v>2.5</v>
      </c>
      <c r="D72" s="543">
        <v>2</v>
      </c>
      <c r="E72" s="543">
        <v>1.5</v>
      </c>
      <c r="F72" s="543">
        <v>1</v>
      </c>
      <c r="G72" s="543" t="s">
        <v>934</v>
      </c>
      <c r="H72" s="543" t="s">
        <v>934</v>
      </c>
      <c r="I72" s="31" t="str">
        <f t="shared" si="2"/>
        <v>Cond4</v>
      </c>
    </row>
    <row r="73" spans="1:9" ht="14" x14ac:dyDescent="0.3">
      <c r="A73" s="88" t="str">
        <f>'G-1 All Habitats'!B72</f>
        <v>Urban - Actively worked sand pit quarry or open cast mine</v>
      </c>
      <c r="B73" s="543" t="s">
        <v>934</v>
      </c>
      <c r="C73" s="543" t="s">
        <v>934</v>
      </c>
      <c r="D73" s="543" t="s">
        <v>934</v>
      </c>
      <c r="E73" s="543" t="s">
        <v>934</v>
      </c>
      <c r="F73" s="543" t="s">
        <v>934</v>
      </c>
      <c r="G73" s="543">
        <v>1</v>
      </c>
      <c r="H73" s="543" t="s">
        <v>934</v>
      </c>
      <c r="I73" s="31" t="str">
        <f t="shared" ref="I73:I86" si="3">IF(G73=1,"Cond1",IF(H73=0,"Cond2",IF(AND(B73=3,C73=2.5,D73=2,E73=1.5,F73=1),"Cond4",IF(F73=1,"Cond3","Check"))))</f>
        <v>Cond1</v>
      </c>
    </row>
    <row r="74" spans="1:9" ht="14" x14ac:dyDescent="0.3">
      <c r="A74" s="88" t="str">
        <f>'G-1 All Habitats'!B73</f>
        <v>Urban - Urban Tree</v>
      </c>
      <c r="B74" s="543">
        <v>3</v>
      </c>
      <c r="C74" s="543">
        <v>2.5</v>
      </c>
      <c r="D74" s="543">
        <v>2</v>
      </c>
      <c r="E74" s="543">
        <v>1.5</v>
      </c>
      <c r="F74" s="543">
        <v>1</v>
      </c>
      <c r="G74" s="543" t="s">
        <v>934</v>
      </c>
      <c r="H74" s="543" t="s">
        <v>934</v>
      </c>
      <c r="I74" s="31" t="str">
        <f t="shared" si="3"/>
        <v>Cond4</v>
      </c>
    </row>
    <row r="75" spans="1:9" ht="14" x14ac:dyDescent="0.3">
      <c r="A75" s="88" t="str">
        <f>'G-1 All Habitats'!B74</f>
        <v>Urban - Sustainable urban drainage feature</v>
      </c>
      <c r="B75" s="543">
        <v>3</v>
      </c>
      <c r="C75" s="543">
        <v>2.5</v>
      </c>
      <c r="D75" s="543">
        <v>2</v>
      </c>
      <c r="E75" s="543">
        <v>1.5</v>
      </c>
      <c r="F75" s="543">
        <v>1</v>
      </c>
      <c r="G75" s="543" t="s">
        <v>934</v>
      </c>
      <c r="H75" s="543" t="s">
        <v>934</v>
      </c>
      <c r="I75" s="31" t="str">
        <f t="shared" si="3"/>
        <v>Cond4</v>
      </c>
    </row>
    <row r="76" spans="1:9" ht="14" x14ac:dyDescent="0.3">
      <c r="A76" s="88" t="str">
        <f>'G-1 All Habitats'!B75</f>
        <v>Urban - Un-vegetated garden</v>
      </c>
      <c r="B76" s="543" t="s">
        <v>934</v>
      </c>
      <c r="C76" s="543" t="s">
        <v>934</v>
      </c>
      <c r="D76" s="543" t="s">
        <v>934</v>
      </c>
      <c r="E76" s="543" t="s">
        <v>934</v>
      </c>
      <c r="F76" s="543" t="s">
        <v>934</v>
      </c>
      <c r="G76" s="543" t="s">
        <v>934</v>
      </c>
      <c r="H76" s="592">
        <v>0</v>
      </c>
      <c r="I76" s="31" t="str">
        <f t="shared" si="3"/>
        <v>Cond2</v>
      </c>
    </row>
    <row r="77" spans="1:9" ht="14" x14ac:dyDescent="0.3">
      <c r="A77" s="88" t="str">
        <f>'G-1 All Habitats'!B76</f>
        <v>Urban - Vacant/derelict land/ bareground</v>
      </c>
      <c r="B77" s="543">
        <v>3</v>
      </c>
      <c r="C77" s="543">
        <v>2.5</v>
      </c>
      <c r="D77" s="543">
        <v>2</v>
      </c>
      <c r="E77" s="543">
        <v>1.5</v>
      </c>
      <c r="F77" s="543">
        <v>1</v>
      </c>
      <c r="G77" s="543" t="s">
        <v>934</v>
      </c>
      <c r="H77" s="543" t="s">
        <v>934</v>
      </c>
      <c r="I77" s="31" t="str">
        <f t="shared" si="3"/>
        <v>Cond4</v>
      </c>
    </row>
    <row r="78" spans="1:9" ht="14" x14ac:dyDescent="0.3">
      <c r="A78" s="88" t="str">
        <f>'G-1 All Habitats'!B77</f>
        <v>Urban - Vegetated garden</v>
      </c>
      <c r="B78" s="543" t="s">
        <v>934</v>
      </c>
      <c r="C78" s="543" t="s">
        <v>934</v>
      </c>
      <c r="D78" s="543" t="s">
        <v>934</v>
      </c>
      <c r="E78" s="543" t="s">
        <v>934</v>
      </c>
      <c r="F78" s="543" t="s">
        <v>934</v>
      </c>
      <c r="G78" s="543">
        <v>1</v>
      </c>
      <c r="H78" s="543" t="s">
        <v>934</v>
      </c>
      <c r="I78" s="31" t="str">
        <f t="shared" si="3"/>
        <v>Cond1</v>
      </c>
    </row>
    <row r="79" spans="1:9" ht="14" x14ac:dyDescent="0.3">
      <c r="A79" s="88" t="str">
        <f>'G-1 All Habitats'!B78</f>
        <v>Wetland - Blanket bog</v>
      </c>
      <c r="B79" s="543">
        <v>3</v>
      </c>
      <c r="C79" s="543">
        <v>2.5</v>
      </c>
      <c r="D79" s="543">
        <v>2</v>
      </c>
      <c r="E79" s="543">
        <v>1.5</v>
      </c>
      <c r="F79" s="543">
        <v>1</v>
      </c>
      <c r="G79" s="543" t="s">
        <v>934</v>
      </c>
      <c r="H79" s="543" t="s">
        <v>934</v>
      </c>
      <c r="I79" s="31" t="str">
        <f t="shared" si="3"/>
        <v>Cond4</v>
      </c>
    </row>
    <row r="80" spans="1:9" ht="14" x14ac:dyDescent="0.3">
      <c r="A80" s="88" t="str">
        <f>'G-1 All Habitats'!B79</f>
        <v>Wetland - Depressions on Peat substrates (H7150)</v>
      </c>
      <c r="B80" s="543">
        <v>3</v>
      </c>
      <c r="C80" s="543">
        <v>2.5</v>
      </c>
      <c r="D80" s="543">
        <v>2</v>
      </c>
      <c r="E80" s="543">
        <v>1.5</v>
      </c>
      <c r="F80" s="543">
        <v>1</v>
      </c>
      <c r="G80" s="543" t="s">
        <v>934</v>
      </c>
      <c r="H80" s="543" t="s">
        <v>934</v>
      </c>
      <c r="I80" s="31" t="str">
        <f t="shared" si="3"/>
        <v>Cond4</v>
      </c>
    </row>
    <row r="81" spans="1:9" ht="14" x14ac:dyDescent="0.3">
      <c r="A81" s="88" t="str">
        <f>'G-1 All Habitats'!B80</f>
        <v>Wetland - Fens (upland and lowland)</v>
      </c>
      <c r="B81" s="543">
        <v>3</v>
      </c>
      <c r="C81" s="543">
        <v>2.5</v>
      </c>
      <c r="D81" s="543">
        <v>2</v>
      </c>
      <c r="E81" s="543">
        <v>1.5</v>
      </c>
      <c r="F81" s="543">
        <v>1</v>
      </c>
      <c r="G81" s="543" t="s">
        <v>934</v>
      </c>
      <c r="H81" s="543" t="s">
        <v>934</v>
      </c>
      <c r="I81" s="31" t="str">
        <f t="shared" si="3"/>
        <v>Cond4</v>
      </c>
    </row>
    <row r="82" spans="1:9" ht="14" x14ac:dyDescent="0.3">
      <c r="A82" s="88" t="str">
        <f>'G-1 All Habitats'!B81</f>
        <v>Wetland - Lowland raised bog</v>
      </c>
      <c r="B82" s="543">
        <v>3</v>
      </c>
      <c r="C82" s="543">
        <v>2.5</v>
      </c>
      <c r="D82" s="543">
        <v>2</v>
      </c>
      <c r="E82" s="543">
        <v>1.5</v>
      </c>
      <c r="F82" s="543">
        <v>1</v>
      </c>
      <c r="G82" s="543" t="s">
        <v>934</v>
      </c>
      <c r="H82" s="543" t="s">
        <v>934</v>
      </c>
      <c r="I82" s="31" t="str">
        <f t="shared" si="3"/>
        <v>Cond4</v>
      </c>
    </row>
    <row r="83" spans="1:9" ht="14" x14ac:dyDescent="0.3">
      <c r="A83" s="88" t="str">
        <f>'G-1 All Habitats'!B82</f>
        <v>Wetland - Oceanic Valley Mire[1] (D2.1)</v>
      </c>
      <c r="B83" s="543">
        <v>3</v>
      </c>
      <c r="C83" s="543">
        <v>2.5</v>
      </c>
      <c r="D83" s="543">
        <v>2</v>
      </c>
      <c r="E83" s="543">
        <v>1.5</v>
      </c>
      <c r="F83" s="543">
        <v>1</v>
      </c>
      <c r="G83" s="543" t="s">
        <v>934</v>
      </c>
      <c r="H83" s="543" t="s">
        <v>934</v>
      </c>
      <c r="I83" s="31" t="str">
        <f t="shared" si="3"/>
        <v>Cond4</v>
      </c>
    </row>
    <row r="84" spans="1:9" ht="14" x14ac:dyDescent="0.3">
      <c r="A84" s="88" t="str">
        <f>'G-1 All Habitats'!B83</f>
        <v>Wetland - Purple moor grass and rush pastures</v>
      </c>
      <c r="B84" s="543">
        <v>3</v>
      </c>
      <c r="C84" s="543">
        <v>2.5</v>
      </c>
      <c r="D84" s="543">
        <v>2</v>
      </c>
      <c r="E84" s="543">
        <v>1.5</v>
      </c>
      <c r="F84" s="543">
        <v>1</v>
      </c>
      <c r="G84" s="543" t="s">
        <v>934</v>
      </c>
      <c r="H84" s="543" t="s">
        <v>934</v>
      </c>
      <c r="I84" s="31" t="str">
        <f t="shared" si="3"/>
        <v>Cond4</v>
      </c>
    </row>
    <row r="85" spans="1:9" ht="14" x14ac:dyDescent="0.3">
      <c r="A85" s="88" t="str">
        <f>'G-1 All Habitats'!B84</f>
        <v>Wetland - Reedbeds</v>
      </c>
      <c r="B85" s="543">
        <v>3</v>
      </c>
      <c r="C85" s="543">
        <v>2.5</v>
      </c>
      <c r="D85" s="543">
        <v>2</v>
      </c>
      <c r="E85" s="543">
        <v>1.5</v>
      </c>
      <c r="F85" s="543">
        <v>1</v>
      </c>
      <c r="G85" s="543" t="s">
        <v>934</v>
      </c>
      <c r="H85" s="543" t="s">
        <v>934</v>
      </c>
      <c r="I85" s="31" t="str">
        <f t="shared" si="3"/>
        <v>Cond4</v>
      </c>
    </row>
    <row r="86" spans="1:9" ht="14" x14ac:dyDescent="0.3">
      <c r="A86" s="88" t="str">
        <f>'G-1 All Habitats'!B85</f>
        <v>Wetland - Transition mires and quaking bogs (H7140)</v>
      </c>
      <c r="B86" s="543">
        <v>3</v>
      </c>
      <c r="C86" s="543">
        <v>2.5</v>
      </c>
      <c r="D86" s="543">
        <v>2</v>
      </c>
      <c r="E86" s="543">
        <v>1.5</v>
      </c>
      <c r="F86" s="543">
        <v>1</v>
      </c>
      <c r="G86" s="543" t="s">
        <v>934</v>
      </c>
      <c r="H86" s="543" t="s">
        <v>934</v>
      </c>
      <c r="I86" s="31" t="str">
        <f t="shared" si="3"/>
        <v>Cond4</v>
      </c>
    </row>
    <row r="87" spans="1:9" ht="14" x14ac:dyDescent="0.3">
      <c r="A87" s="88" t="str">
        <f>'G-1 All Habitats'!B86</f>
        <v>Woodland and forest - Felled</v>
      </c>
      <c r="B87" s="543">
        <v>3</v>
      </c>
      <c r="C87" s="543" t="s">
        <v>934</v>
      </c>
      <c r="D87" s="543" t="s">
        <v>934</v>
      </c>
      <c r="E87" s="543" t="s">
        <v>934</v>
      </c>
      <c r="F87" s="543" t="s">
        <v>934</v>
      </c>
      <c r="G87" s="543" t="s">
        <v>934</v>
      </c>
      <c r="H87" s="543" t="s">
        <v>934</v>
      </c>
      <c r="I87" s="31" t="s">
        <v>1044</v>
      </c>
    </row>
    <row r="88" spans="1:9" ht="14" x14ac:dyDescent="0.3">
      <c r="A88" s="88" t="str">
        <f>'G-1 All Habitats'!B87</f>
        <v>Woodland and forest - Lowland beech and yew woodland</v>
      </c>
      <c r="B88" s="543">
        <v>3</v>
      </c>
      <c r="C88" s="543">
        <v>2.5</v>
      </c>
      <c r="D88" s="543">
        <v>2</v>
      </c>
      <c r="E88" s="543">
        <v>1.5</v>
      </c>
      <c r="F88" s="543">
        <v>1</v>
      </c>
      <c r="G88" s="543" t="s">
        <v>934</v>
      </c>
      <c r="H88" s="543" t="s">
        <v>934</v>
      </c>
      <c r="I88" s="31" t="str">
        <f t="shared" ref="I88:I130" si="4">IF(G88=1,"Cond1",IF(H88=0,"Cond2",IF(AND(B88=3,C88=2.5,D88=2,E88=1.5,F88=1),"Cond4",IF(F88=1,"Cond3","Check"))))</f>
        <v>Cond4</v>
      </c>
    </row>
    <row r="89" spans="1:9" ht="14" x14ac:dyDescent="0.3">
      <c r="A89" s="88" t="str">
        <f>'G-1 All Habitats'!B88</f>
        <v>Woodland and forest - Lowland mixed deciduous woodland</v>
      </c>
      <c r="B89" s="543">
        <v>3</v>
      </c>
      <c r="C89" s="543">
        <v>2.5</v>
      </c>
      <c r="D89" s="543">
        <v>2</v>
      </c>
      <c r="E89" s="543">
        <v>1.5</v>
      </c>
      <c r="F89" s="543">
        <v>1</v>
      </c>
      <c r="G89" s="543" t="s">
        <v>934</v>
      </c>
      <c r="H89" s="543" t="s">
        <v>934</v>
      </c>
      <c r="I89" s="31" t="str">
        <f t="shared" si="4"/>
        <v>Cond4</v>
      </c>
    </row>
    <row r="90" spans="1:9" ht="14" x14ac:dyDescent="0.3">
      <c r="A90" s="88" t="str">
        <f>'G-1 All Habitats'!B89</f>
        <v>Woodland and forest - Native pine woodlands</v>
      </c>
      <c r="B90" s="543">
        <v>3</v>
      </c>
      <c r="C90" s="543">
        <v>2.5</v>
      </c>
      <c r="D90" s="543">
        <v>2</v>
      </c>
      <c r="E90" s="543">
        <v>1.5</v>
      </c>
      <c r="F90" s="543">
        <v>1</v>
      </c>
      <c r="G90" s="543" t="s">
        <v>934</v>
      </c>
      <c r="H90" s="543" t="s">
        <v>934</v>
      </c>
      <c r="I90" s="31" t="str">
        <f t="shared" si="4"/>
        <v>Cond4</v>
      </c>
    </row>
    <row r="91" spans="1:9" ht="14" x14ac:dyDescent="0.3">
      <c r="A91" s="88" t="str">
        <f>'G-1 All Habitats'!B90</f>
        <v>Woodland and forest - Other coniferous woodland</v>
      </c>
      <c r="B91" s="543">
        <v>3</v>
      </c>
      <c r="C91" s="543">
        <v>2.5</v>
      </c>
      <c r="D91" s="543">
        <v>2</v>
      </c>
      <c r="E91" s="543">
        <v>1.5</v>
      </c>
      <c r="F91" s="543">
        <v>1</v>
      </c>
      <c r="G91" s="543" t="s">
        <v>934</v>
      </c>
      <c r="H91" s="543" t="s">
        <v>934</v>
      </c>
      <c r="I91" s="31" t="str">
        <f t="shared" si="4"/>
        <v>Cond4</v>
      </c>
    </row>
    <row r="92" spans="1:9" ht="14" x14ac:dyDescent="0.3">
      <c r="A92" s="88" t="str">
        <f>'G-1 All Habitats'!B91</f>
        <v>Woodland and forest - Other Scot's Pine woodland</v>
      </c>
      <c r="B92" s="543">
        <v>3</v>
      </c>
      <c r="C92" s="543">
        <v>2.5</v>
      </c>
      <c r="D92" s="543">
        <v>2</v>
      </c>
      <c r="E92" s="543">
        <v>1.5</v>
      </c>
      <c r="F92" s="543">
        <v>1</v>
      </c>
      <c r="G92" s="543" t="s">
        <v>934</v>
      </c>
      <c r="H92" s="543" t="s">
        <v>934</v>
      </c>
      <c r="I92" s="31" t="str">
        <f t="shared" si="4"/>
        <v>Cond4</v>
      </c>
    </row>
    <row r="93" spans="1:9" ht="14" x14ac:dyDescent="0.3">
      <c r="A93" s="88" t="str">
        <f>'G-1 All Habitats'!B92</f>
        <v>Woodland and forest - Other woodland; broadleaved</v>
      </c>
      <c r="B93" s="543">
        <v>3</v>
      </c>
      <c r="C93" s="543">
        <v>2.5</v>
      </c>
      <c r="D93" s="543">
        <v>2</v>
      </c>
      <c r="E93" s="543">
        <v>1.5</v>
      </c>
      <c r="F93" s="543">
        <v>1</v>
      </c>
      <c r="G93" s="543" t="s">
        <v>934</v>
      </c>
      <c r="H93" s="543" t="s">
        <v>934</v>
      </c>
      <c r="I93" s="31" t="str">
        <f t="shared" si="4"/>
        <v>Cond4</v>
      </c>
    </row>
    <row r="94" spans="1:9" ht="14" x14ac:dyDescent="0.3">
      <c r="A94" s="88" t="str">
        <f>'G-1 All Habitats'!B93</f>
        <v>Woodland and forest - Other woodland; mixed</v>
      </c>
      <c r="B94" s="543">
        <v>3</v>
      </c>
      <c r="C94" s="543">
        <v>2.5</v>
      </c>
      <c r="D94" s="543">
        <v>2</v>
      </c>
      <c r="E94" s="543">
        <v>1.5</v>
      </c>
      <c r="F94" s="543">
        <v>1</v>
      </c>
      <c r="G94" s="543" t="s">
        <v>934</v>
      </c>
      <c r="H94" s="543" t="s">
        <v>934</v>
      </c>
      <c r="I94" s="31" t="str">
        <f t="shared" si="4"/>
        <v>Cond4</v>
      </c>
    </row>
    <row r="95" spans="1:9" ht="14" x14ac:dyDescent="0.3">
      <c r="A95" s="88" t="str">
        <f>'G-1 All Habitats'!B94</f>
        <v>Woodland and forest - Upland birchwoods</v>
      </c>
      <c r="B95" s="543">
        <v>3</v>
      </c>
      <c r="C95" s="543">
        <v>2.5</v>
      </c>
      <c r="D95" s="543">
        <v>2</v>
      </c>
      <c r="E95" s="543">
        <v>1.5</v>
      </c>
      <c r="F95" s="543">
        <v>1</v>
      </c>
      <c r="G95" s="543" t="s">
        <v>934</v>
      </c>
      <c r="H95" s="543" t="s">
        <v>934</v>
      </c>
      <c r="I95" s="31" t="str">
        <f t="shared" si="4"/>
        <v>Cond4</v>
      </c>
    </row>
    <row r="96" spans="1:9" ht="14" x14ac:dyDescent="0.3">
      <c r="A96" s="88" t="str">
        <f>'G-1 All Habitats'!B95</f>
        <v>Woodland and forest - Upland mixed ashwoods</v>
      </c>
      <c r="B96" s="543">
        <v>3</v>
      </c>
      <c r="C96" s="543">
        <v>2.5</v>
      </c>
      <c r="D96" s="543">
        <v>2</v>
      </c>
      <c r="E96" s="543">
        <v>1.5</v>
      </c>
      <c r="F96" s="543">
        <v>1</v>
      </c>
      <c r="G96" s="543" t="s">
        <v>934</v>
      </c>
      <c r="H96" s="543" t="s">
        <v>934</v>
      </c>
      <c r="I96" s="31" t="str">
        <f t="shared" si="4"/>
        <v>Cond4</v>
      </c>
    </row>
    <row r="97" spans="1:9" ht="14" x14ac:dyDescent="0.3">
      <c r="A97" s="88" t="str">
        <f>'G-1 All Habitats'!B96</f>
        <v>Woodland and forest - Upland oakwood</v>
      </c>
      <c r="B97" s="543">
        <v>3</v>
      </c>
      <c r="C97" s="543">
        <v>2.5</v>
      </c>
      <c r="D97" s="543">
        <v>2</v>
      </c>
      <c r="E97" s="543">
        <v>1.5</v>
      </c>
      <c r="F97" s="543">
        <v>1</v>
      </c>
      <c r="G97" s="543" t="s">
        <v>934</v>
      </c>
      <c r="H97" s="543" t="s">
        <v>934</v>
      </c>
      <c r="I97" s="31" t="str">
        <f t="shared" si="4"/>
        <v>Cond4</v>
      </c>
    </row>
    <row r="98" spans="1:9" ht="14" x14ac:dyDescent="0.3">
      <c r="A98" s="88" t="str">
        <f>'G-1 All Habitats'!B97</f>
        <v>Woodland and forest - Wet woodland</v>
      </c>
      <c r="B98" s="543">
        <v>3</v>
      </c>
      <c r="C98" s="543">
        <v>2.5</v>
      </c>
      <c r="D98" s="543">
        <v>2</v>
      </c>
      <c r="E98" s="543">
        <v>1.5</v>
      </c>
      <c r="F98" s="543">
        <v>1</v>
      </c>
      <c r="G98" s="543" t="s">
        <v>934</v>
      </c>
      <c r="H98" s="543" t="s">
        <v>934</v>
      </c>
      <c r="I98" s="31" t="str">
        <f t="shared" si="4"/>
        <v>Cond4</v>
      </c>
    </row>
    <row r="99" spans="1:9" ht="14" x14ac:dyDescent="0.3">
      <c r="A99" s="88" t="str">
        <f>'G-1 All Habitats'!B98</f>
        <v>Woodland and forest - Wood-pasture and parkland</v>
      </c>
      <c r="B99" s="543">
        <v>3</v>
      </c>
      <c r="C99" s="543">
        <v>2.5</v>
      </c>
      <c r="D99" s="543">
        <v>2</v>
      </c>
      <c r="E99" s="543">
        <v>1.5</v>
      </c>
      <c r="F99" s="543">
        <v>1</v>
      </c>
      <c r="G99" s="543" t="s">
        <v>934</v>
      </c>
      <c r="H99" s="543" t="s">
        <v>934</v>
      </c>
      <c r="I99" s="31" t="str">
        <f t="shared" si="4"/>
        <v>Cond4</v>
      </c>
    </row>
    <row r="100" spans="1:9" ht="14" x14ac:dyDescent="0.3">
      <c r="A100" s="88" t="str">
        <f>'G-1 All Habitats'!B99</f>
        <v>Coastal lagoons - Coastal lagoons</v>
      </c>
      <c r="B100" s="543">
        <v>3</v>
      </c>
      <c r="C100" s="543">
        <v>2.5</v>
      </c>
      <c r="D100" s="543">
        <v>2</v>
      </c>
      <c r="E100" s="543">
        <v>1.5</v>
      </c>
      <c r="F100" s="543">
        <v>1</v>
      </c>
      <c r="G100" s="543" t="s">
        <v>934</v>
      </c>
      <c r="H100" s="543" t="s">
        <v>934</v>
      </c>
      <c r="I100" s="31" t="str">
        <f t="shared" si="4"/>
        <v>Cond4</v>
      </c>
    </row>
    <row r="101" spans="1:9" ht="14" x14ac:dyDescent="0.3">
      <c r="A101" s="88" t="str">
        <f>'G-1 All Habitats'!B100</f>
        <v>Rocky shore - High energy littoral rock</v>
      </c>
      <c r="B101" s="543">
        <v>3</v>
      </c>
      <c r="C101" s="543">
        <v>2.5</v>
      </c>
      <c r="D101" s="543">
        <v>2</v>
      </c>
      <c r="E101" s="543">
        <v>1.5</v>
      </c>
      <c r="F101" s="543">
        <v>1</v>
      </c>
      <c r="G101" s="543" t="s">
        <v>934</v>
      </c>
      <c r="H101" s="543" t="s">
        <v>934</v>
      </c>
      <c r="I101" s="31" t="str">
        <f t="shared" si="4"/>
        <v>Cond4</v>
      </c>
    </row>
    <row r="102" spans="1:9" ht="14" x14ac:dyDescent="0.3">
      <c r="A102" s="88" t="str">
        <f>'G-1 All Habitats'!B101</f>
        <v>Rocky shore - High energy littoral rock - on peat, clay or chalk</v>
      </c>
      <c r="B102" s="543">
        <v>3</v>
      </c>
      <c r="C102" s="543">
        <v>2.5</v>
      </c>
      <c r="D102" s="543">
        <v>2</v>
      </c>
      <c r="E102" s="543">
        <v>1.5</v>
      </c>
      <c r="F102" s="543">
        <v>1</v>
      </c>
      <c r="G102" s="543" t="s">
        <v>934</v>
      </c>
      <c r="H102" s="543" t="s">
        <v>934</v>
      </c>
      <c r="I102" s="31" t="str">
        <f t="shared" si="4"/>
        <v>Cond4</v>
      </c>
    </row>
    <row r="103" spans="1:9" ht="14" x14ac:dyDescent="0.3">
      <c r="A103" s="88" t="str">
        <f>'G-1 All Habitats'!B102</f>
        <v>Rocky shore - Moderate energy littoral rock</v>
      </c>
      <c r="B103" s="543">
        <v>3</v>
      </c>
      <c r="C103" s="543">
        <v>2.5</v>
      </c>
      <c r="D103" s="543">
        <v>2</v>
      </c>
      <c r="E103" s="543">
        <v>1.5</v>
      </c>
      <c r="F103" s="543">
        <v>1</v>
      </c>
      <c r="G103" s="543" t="s">
        <v>934</v>
      </c>
      <c r="H103" s="543" t="s">
        <v>934</v>
      </c>
      <c r="I103" s="31" t="str">
        <f t="shared" si="4"/>
        <v>Cond4</v>
      </c>
    </row>
    <row r="104" spans="1:9" ht="14" x14ac:dyDescent="0.3">
      <c r="A104" s="88" t="str">
        <f>'G-1 All Habitats'!B103</f>
        <v>Rocky shore - Moderate energy littoral rock - on peat, clay or chalk</v>
      </c>
      <c r="B104" s="543">
        <v>3</v>
      </c>
      <c r="C104" s="543">
        <v>2.5</v>
      </c>
      <c r="D104" s="543">
        <v>2</v>
      </c>
      <c r="E104" s="543">
        <v>1.5</v>
      </c>
      <c r="F104" s="543">
        <v>1</v>
      </c>
      <c r="G104" s="543" t="s">
        <v>934</v>
      </c>
      <c r="H104" s="543" t="s">
        <v>934</v>
      </c>
      <c r="I104" s="31" t="str">
        <f t="shared" si="4"/>
        <v>Cond4</v>
      </c>
    </row>
    <row r="105" spans="1:9" ht="14" x14ac:dyDescent="0.3">
      <c r="A105" s="88" t="str">
        <f>'G-1 All Habitats'!B104</f>
        <v>Rocky shore - Low energy littoral rock</v>
      </c>
      <c r="B105" s="543">
        <v>3</v>
      </c>
      <c r="C105" s="543">
        <v>2.5</v>
      </c>
      <c r="D105" s="543">
        <v>2</v>
      </c>
      <c r="E105" s="543">
        <v>1.5</v>
      </c>
      <c r="F105" s="543">
        <v>1</v>
      </c>
      <c r="G105" s="543" t="s">
        <v>934</v>
      </c>
      <c r="H105" s="543" t="s">
        <v>934</v>
      </c>
      <c r="I105" s="31" t="str">
        <f t="shared" si="4"/>
        <v>Cond4</v>
      </c>
    </row>
    <row r="106" spans="1:9" ht="14" x14ac:dyDescent="0.3">
      <c r="A106" s="88" t="str">
        <f>'G-1 All Habitats'!B105</f>
        <v>Rocky shore - Low energy littoral rock - on peat, clay or chalk</v>
      </c>
      <c r="B106" s="543">
        <v>3</v>
      </c>
      <c r="C106" s="543">
        <v>2.5</v>
      </c>
      <c r="D106" s="543">
        <v>2</v>
      </c>
      <c r="E106" s="543">
        <v>1.5</v>
      </c>
      <c r="F106" s="543">
        <v>1</v>
      </c>
      <c r="G106" s="543" t="s">
        <v>934</v>
      </c>
      <c r="H106" s="543" t="s">
        <v>934</v>
      </c>
      <c r="I106" s="31" t="str">
        <f t="shared" si="4"/>
        <v>Cond4</v>
      </c>
    </row>
    <row r="107" spans="1:9" ht="14" x14ac:dyDescent="0.3">
      <c r="A107" s="88" t="str">
        <f>'G-1 All Habitats'!B106</f>
        <v>Rocky shore - Features of littoral rock</v>
      </c>
      <c r="B107" s="543">
        <v>3</v>
      </c>
      <c r="C107" s="543">
        <v>2.5</v>
      </c>
      <c r="D107" s="543">
        <v>2</v>
      </c>
      <c r="E107" s="543">
        <v>1.5</v>
      </c>
      <c r="F107" s="543">
        <v>1</v>
      </c>
      <c r="G107" s="543" t="s">
        <v>934</v>
      </c>
      <c r="H107" s="543" t="s">
        <v>934</v>
      </c>
      <c r="I107" s="31" t="str">
        <f t="shared" si="4"/>
        <v>Cond4</v>
      </c>
    </row>
    <row r="108" spans="1:9" ht="14" x14ac:dyDescent="0.3">
      <c r="A108" s="88" t="str">
        <f>'G-1 All Habitats'!B107</f>
        <v>Rocky shore - Features of littoral rock - on peat, clay or chalk</v>
      </c>
      <c r="B108" s="543">
        <v>3</v>
      </c>
      <c r="C108" s="543">
        <v>2.5</v>
      </c>
      <c r="D108" s="543">
        <v>2</v>
      </c>
      <c r="E108" s="543">
        <v>1.5</v>
      </c>
      <c r="F108" s="543">
        <v>1</v>
      </c>
      <c r="G108" s="543" t="s">
        <v>934</v>
      </c>
      <c r="H108" s="543" t="s">
        <v>934</v>
      </c>
      <c r="I108" s="31" t="str">
        <f t="shared" si="4"/>
        <v>Cond4</v>
      </c>
    </row>
    <row r="109" spans="1:9" ht="14" x14ac:dyDescent="0.3">
      <c r="A109" s="88" t="str">
        <f>'G-1 All Habitats'!B110</f>
        <v>Intertidal sediment - Littoral coarse sediment</v>
      </c>
      <c r="B109" s="543">
        <v>3</v>
      </c>
      <c r="C109" s="543">
        <v>2.5</v>
      </c>
      <c r="D109" s="543">
        <v>2</v>
      </c>
      <c r="E109" s="543">
        <v>1.5</v>
      </c>
      <c r="F109" s="543">
        <v>1</v>
      </c>
      <c r="G109" s="543" t="s">
        <v>934</v>
      </c>
      <c r="H109" s="543" t="s">
        <v>934</v>
      </c>
      <c r="I109" s="31" t="str">
        <f t="shared" si="4"/>
        <v>Cond4</v>
      </c>
    </row>
    <row r="110" spans="1:9" ht="14" x14ac:dyDescent="0.3">
      <c r="A110" s="88" t="str">
        <f>'G-1 All Habitats'!B111</f>
        <v>Intertidal sediment - Littoral mud</v>
      </c>
      <c r="B110" s="543">
        <v>3</v>
      </c>
      <c r="C110" s="543">
        <v>2.5</v>
      </c>
      <c r="D110" s="543">
        <v>2</v>
      </c>
      <c r="E110" s="543">
        <v>1.5</v>
      </c>
      <c r="F110" s="543">
        <v>1</v>
      </c>
      <c r="G110" s="543" t="s">
        <v>934</v>
      </c>
      <c r="H110" s="543" t="s">
        <v>934</v>
      </c>
      <c r="I110" s="31" t="str">
        <f t="shared" si="4"/>
        <v>Cond4</v>
      </c>
    </row>
    <row r="111" spans="1:9" ht="14" x14ac:dyDescent="0.3">
      <c r="A111" s="88" t="str">
        <f>'G-1 All Habitats'!B112</f>
        <v>Intertidal sediment - Littoral mixed sediments</v>
      </c>
      <c r="B111" s="543">
        <v>3</v>
      </c>
      <c r="C111" s="543">
        <v>2.5</v>
      </c>
      <c r="D111" s="543">
        <v>2</v>
      </c>
      <c r="E111" s="543">
        <v>1.5</v>
      </c>
      <c r="F111" s="543">
        <v>1</v>
      </c>
      <c r="G111" s="543" t="s">
        <v>934</v>
      </c>
      <c r="H111" s="543" t="s">
        <v>934</v>
      </c>
      <c r="I111" s="31" t="str">
        <f t="shared" si="4"/>
        <v>Cond4</v>
      </c>
    </row>
    <row r="112" spans="1:9" ht="14" x14ac:dyDescent="0.3">
      <c r="A112" s="88" t="str">
        <f>'G-1 All Habitats'!B108</f>
        <v>Coastal saltmarsh - Saltmarshes and saline reedbeds</v>
      </c>
      <c r="B112" s="543">
        <v>3</v>
      </c>
      <c r="C112" s="543">
        <v>2.5</v>
      </c>
      <c r="D112" s="543">
        <v>2</v>
      </c>
      <c r="E112" s="543">
        <v>1.5</v>
      </c>
      <c r="F112" s="543">
        <v>1</v>
      </c>
      <c r="G112" s="543" t="s">
        <v>934</v>
      </c>
      <c r="H112" s="543" t="s">
        <v>934</v>
      </c>
      <c r="I112" s="31" t="str">
        <f t="shared" si="4"/>
        <v>Cond4</v>
      </c>
    </row>
    <row r="113" spans="1:9" ht="14" x14ac:dyDescent="0.3">
      <c r="A113" s="88" t="str">
        <f>'G-1 All Habitats'!B109</f>
        <v>Coastal saltmarsh - Artificial saltmarshes and saline reedbeds</v>
      </c>
      <c r="B113" s="543">
        <v>3</v>
      </c>
      <c r="C113" s="543">
        <v>2.5</v>
      </c>
      <c r="D113" s="543">
        <v>2</v>
      </c>
      <c r="E113" s="543">
        <v>1.5</v>
      </c>
      <c r="F113" s="543">
        <v>1</v>
      </c>
      <c r="G113" s="543" t="s">
        <v>934</v>
      </c>
      <c r="H113" s="543" t="s">
        <v>934</v>
      </c>
      <c r="I113" s="31" t="str">
        <f t="shared" si="4"/>
        <v>Cond4</v>
      </c>
    </row>
    <row r="114" spans="1:9" ht="14" x14ac:dyDescent="0.3">
      <c r="A114" s="88" t="str">
        <f>'G-1 All Habitats'!B113</f>
        <v>Intertidal sediment - Littoral seagrass</v>
      </c>
      <c r="B114" s="543">
        <v>3</v>
      </c>
      <c r="C114" s="543">
        <v>2.5</v>
      </c>
      <c r="D114" s="543">
        <v>2</v>
      </c>
      <c r="E114" s="543">
        <v>1.5</v>
      </c>
      <c r="F114" s="543">
        <v>1</v>
      </c>
      <c r="G114" s="543" t="s">
        <v>934</v>
      </c>
      <c r="H114" s="543" t="s">
        <v>934</v>
      </c>
      <c r="I114" s="31" t="str">
        <f t="shared" si="4"/>
        <v>Cond4</v>
      </c>
    </row>
    <row r="115" spans="1:9" ht="14" x14ac:dyDescent="0.3">
      <c r="A115" s="88" t="str">
        <f>'G-1 All Habitats'!B114</f>
        <v>Intertidal sediment - Littoral seagrass on peat, clay or chalk</v>
      </c>
      <c r="B115" s="543">
        <v>3</v>
      </c>
      <c r="C115" s="543">
        <v>2.5</v>
      </c>
      <c r="D115" s="543">
        <v>2</v>
      </c>
      <c r="E115" s="543">
        <v>1.5</v>
      </c>
      <c r="F115" s="543">
        <v>1</v>
      </c>
      <c r="G115" s="543" t="s">
        <v>934</v>
      </c>
      <c r="H115" s="543" t="s">
        <v>934</v>
      </c>
      <c r="I115" s="31" t="str">
        <f t="shared" si="4"/>
        <v>Cond4</v>
      </c>
    </row>
    <row r="116" spans="1:9" ht="14" x14ac:dyDescent="0.3">
      <c r="A116" s="88" t="str">
        <f>'G-1 All Habitats'!B115</f>
        <v>Intertidal sediment - Littoral biogenic reefs - Mussels</v>
      </c>
      <c r="B116" s="543">
        <v>3</v>
      </c>
      <c r="C116" s="543">
        <v>2.5</v>
      </c>
      <c r="D116" s="543">
        <v>2</v>
      </c>
      <c r="E116" s="543">
        <v>1.5</v>
      </c>
      <c r="F116" s="543">
        <v>1</v>
      </c>
      <c r="G116" s="543" t="s">
        <v>934</v>
      </c>
      <c r="H116" s="543" t="s">
        <v>934</v>
      </c>
      <c r="I116" s="31" t="str">
        <f t="shared" si="4"/>
        <v>Cond4</v>
      </c>
    </row>
    <row r="117" spans="1:9" ht="14" x14ac:dyDescent="0.3">
      <c r="A117" s="88" t="str">
        <f>'G-1 All Habitats'!B116</f>
        <v>Intertidal sediment - Littoral biogenic reefs - Sabellaria</v>
      </c>
      <c r="B117" s="543">
        <v>3</v>
      </c>
      <c r="C117" s="543">
        <v>2.5</v>
      </c>
      <c r="D117" s="543">
        <v>2</v>
      </c>
      <c r="E117" s="543">
        <v>1.5</v>
      </c>
      <c r="F117" s="543">
        <v>1</v>
      </c>
      <c r="G117" s="543" t="s">
        <v>934</v>
      </c>
      <c r="H117" s="543" t="s">
        <v>934</v>
      </c>
      <c r="I117" s="31" t="str">
        <f t="shared" si="4"/>
        <v>Cond4</v>
      </c>
    </row>
    <row r="118" spans="1:9" ht="14" x14ac:dyDescent="0.3">
      <c r="A118" s="88" t="str">
        <f>'G-1 All Habitats'!B117</f>
        <v>Intertidal sediment - Features of littoral sediment</v>
      </c>
      <c r="B118" s="543">
        <v>3</v>
      </c>
      <c r="C118" s="543">
        <v>2.5</v>
      </c>
      <c r="D118" s="543">
        <v>2</v>
      </c>
      <c r="E118" s="543">
        <v>1.5</v>
      </c>
      <c r="F118" s="543">
        <v>1</v>
      </c>
      <c r="G118" s="543" t="s">
        <v>934</v>
      </c>
      <c r="H118" s="543" t="s">
        <v>934</v>
      </c>
      <c r="I118" s="31" t="str">
        <f t="shared" si="4"/>
        <v>Cond4</v>
      </c>
    </row>
    <row r="119" spans="1:9" ht="14" x14ac:dyDescent="0.3">
      <c r="A119" s="88" t="str">
        <f>'G-1 All Habitats'!B118</f>
        <v>Intertidal sediment - Artificial littoral coarse sediment</v>
      </c>
      <c r="B119" s="543">
        <v>3</v>
      </c>
      <c r="C119" s="543">
        <v>2.5</v>
      </c>
      <c r="D119" s="543">
        <v>2</v>
      </c>
      <c r="E119" s="543">
        <v>1.5</v>
      </c>
      <c r="F119" s="543">
        <v>1</v>
      </c>
      <c r="G119" s="543" t="s">
        <v>934</v>
      </c>
      <c r="H119" s="543" t="s">
        <v>934</v>
      </c>
      <c r="I119" s="31" t="str">
        <f t="shared" si="4"/>
        <v>Cond4</v>
      </c>
    </row>
    <row r="120" spans="1:9" ht="14" x14ac:dyDescent="0.3">
      <c r="A120" s="88" t="str">
        <f>'G-1 All Habitats'!B119</f>
        <v>Intertidal sediment - Artificial littoral mud</v>
      </c>
      <c r="B120" s="543">
        <v>3</v>
      </c>
      <c r="C120" s="543">
        <v>2.5</v>
      </c>
      <c r="D120" s="543">
        <v>2</v>
      </c>
      <c r="E120" s="543">
        <v>1.5</v>
      </c>
      <c r="F120" s="543">
        <v>1</v>
      </c>
      <c r="G120" s="543" t="s">
        <v>934</v>
      </c>
      <c r="H120" s="543" t="s">
        <v>934</v>
      </c>
      <c r="I120" s="31" t="str">
        <f t="shared" si="4"/>
        <v>Cond4</v>
      </c>
    </row>
    <row r="121" spans="1:9" ht="14" x14ac:dyDescent="0.3">
      <c r="A121" s="88" t="str">
        <f>'G-1 All Habitats'!B120</f>
        <v>Intertidal sediment - Artificial littoral sand</v>
      </c>
      <c r="B121" s="543">
        <v>3</v>
      </c>
      <c r="C121" s="543">
        <v>2.5</v>
      </c>
      <c r="D121" s="543">
        <v>2</v>
      </c>
      <c r="E121" s="543">
        <v>1.5</v>
      </c>
      <c r="F121" s="543">
        <v>1</v>
      </c>
      <c r="G121" s="543" t="s">
        <v>934</v>
      </c>
      <c r="H121" s="543" t="s">
        <v>934</v>
      </c>
      <c r="I121" s="31" t="str">
        <f t="shared" si="4"/>
        <v>Cond4</v>
      </c>
    </row>
    <row r="122" spans="1:9" ht="14" x14ac:dyDescent="0.3">
      <c r="A122" s="88" t="str">
        <f>'G-1 All Habitats'!B121</f>
        <v>Intertidal sediment - Artificial littoral muddy sand</v>
      </c>
      <c r="B122" s="543">
        <v>3</v>
      </c>
      <c r="C122" s="543">
        <v>2.5</v>
      </c>
      <c r="D122" s="543">
        <v>2</v>
      </c>
      <c r="E122" s="543">
        <v>1.5</v>
      </c>
      <c r="F122" s="543">
        <v>1</v>
      </c>
      <c r="G122" s="543" t="s">
        <v>934</v>
      </c>
      <c r="H122" s="543" t="s">
        <v>934</v>
      </c>
      <c r="I122" s="31" t="str">
        <f t="shared" si="4"/>
        <v>Cond4</v>
      </c>
    </row>
    <row r="123" spans="1:9" ht="14" x14ac:dyDescent="0.3">
      <c r="A123" s="88" t="str">
        <f>'G-1 All Habitats'!B122</f>
        <v>Intertidal sediment - Artificial littoral mixed sediments</v>
      </c>
      <c r="B123" s="543">
        <v>3</v>
      </c>
      <c r="C123" s="543">
        <v>2.5</v>
      </c>
      <c r="D123" s="543">
        <v>2</v>
      </c>
      <c r="E123" s="543">
        <v>1.5</v>
      </c>
      <c r="F123" s="543">
        <v>1</v>
      </c>
      <c r="G123" s="543" t="s">
        <v>934</v>
      </c>
      <c r="H123" s="543" t="s">
        <v>934</v>
      </c>
      <c r="I123" s="31" t="str">
        <f t="shared" si="4"/>
        <v>Cond4</v>
      </c>
    </row>
    <row r="124" spans="1:9" ht="14" x14ac:dyDescent="0.3">
      <c r="A124" s="88" t="str">
        <f>'G-1 All Habitats'!B123</f>
        <v>Intertidal sediment - Artificial littoral seagrass</v>
      </c>
      <c r="B124" s="543">
        <v>3</v>
      </c>
      <c r="C124" s="543">
        <v>2.5</v>
      </c>
      <c r="D124" s="543">
        <v>2</v>
      </c>
      <c r="E124" s="543">
        <v>1.5</v>
      </c>
      <c r="F124" s="543">
        <v>1</v>
      </c>
      <c r="G124" s="543" t="s">
        <v>934</v>
      </c>
      <c r="H124" s="543" t="s">
        <v>934</v>
      </c>
      <c r="I124" s="31" t="str">
        <f t="shared" si="4"/>
        <v>Cond4</v>
      </c>
    </row>
    <row r="125" spans="1:9" ht="14" x14ac:dyDescent="0.3">
      <c r="A125" s="88" t="str">
        <f>'G-1 All Habitats'!B124</f>
        <v>Intertidal sediment - Artificial littoral biogenic reefs</v>
      </c>
      <c r="B125" s="543">
        <v>3</v>
      </c>
      <c r="C125" s="543">
        <v>2.5</v>
      </c>
      <c r="D125" s="543">
        <v>2</v>
      </c>
      <c r="E125" s="543">
        <v>1.5</v>
      </c>
      <c r="F125" s="543">
        <v>1</v>
      </c>
      <c r="G125" s="543" t="s">
        <v>934</v>
      </c>
      <c r="H125" s="543" t="s">
        <v>934</v>
      </c>
      <c r="I125" s="31" t="str">
        <f t="shared" si="4"/>
        <v>Cond4</v>
      </c>
    </row>
    <row r="126" spans="1:9" ht="14" x14ac:dyDescent="0.3">
      <c r="A126" s="88" t="str">
        <f>'G-1 All Habitats'!B125</f>
        <v>Intertidal sediment - Littoral sand</v>
      </c>
      <c r="B126" s="543">
        <v>3</v>
      </c>
      <c r="C126" s="543">
        <v>2.5</v>
      </c>
      <c r="D126" s="543">
        <v>2</v>
      </c>
      <c r="E126" s="543">
        <v>1.5</v>
      </c>
      <c r="F126" s="543">
        <v>1</v>
      </c>
      <c r="G126" s="543" t="s">
        <v>934</v>
      </c>
      <c r="H126" s="543" t="s">
        <v>934</v>
      </c>
      <c r="I126" s="31" t="str">
        <f t="shared" si="4"/>
        <v>Cond4</v>
      </c>
    </row>
    <row r="127" spans="1:9" ht="14" x14ac:dyDescent="0.3">
      <c r="A127" s="88" t="str">
        <f>'G-1 All Habitats'!B126</f>
        <v>Intertidal sediment - Littoral muddy sand</v>
      </c>
      <c r="B127" s="543">
        <v>3</v>
      </c>
      <c r="C127" s="543">
        <v>2.5</v>
      </c>
      <c r="D127" s="543">
        <v>2</v>
      </c>
      <c r="E127" s="543">
        <v>1.5</v>
      </c>
      <c r="F127" s="543">
        <v>1</v>
      </c>
      <c r="G127" s="543" t="s">
        <v>934</v>
      </c>
      <c r="H127" s="543" t="s">
        <v>934</v>
      </c>
      <c r="I127" s="31" t="str">
        <f t="shared" si="4"/>
        <v>Cond4</v>
      </c>
    </row>
    <row r="128" spans="1:9" ht="14" x14ac:dyDescent="0.3">
      <c r="A128" s="88" t="str">
        <f>'G-1 All Habitats'!B127</f>
        <v>Intertidal Hard Structures - Artificial hard structures</v>
      </c>
      <c r="B128" s="543">
        <v>3</v>
      </c>
      <c r="C128" s="543">
        <v>2.5</v>
      </c>
      <c r="D128" s="543">
        <v>2</v>
      </c>
      <c r="E128" s="543">
        <v>1.5</v>
      </c>
      <c r="F128" s="543">
        <v>1</v>
      </c>
      <c r="G128" s="543" t="s">
        <v>934</v>
      </c>
      <c r="H128" s="543" t="s">
        <v>934</v>
      </c>
      <c r="I128" s="31" t="str">
        <f t="shared" si="4"/>
        <v>Cond4</v>
      </c>
    </row>
    <row r="129" spans="1:9" ht="14" x14ac:dyDescent="0.3">
      <c r="A129" s="88" t="str">
        <f>'G-1 All Habitats'!B128</f>
        <v>Intertidal Hard Structures - Artificial features of hard structures</v>
      </c>
      <c r="B129" s="543">
        <v>3</v>
      </c>
      <c r="C129" s="543">
        <v>2.5</v>
      </c>
      <c r="D129" s="543">
        <v>2</v>
      </c>
      <c r="E129" s="543">
        <v>1.5</v>
      </c>
      <c r="F129" s="543">
        <v>1</v>
      </c>
      <c r="G129" s="543" t="s">
        <v>934</v>
      </c>
      <c r="H129" s="543" t="s">
        <v>934</v>
      </c>
      <c r="I129" s="31" t="str">
        <f t="shared" si="4"/>
        <v>Cond4</v>
      </c>
    </row>
    <row r="130" spans="1:9" ht="14" x14ac:dyDescent="0.3">
      <c r="A130" s="88" t="str">
        <f>'G-1 All Habitats'!B129</f>
        <v>Intertidal Hard Structures - Artificial hard structures with Integrated Greening of Grey Infrastructure (IGGI)</v>
      </c>
      <c r="B130" s="543">
        <v>3</v>
      </c>
      <c r="C130" s="543">
        <v>2.5</v>
      </c>
      <c r="D130" s="543">
        <v>2</v>
      </c>
      <c r="E130" s="543">
        <v>1.5</v>
      </c>
      <c r="F130" s="543">
        <v>1</v>
      </c>
      <c r="G130" s="543" t="s">
        <v>934</v>
      </c>
      <c r="H130" s="543" t="s">
        <v>934</v>
      </c>
      <c r="I130" s="31" t="str">
        <f t="shared" si="4"/>
        <v>Cond4</v>
      </c>
    </row>
    <row r="131" spans="1:9" ht="14" x14ac:dyDescent="0.3"/>
    <row r="132" spans="1:9" ht="14" x14ac:dyDescent="0.3"/>
    <row r="133" spans="1:9" ht="14.5" customHeight="1" x14ac:dyDescent="0.3"/>
    <row r="134" spans="1:9" ht="14.5" customHeight="1" x14ac:dyDescent="0.3"/>
    <row r="135" spans="1:9" ht="14.5" customHeight="1" x14ac:dyDescent="0.3"/>
    <row r="136" spans="1:9" ht="14.5" customHeight="1" x14ac:dyDescent="0.3"/>
    <row r="137" spans="1:9" ht="14.5" customHeight="1" x14ac:dyDescent="0.3"/>
    <row r="138" spans="1:9" ht="14.5" customHeight="1" x14ac:dyDescent="0.3"/>
    <row r="139" spans="1:9" ht="14.5" customHeight="1" x14ac:dyDescent="0.3"/>
    <row r="140" spans="1:9" ht="14.5" customHeight="1" x14ac:dyDescent="0.3"/>
    <row r="141" spans="1:9" ht="14.5" customHeight="1" x14ac:dyDescent="0.3"/>
    <row r="142" spans="1:9" ht="14.5" customHeight="1" x14ac:dyDescent="0.3"/>
    <row r="143" spans="1:9" ht="14.5" customHeight="1" x14ac:dyDescent="0.3"/>
    <row r="144" spans="1:9" ht="14.5" customHeight="1" x14ac:dyDescent="0.3"/>
    <row r="145" ht="14.5" customHeight="1" x14ac:dyDescent="0.3"/>
    <row r="146" ht="14.5" customHeight="1" x14ac:dyDescent="0.3"/>
    <row r="147" ht="14.5" customHeight="1" x14ac:dyDescent="0.3"/>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defaultColWidth="0" defaultRowHeight="14.5" zeroHeight="1" x14ac:dyDescent="0.35"/>
  <cols>
    <col min="1" max="1" width="9.1796875" style="273" customWidth="1"/>
    <col min="2" max="2" width="44.26953125" style="273" customWidth="1"/>
    <col min="3" max="3" width="60.54296875" style="273" customWidth="1"/>
    <col min="4" max="4" width="22.453125" style="273" customWidth="1"/>
    <col min="5" max="19" width="9.1796875" style="273" customWidth="1"/>
    <col min="20" max="16384" width="9.1796875" style="273" hidden="1"/>
  </cols>
  <sheetData>
    <row r="1" spans="2:4" ht="61.15" customHeight="1" x14ac:dyDescent="0.35"/>
    <row r="2" spans="2:4" ht="15.5" x14ac:dyDescent="0.35">
      <c r="B2" s="123" t="s">
        <v>1045</v>
      </c>
      <c r="C2" s="123" t="s">
        <v>1046</v>
      </c>
      <c r="D2" s="123" t="s">
        <v>1047</v>
      </c>
    </row>
    <row r="3" spans="2:4" x14ac:dyDescent="0.35">
      <c r="B3" s="648" t="s">
        <v>1048</v>
      </c>
      <c r="C3" s="543" t="s">
        <v>695</v>
      </c>
      <c r="D3" s="543" t="s">
        <v>23</v>
      </c>
    </row>
    <row r="4" spans="2:4" x14ac:dyDescent="0.35">
      <c r="B4" s="648" t="s">
        <v>1049</v>
      </c>
      <c r="C4" s="543" t="s">
        <v>692</v>
      </c>
      <c r="D4" s="543" t="s">
        <v>23</v>
      </c>
    </row>
    <row r="5" spans="2:4" x14ac:dyDescent="0.35">
      <c r="B5" s="648" t="s">
        <v>1050</v>
      </c>
      <c r="C5" s="543" t="s">
        <v>678</v>
      </c>
      <c r="D5" s="543" t="s">
        <v>153</v>
      </c>
    </row>
    <row r="6" spans="2:4" x14ac:dyDescent="0.35">
      <c r="B6" s="648" t="s">
        <v>1051</v>
      </c>
      <c r="C6" s="543" t="s">
        <v>692</v>
      </c>
      <c r="D6" s="543" t="s">
        <v>23</v>
      </c>
    </row>
    <row r="7" spans="2:4" x14ac:dyDescent="0.35">
      <c r="B7" s="648" t="s">
        <v>684</v>
      </c>
      <c r="C7" s="543" t="s">
        <v>686</v>
      </c>
      <c r="D7" s="543" t="s">
        <v>156</v>
      </c>
    </row>
    <row r="8" spans="2:4" x14ac:dyDescent="0.35">
      <c r="B8" s="648" t="s">
        <v>1052</v>
      </c>
      <c r="C8" s="543" t="s">
        <v>681</v>
      </c>
      <c r="D8" s="543" t="s">
        <v>153</v>
      </c>
    </row>
    <row r="9" spans="2:4" x14ac:dyDescent="0.35">
      <c r="B9" s="648" t="s">
        <v>1053</v>
      </c>
      <c r="C9" s="543" t="s">
        <v>686</v>
      </c>
      <c r="D9" s="543" t="s">
        <v>156</v>
      </c>
    </row>
    <row r="10" spans="2:4" x14ac:dyDescent="0.35">
      <c r="B10" s="648" t="s">
        <v>1054</v>
      </c>
      <c r="C10" s="543" t="s">
        <v>695</v>
      </c>
      <c r="D10" s="543" t="s">
        <v>23</v>
      </c>
    </row>
    <row r="11" spans="2:4" x14ac:dyDescent="0.35">
      <c r="B11" s="648" t="s">
        <v>1055</v>
      </c>
      <c r="C11" s="543" t="s">
        <v>678</v>
      </c>
      <c r="D11" s="543" t="s">
        <v>153</v>
      </c>
    </row>
    <row r="12" spans="2:4" x14ac:dyDescent="0.35">
      <c r="B12" s="648" t="s">
        <v>1056</v>
      </c>
      <c r="C12" s="543" t="s">
        <v>695</v>
      </c>
      <c r="D12" s="543" t="s">
        <v>23</v>
      </c>
    </row>
    <row r="13" spans="2:4" x14ac:dyDescent="0.35">
      <c r="B13" s="648" t="s">
        <v>1057</v>
      </c>
      <c r="C13" s="543" t="s">
        <v>496</v>
      </c>
      <c r="D13" s="543" t="s">
        <v>23</v>
      </c>
    </row>
    <row r="14" spans="2:4" x14ac:dyDescent="0.35">
      <c r="B14" s="648" t="s">
        <v>1058</v>
      </c>
      <c r="C14" s="543" t="s">
        <v>496</v>
      </c>
      <c r="D14" s="543" t="s">
        <v>23</v>
      </c>
    </row>
    <row r="15" spans="2:4" x14ac:dyDescent="0.35">
      <c r="B15" s="648" t="s">
        <v>1059</v>
      </c>
      <c r="C15" s="543" t="s">
        <v>496</v>
      </c>
      <c r="D15" s="543" t="s">
        <v>23</v>
      </c>
    </row>
    <row r="16" spans="2:4" x14ac:dyDescent="0.35">
      <c r="B16" s="648" t="s">
        <v>1060</v>
      </c>
      <c r="C16" s="543" t="s">
        <v>712</v>
      </c>
      <c r="D16" s="543" t="s">
        <v>153</v>
      </c>
    </row>
    <row r="17" spans="2:4" x14ac:dyDescent="0.35">
      <c r="B17" s="648" t="s">
        <v>1061</v>
      </c>
      <c r="C17" s="543" t="s">
        <v>712</v>
      </c>
      <c r="D17" s="543" t="s">
        <v>153</v>
      </c>
    </row>
    <row r="18" spans="2:4" x14ac:dyDescent="0.35">
      <c r="B18" s="648" t="s">
        <v>1062</v>
      </c>
      <c r="C18" s="543" t="s">
        <v>686</v>
      </c>
      <c r="D18" s="543" t="s">
        <v>23</v>
      </c>
    </row>
    <row r="19" spans="2:4" x14ac:dyDescent="0.35">
      <c r="B19" s="648" t="s">
        <v>1063</v>
      </c>
      <c r="C19" s="543" t="s">
        <v>712</v>
      </c>
      <c r="D19" s="543" t="s">
        <v>153</v>
      </c>
    </row>
    <row r="20" spans="2:4" x14ac:dyDescent="0.35">
      <c r="B20" s="648" t="s">
        <v>1064</v>
      </c>
      <c r="C20" s="543" t="s">
        <v>671</v>
      </c>
      <c r="D20" s="543" t="s">
        <v>153</v>
      </c>
    </row>
    <row r="21" spans="2:4" x14ac:dyDescent="0.35">
      <c r="B21" s="648" t="s">
        <v>1065</v>
      </c>
      <c r="C21" s="543" t="s">
        <v>671</v>
      </c>
      <c r="D21" s="543" t="s">
        <v>153</v>
      </c>
    </row>
    <row r="22" spans="2:4" x14ac:dyDescent="0.35">
      <c r="B22" s="648" t="s">
        <v>1066</v>
      </c>
      <c r="C22" s="543" t="s">
        <v>671</v>
      </c>
      <c r="D22" s="543" t="s">
        <v>153</v>
      </c>
    </row>
    <row r="23" spans="2:4" x14ac:dyDescent="0.35">
      <c r="B23" s="648" t="s">
        <v>1067</v>
      </c>
      <c r="C23" s="543" t="s">
        <v>671</v>
      </c>
      <c r="D23" s="543" t="s">
        <v>153</v>
      </c>
    </row>
    <row r="24" spans="2:4" x14ac:dyDescent="0.35">
      <c r="B24" s="648" t="s">
        <v>426</v>
      </c>
      <c r="C24" s="543" t="s">
        <v>453</v>
      </c>
      <c r="D24" s="543" t="s">
        <v>23</v>
      </c>
    </row>
    <row r="25" spans="2:4" x14ac:dyDescent="0.35">
      <c r="B25" s="648" t="s">
        <v>426</v>
      </c>
      <c r="C25" s="543" t="s">
        <v>464</v>
      </c>
      <c r="D25" s="543" t="s">
        <v>23</v>
      </c>
    </row>
    <row r="26" spans="2:4" x14ac:dyDescent="0.35">
      <c r="B26" s="648" t="s">
        <v>1068</v>
      </c>
      <c r="C26" s="543" t="s">
        <v>439</v>
      </c>
      <c r="D26" s="543" t="s">
        <v>375</v>
      </c>
    </row>
    <row r="27" spans="2:4" x14ac:dyDescent="0.35">
      <c r="B27" s="648" t="s">
        <v>1068</v>
      </c>
      <c r="C27" s="543" t="s">
        <v>470</v>
      </c>
      <c r="D27" s="543" t="s">
        <v>375</v>
      </c>
    </row>
    <row r="28" spans="2:4" x14ac:dyDescent="0.35">
      <c r="B28" s="648" t="s">
        <v>1069</v>
      </c>
      <c r="C28" s="543" t="s">
        <v>464</v>
      </c>
      <c r="D28" s="543" t="s">
        <v>23</v>
      </c>
    </row>
    <row r="29" spans="2:4" x14ac:dyDescent="0.35">
      <c r="B29" s="648" t="s">
        <v>1069</v>
      </c>
      <c r="C29" s="543" t="s">
        <v>453</v>
      </c>
      <c r="D29" s="543" t="s">
        <v>23</v>
      </c>
    </row>
    <row r="30" spans="2:4" x14ac:dyDescent="0.35">
      <c r="B30" s="648" t="s">
        <v>1070</v>
      </c>
      <c r="C30" s="543" t="s">
        <v>449</v>
      </c>
      <c r="D30" s="543" t="s">
        <v>156</v>
      </c>
    </row>
    <row r="31" spans="2:4" x14ac:dyDescent="0.35">
      <c r="B31" s="648" t="s">
        <v>447</v>
      </c>
      <c r="C31" s="543" t="s">
        <v>456</v>
      </c>
      <c r="D31" s="543" t="s">
        <v>23</v>
      </c>
    </row>
    <row r="32" spans="2:4" x14ac:dyDescent="0.35">
      <c r="B32" s="648" t="s">
        <v>1071</v>
      </c>
      <c r="C32" s="543" t="s">
        <v>444</v>
      </c>
      <c r="D32" s="543" t="s">
        <v>375</v>
      </c>
    </row>
    <row r="33" spans="2:4" x14ac:dyDescent="0.35">
      <c r="B33" s="649" t="s">
        <v>1072</v>
      </c>
      <c r="C33" s="570" t="s">
        <v>456</v>
      </c>
      <c r="D33" s="570" t="s">
        <v>23</v>
      </c>
    </row>
    <row r="34" spans="2:4" x14ac:dyDescent="0.35">
      <c r="B34" s="648" t="s">
        <v>1073</v>
      </c>
      <c r="C34" s="543" t="s">
        <v>449</v>
      </c>
      <c r="D34" s="543" t="s">
        <v>156</v>
      </c>
    </row>
    <row r="35" spans="2:4" x14ac:dyDescent="0.35">
      <c r="B35" s="648" t="s">
        <v>437</v>
      </c>
      <c r="C35" s="543" t="s">
        <v>467</v>
      </c>
      <c r="D35" s="543" t="s">
        <v>153</v>
      </c>
    </row>
    <row r="36" spans="2:4" x14ac:dyDescent="0.35">
      <c r="B36" s="648" t="s">
        <v>437</v>
      </c>
      <c r="C36" s="543" t="s">
        <v>434</v>
      </c>
      <c r="D36" s="543" t="s">
        <v>153</v>
      </c>
    </row>
    <row r="37" spans="2:4" x14ac:dyDescent="0.35">
      <c r="B37" s="648" t="s">
        <v>1074</v>
      </c>
      <c r="C37" s="543" t="s">
        <v>434</v>
      </c>
      <c r="D37" s="543" t="s">
        <v>153</v>
      </c>
    </row>
    <row r="38" spans="2:4" x14ac:dyDescent="0.35">
      <c r="B38" s="648" t="s">
        <v>1074</v>
      </c>
      <c r="C38" s="543" t="s">
        <v>467</v>
      </c>
      <c r="D38" s="543" t="s">
        <v>153</v>
      </c>
    </row>
    <row r="39" spans="2:4" x14ac:dyDescent="0.35">
      <c r="B39" s="648" t="s">
        <v>1075</v>
      </c>
      <c r="C39" s="543" t="s">
        <v>467</v>
      </c>
      <c r="D39" s="543" t="s">
        <v>153</v>
      </c>
    </row>
    <row r="40" spans="2:4" x14ac:dyDescent="0.35">
      <c r="B40" s="648" t="s">
        <v>1075</v>
      </c>
      <c r="C40" s="543" t="s">
        <v>434</v>
      </c>
      <c r="D40" s="543" t="s">
        <v>153</v>
      </c>
    </row>
    <row r="41" spans="2:4" x14ac:dyDescent="0.35">
      <c r="B41" s="648" t="s">
        <v>1076</v>
      </c>
      <c r="C41" s="543" t="s">
        <v>449</v>
      </c>
      <c r="D41" s="543" t="s">
        <v>156</v>
      </c>
    </row>
    <row r="42" spans="2:4" x14ac:dyDescent="0.35">
      <c r="B42" s="648" t="s">
        <v>1077</v>
      </c>
      <c r="C42" s="543" t="s">
        <v>449</v>
      </c>
      <c r="D42" s="543" t="s">
        <v>156</v>
      </c>
    </row>
    <row r="43" spans="2:4" x14ac:dyDescent="0.35">
      <c r="B43" s="648" t="s">
        <v>1078</v>
      </c>
      <c r="C43" s="543" t="s">
        <v>662</v>
      </c>
      <c r="D43" s="543" t="s">
        <v>375</v>
      </c>
    </row>
    <row r="44" spans="2:4" x14ac:dyDescent="0.35">
      <c r="B44" s="648" t="s">
        <v>1078</v>
      </c>
      <c r="C44" s="543" t="s">
        <v>456</v>
      </c>
      <c r="D44" s="543" t="s">
        <v>23</v>
      </c>
    </row>
    <row r="45" spans="2:4" x14ac:dyDescent="0.35">
      <c r="B45" s="648" t="s">
        <v>1078</v>
      </c>
      <c r="C45" s="543" t="s">
        <v>449</v>
      </c>
      <c r="D45" s="543" t="s">
        <v>156</v>
      </c>
    </row>
    <row r="46" spans="2:4" x14ac:dyDescent="0.35">
      <c r="B46" s="648" t="s">
        <v>1079</v>
      </c>
      <c r="C46" s="543" t="s">
        <v>449</v>
      </c>
      <c r="D46" s="543" t="s">
        <v>156</v>
      </c>
    </row>
    <row r="47" spans="2:4" x14ac:dyDescent="0.35">
      <c r="B47" s="648" t="s">
        <v>1080</v>
      </c>
      <c r="C47" s="543" t="s">
        <v>562</v>
      </c>
      <c r="D47" s="543" t="s">
        <v>153</v>
      </c>
    </row>
    <row r="48" spans="2:4" x14ac:dyDescent="0.35">
      <c r="B48" s="648" t="s">
        <v>1081</v>
      </c>
      <c r="C48" s="543" t="s">
        <v>558</v>
      </c>
      <c r="D48" s="543" t="s">
        <v>153</v>
      </c>
    </row>
    <row r="49" spans="2:4" x14ac:dyDescent="0.35">
      <c r="B49" s="648" t="s">
        <v>1082</v>
      </c>
      <c r="C49" s="543" t="s">
        <v>558</v>
      </c>
      <c r="D49" s="543" t="s">
        <v>153</v>
      </c>
    </row>
    <row r="50" spans="2:4" x14ac:dyDescent="0.35">
      <c r="B50" s="648" t="s">
        <v>1083</v>
      </c>
      <c r="C50" s="543" t="s">
        <v>558</v>
      </c>
      <c r="D50" s="543" t="s">
        <v>153</v>
      </c>
    </row>
    <row r="51" spans="2:4" x14ac:dyDescent="0.35">
      <c r="B51" s="648" t="s">
        <v>1084</v>
      </c>
      <c r="C51" s="543" t="s">
        <v>558</v>
      </c>
      <c r="D51" s="543" t="s">
        <v>153</v>
      </c>
    </row>
    <row r="52" spans="2:4" x14ac:dyDescent="0.35">
      <c r="B52" s="648" t="s">
        <v>1085</v>
      </c>
      <c r="C52" s="543" t="s">
        <v>558</v>
      </c>
      <c r="D52" s="543" t="s">
        <v>153</v>
      </c>
    </row>
    <row r="53" spans="2:4" x14ac:dyDescent="0.35">
      <c r="B53" s="648" t="s">
        <v>1086</v>
      </c>
      <c r="C53" s="543" t="s">
        <v>558</v>
      </c>
      <c r="D53" s="543" t="s">
        <v>153</v>
      </c>
    </row>
    <row r="54" spans="2:4" x14ac:dyDescent="0.35">
      <c r="B54" s="648" t="s">
        <v>1087</v>
      </c>
      <c r="C54" s="543" t="s">
        <v>577</v>
      </c>
      <c r="D54" s="543" t="s">
        <v>153</v>
      </c>
    </row>
    <row r="55" spans="2:4" x14ac:dyDescent="0.35">
      <c r="B55" s="648" t="s">
        <v>1088</v>
      </c>
      <c r="C55" s="543" t="s">
        <v>577</v>
      </c>
      <c r="D55" s="543" t="s">
        <v>153</v>
      </c>
    </row>
    <row r="56" spans="2:4" x14ac:dyDescent="0.35">
      <c r="B56" s="648" t="s">
        <v>1089</v>
      </c>
      <c r="C56" s="543" t="s">
        <v>577</v>
      </c>
      <c r="D56" s="543" t="s">
        <v>153</v>
      </c>
    </row>
    <row r="57" spans="2:4" x14ac:dyDescent="0.35">
      <c r="B57" s="648" t="s">
        <v>1090</v>
      </c>
      <c r="C57" s="543" t="s">
        <v>577</v>
      </c>
      <c r="D57" s="543" t="s">
        <v>153</v>
      </c>
    </row>
    <row r="58" spans="2:4" x14ac:dyDescent="0.35">
      <c r="B58" s="648" t="s">
        <v>1090</v>
      </c>
      <c r="C58" s="543" t="s">
        <v>1091</v>
      </c>
      <c r="D58" s="543" t="s">
        <v>153</v>
      </c>
    </row>
    <row r="59" spans="2:4" x14ac:dyDescent="0.35">
      <c r="B59" s="648" t="s">
        <v>1092</v>
      </c>
      <c r="C59" s="543" t="s">
        <v>577</v>
      </c>
      <c r="D59" s="543" t="s">
        <v>153</v>
      </c>
    </row>
    <row r="60" spans="2:4" x14ac:dyDescent="0.35">
      <c r="B60" s="648" t="s">
        <v>1092</v>
      </c>
      <c r="C60" s="543" t="s">
        <v>444</v>
      </c>
      <c r="D60" s="543" t="s">
        <v>375</v>
      </c>
    </row>
    <row r="61" spans="2:4" x14ac:dyDescent="0.35">
      <c r="B61" s="648" t="s">
        <v>1092</v>
      </c>
      <c r="C61" s="543" t="s">
        <v>439</v>
      </c>
      <c r="D61" s="543" t="s">
        <v>375</v>
      </c>
    </row>
    <row r="62" spans="2:4" x14ac:dyDescent="0.35">
      <c r="B62" s="648" t="s">
        <v>1092</v>
      </c>
      <c r="C62" s="543" t="s">
        <v>453</v>
      </c>
      <c r="D62" s="543" t="s">
        <v>23</v>
      </c>
    </row>
    <row r="63" spans="2:4" x14ac:dyDescent="0.35">
      <c r="B63" s="648" t="s">
        <v>1093</v>
      </c>
      <c r="C63" s="543" t="s">
        <v>577</v>
      </c>
      <c r="D63" s="543" t="s">
        <v>153</v>
      </c>
    </row>
    <row r="64" spans="2:4" x14ac:dyDescent="0.35">
      <c r="B64" s="648" t="s">
        <v>1093</v>
      </c>
      <c r="C64" s="573" t="s">
        <v>490</v>
      </c>
      <c r="D64" s="543" t="s">
        <v>153</v>
      </c>
    </row>
    <row r="65" spans="2:4" x14ac:dyDescent="0.35">
      <c r="B65" s="648" t="s">
        <v>1094</v>
      </c>
      <c r="C65" s="543" t="s">
        <v>1095</v>
      </c>
      <c r="D65" s="543" t="s">
        <v>375</v>
      </c>
    </row>
    <row r="66" spans="2:4" x14ac:dyDescent="0.35">
      <c r="B66" s="648" t="s">
        <v>1094</v>
      </c>
      <c r="C66" s="543" t="s">
        <v>1096</v>
      </c>
      <c r="D66" s="543" t="s">
        <v>23</v>
      </c>
    </row>
    <row r="67" spans="2:4" x14ac:dyDescent="0.35">
      <c r="B67" s="648" t="s">
        <v>1094</v>
      </c>
      <c r="C67" s="543" t="s">
        <v>526</v>
      </c>
      <c r="D67" s="543" t="s">
        <v>153</v>
      </c>
    </row>
    <row r="68" spans="2:4" x14ac:dyDescent="0.35">
      <c r="B68" s="648" t="s">
        <v>1094</v>
      </c>
      <c r="C68" s="543" t="s">
        <v>529</v>
      </c>
      <c r="D68" s="543" t="s">
        <v>153</v>
      </c>
    </row>
    <row r="69" spans="2:4" x14ac:dyDescent="0.35">
      <c r="B69" s="648" t="s">
        <v>1094</v>
      </c>
      <c r="C69" s="543" t="s">
        <v>532</v>
      </c>
      <c r="D69" s="543" t="s">
        <v>153</v>
      </c>
    </row>
    <row r="70" spans="2:4" x14ac:dyDescent="0.35">
      <c r="B70" s="648" t="s">
        <v>1094</v>
      </c>
      <c r="C70" s="543" t="s">
        <v>535</v>
      </c>
      <c r="D70" s="543" t="s">
        <v>153</v>
      </c>
    </row>
    <row r="71" spans="2:4" x14ac:dyDescent="0.35">
      <c r="B71" s="648" t="s">
        <v>1094</v>
      </c>
      <c r="C71" s="543" t="s">
        <v>538</v>
      </c>
      <c r="D71" s="543" t="s">
        <v>153</v>
      </c>
    </row>
    <row r="72" spans="2:4" x14ac:dyDescent="0.35">
      <c r="B72" s="648" t="s">
        <v>1094</v>
      </c>
      <c r="C72" s="543" t="s">
        <v>1097</v>
      </c>
      <c r="D72" s="543" t="s">
        <v>153</v>
      </c>
    </row>
    <row r="73" spans="2:4" x14ac:dyDescent="0.35">
      <c r="B73" s="648" t="s">
        <v>1094</v>
      </c>
      <c r="C73" s="543" t="s">
        <v>1098</v>
      </c>
      <c r="D73" s="543" t="s">
        <v>23</v>
      </c>
    </row>
    <row r="74" spans="2:4" x14ac:dyDescent="0.35">
      <c r="B74" s="648" t="s">
        <v>1094</v>
      </c>
      <c r="C74" s="543" t="s">
        <v>1099</v>
      </c>
      <c r="D74" s="543" t="s">
        <v>23</v>
      </c>
    </row>
    <row r="75" spans="2:4" x14ac:dyDescent="0.35">
      <c r="B75" s="648" t="s">
        <v>1094</v>
      </c>
      <c r="C75" s="543" t="s">
        <v>550</v>
      </c>
      <c r="D75" s="543" t="s">
        <v>153</v>
      </c>
    </row>
    <row r="76" spans="2:4" x14ac:dyDescent="0.35">
      <c r="B76" s="648" t="s">
        <v>1100</v>
      </c>
      <c r="C76" s="543" t="s">
        <v>490</v>
      </c>
      <c r="D76" s="543" t="s">
        <v>153</v>
      </c>
    </row>
    <row r="77" spans="2:4" x14ac:dyDescent="0.35">
      <c r="B77" s="648" t="s">
        <v>1100</v>
      </c>
      <c r="C77" s="543" t="s">
        <v>515</v>
      </c>
      <c r="D77" s="543" t="s">
        <v>153</v>
      </c>
    </row>
    <row r="78" spans="2:4" x14ac:dyDescent="0.35">
      <c r="B78" s="648" t="s">
        <v>1101</v>
      </c>
      <c r="C78" s="543" t="s">
        <v>490</v>
      </c>
      <c r="D78" s="543" t="s">
        <v>153</v>
      </c>
    </row>
    <row r="79" spans="2:4" x14ac:dyDescent="0.35">
      <c r="B79" s="648" t="s">
        <v>1101</v>
      </c>
      <c r="C79" s="543" t="s">
        <v>515</v>
      </c>
      <c r="D79" s="543" t="s">
        <v>153</v>
      </c>
    </row>
    <row r="80" spans="2:4" x14ac:dyDescent="0.35">
      <c r="B80" s="648" t="s">
        <v>1102</v>
      </c>
      <c r="C80" s="543" t="s">
        <v>490</v>
      </c>
      <c r="D80" s="543" t="s">
        <v>153</v>
      </c>
    </row>
    <row r="81" spans="2:4" x14ac:dyDescent="0.35">
      <c r="B81" s="648" t="s">
        <v>1102</v>
      </c>
      <c r="C81" s="543" t="s">
        <v>515</v>
      </c>
      <c r="D81" s="543" t="s">
        <v>153</v>
      </c>
    </row>
    <row r="82" spans="2:4" x14ac:dyDescent="0.35">
      <c r="B82" s="648" t="s">
        <v>1103</v>
      </c>
      <c r="C82" s="543" t="s">
        <v>490</v>
      </c>
      <c r="D82" s="543" t="s">
        <v>153</v>
      </c>
    </row>
    <row r="83" spans="2:4" x14ac:dyDescent="0.35">
      <c r="B83" s="648" t="s">
        <v>1103</v>
      </c>
      <c r="C83" s="543" t="s">
        <v>515</v>
      </c>
      <c r="D83" s="543" t="s">
        <v>153</v>
      </c>
    </row>
    <row r="84" spans="2:4" x14ac:dyDescent="0.35">
      <c r="B84" s="648" t="s">
        <v>1104</v>
      </c>
      <c r="C84" s="543" t="s">
        <v>490</v>
      </c>
      <c r="D84" s="543" t="s">
        <v>153</v>
      </c>
    </row>
    <row r="85" spans="2:4" x14ac:dyDescent="0.35">
      <c r="B85" s="648" t="s">
        <v>1104</v>
      </c>
      <c r="C85" s="543" t="s">
        <v>515</v>
      </c>
      <c r="D85" s="543" t="s">
        <v>153</v>
      </c>
    </row>
    <row r="86" spans="2:4" x14ac:dyDescent="0.35">
      <c r="B86" s="648" t="s">
        <v>1105</v>
      </c>
      <c r="C86" s="543" t="s">
        <v>500</v>
      </c>
      <c r="D86" s="543" t="s">
        <v>375</v>
      </c>
    </row>
    <row r="87" spans="2:4" x14ac:dyDescent="0.35">
      <c r="B87" s="648" t="s">
        <v>1106</v>
      </c>
      <c r="C87" s="543" t="s">
        <v>490</v>
      </c>
      <c r="D87" s="543" t="s">
        <v>153</v>
      </c>
    </row>
    <row r="88" spans="2:4" x14ac:dyDescent="0.35">
      <c r="B88" s="648" t="s">
        <v>1107</v>
      </c>
      <c r="C88" s="543" t="s">
        <v>490</v>
      </c>
      <c r="D88" s="543" t="s">
        <v>153</v>
      </c>
    </row>
    <row r="89" spans="2:4" x14ac:dyDescent="0.35">
      <c r="B89" s="648" t="s">
        <v>1106</v>
      </c>
      <c r="C89" s="543" t="s">
        <v>515</v>
      </c>
      <c r="D89" s="543" t="s">
        <v>153</v>
      </c>
    </row>
    <row r="90" spans="2:4" x14ac:dyDescent="0.35">
      <c r="B90" s="648" t="s">
        <v>1107</v>
      </c>
      <c r="C90" s="543" t="s">
        <v>515</v>
      </c>
      <c r="D90" s="543" t="s">
        <v>153</v>
      </c>
    </row>
    <row r="91" spans="2:4" x14ac:dyDescent="0.35">
      <c r="B91" s="648" t="s">
        <v>423</v>
      </c>
      <c r="C91" s="543" t="s">
        <v>424</v>
      </c>
      <c r="D91" s="543" t="s">
        <v>156</v>
      </c>
    </row>
    <row r="92" spans="2:4" x14ac:dyDescent="0.35">
      <c r="B92" s="648" t="s">
        <v>1108</v>
      </c>
      <c r="C92" s="543" t="s">
        <v>424</v>
      </c>
      <c r="D92" s="543" t="s">
        <v>156</v>
      </c>
    </row>
    <row r="93" spans="2:4" x14ac:dyDescent="0.35">
      <c r="B93" s="648" t="s">
        <v>1109</v>
      </c>
      <c r="C93" s="543" t="s">
        <v>424</v>
      </c>
      <c r="D93" s="543" t="s">
        <v>156</v>
      </c>
    </row>
    <row r="94" spans="2:4" x14ac:dyDescent="0.35">
      <c r="B94" s="648" t="s">
        <v>1110</v>
      </c>
      <c r="C94" s="573" t="s">
        <v>569</v>
      </c>
      <c r="D94" s="543" t="s">
        <v>153</v>
      </c>
    </row>
    <row r="95" spans="2:4" x14ac:dyDescent="0.35">
      <c r="B95" s="648" t="s">
        <v>1111</v>
      </c>
      <c r="C95" s="543" t="s">
        <v>424</v>
      </c>
      <c r="D95" s="543" t="s">
        <v>23</v>
      </c>
    </row>
    <row r="96" spans="2:4" x14ac:dyDescent="0.35">
      <c r="B96" s="648" t="s">
        <v>1112</v>
      </c>
      <c r="C96" s="573" t="s">
        <v>565</v>
      </c>
      <c r="D96" s="543" t="s">
        <v>156</v>
      </c>
    </row>
    <row r="97" spans="2:4" x14ac:dyDescent="0.35">
      <c r="B97" s="648" t="s">
        <v>1113</v>
      </c>
      <c r="C97" s="573" t="s">
        <v>565</v>
      </c>
      <c r="D97" s="543" t="s">
        <v>156</v>
      </c>
    </row>
    <row r="98" spans="2:4" x14ac:dyDescent="0.35">
      <c r="B98" s="648" t="s">
        <v>643</v>
      </c>
      <c r="C98" s="543" t="s">
        <v>655</v>
      </c>
      <c r="D98" s="543" t="s">
        <v>375</v>
      </c>
    </row>
    <row r="99" spans="2:4" x14ac:dyDescent="0.35">
      <c r="B99" s="648" t="s">
        <v>1114</v>
      </c>
      <c r="C99" s="543" t="s">
        <v>655</v>
      </c>
      <c r="D99" s="543" t="s">
        <v>375</v>
      </c>
    </row>
    <row r="100" spans="2:4" x14ac:dyDescent="0.35">
      <c r="B100" s="648" t="s">
        <v>640</v>
      </c>
      <c r="C100" s="543" t="s">
        <v>641</v>
      </c>
      <c r="D100" s="543" t="s">
        <v>375</v>
      </c>
    </row>
    <row r="101" spans="2:4" x14ac:dyDescent="0.35">
      <c r="B101" s="648" t="s">
        <v>1115</v>
      </c>
      <c r="C101" s="543" t="s">
        <v>655</v>
      </c>
      <c r="D101" s="543" t="s">
        <v>375</v>
      </c>
    </row>
    <row r="102" spans="2:4" x14ac:dyDescent="0.35">
      <c r="B102" s="648" t="s">
        <v>1116</v>
      </c>
      <c r="C102" s="650" t="s">
        <v>668</v>
      </c>
      <c r="D102" s="543" t="s">
        <v>375</v>
      </c>
    </row>
    <row r="103" spans="2:4" x14ac:dyDescent="0.35">
      <c r="B103" s="648" t="s">
        <v>1117</v>
      </c>
      <c r="C103" s="543" t="s">
        <v>641</v>
      </c>
      <c r="D103" s="543" t="s">
        <v>375</v>
      </c>
    </row>
    <row r="104" spans="2:4" x14ac:dyDescent="0.35">
      <c r="B104" s="648" t="s">
        <v>1117</v>
      </c>
      <c r="C104" s="543" t="s">
        <v>655</v>
      </c>
      <c r="D104" s="543" t="s">
        <v>375</v>
      </c>
    </row>
    <row r="105" spans="2:4" x14ac:dyDescent="0.35">
      <c r="B105" s="648" t="s">
        <v>1118</v>
      </c>
      <c r="C105" s="543" t="s">
        <v>649</v>
      </c>
      <c r="D105" s="543" t="s">
        <v>375</v>
      </c>
    </row>
    <row r="106" spans="2:4" x14ac:dyDescent="0.35">
      <c r="B106" s="648" t="s">
        <v>1119</v>
      </c>
      <c r="C106" s="543" t="s">
        <v>649</v>
      </c>
      <c r="D106" s="543" t="s">
        <v>375</v>
      </c>
    </row>
    <row r="107" spans="2:4" x14ac:dyDescent="0.35">
      <c r="B107" s="648" t="s">
        <v>1120</v>
      </c>
      <c r="C107" s="543" t="s">
        <v>649</v>
      </c>
      <c r="D107" s="543" t="s">
        <v>375</v>
      </c>
    </row>
    <row r="108" spans="2:4" x14ac:dyDescent="0.35">
      <c r="B108" s="648" t="s">
        <v>1121</v>
      </c>
      <c r="C108" s="543" t="s">
        <v>649</v>
      </c>
      <c r="D108" s="543" t="s">
        <v>375</v>
      </c>
    </row>
    <row r="109" spans="2:4" x14ac:dyDescent="0.35">
      <c r="B109" s="648" t="s">
        <v>1122</v>
      </c>
      <c r="C109" s="543" t="s">
        <v>649</v>
      </c>
      <c r="D109" s="543" t="s">
        <v>375</v>
      </c>
    </row>
    <row r="110" spans="2:4" x14ac:dyDescent="0.35">
      <c r="B110" s="648" t="s">
        <v>1123</v>
      </c>
      <c r="C110" s="543" t="s">
        <v>1124</v>
      </c>
      <c r="D110" s="543" t="s">
        <v>375</v>
      </c>
    </row>
    <row r="111" spans="2:4" x14ac:dyDescent="0.35">
      <c r="B111" s="648" t="s">
        <v>1125</v>
      </c>
      <c r="C111" s="543" t="s">
        <v>1124</v>
      </c>
      <c r="D111" s="543" t="s">
        <v>375</v>
      </c>
    </row>
    <row r="112" spans="2:4" x14ac:dyDescent="0.35">
      <c r="B112" s="648" t="s">
        <v>1126</v>
      </c>
      <c r="C112" s="543" t="s">
        <v>1124</v>
      </c>
      <c r="D112" s="543" t="s">
        <v>375</v>
      </c>
    </row>
    <row r="113" spans="2:4" x14ac:dyDescent="0.35">
      <c r="B113" s="648" t="s">
        <v>1127</v>
      </c>
      <c r="C113" s="543" t="s">
        <v>645</v>
      </c>
      <c r="D113" s="543" t="s">
        <v>375</v>
      </c>
    </row>
    <row r="114" spans="2:4" x14ac:dyDescent="0.35">
      <c r="B114" s="648" t="s">
        <v>1128</v>
      </c>
      <c r="C114" s="543" t="s">
        <v>649</v>
      </c>
      <c r="D114" s="543" t="s">
        <v>375</v>
      </c>
    </row>
    <row r="115" spans="2:4" x14ac:dyDescent="0.35">
      <c r="B115" s="648" t="s">
        <v>1129</v>
      </c>
      <c r="C115" s="543" t="s">
        <v>649</v>
      </c>
      <c r="D115" s="543" t="s">
        <v>375</v>
      </c>
    </row>
    <row r="116" spans="2:4" x14ac:dyDescent="0.35">
      <c r="B116" s="648" t="s">
        <v>1129</v>
      </c>
      <c r="C116" s="573" t="s">
        <v>665</v>
      </c>
      <c r="D116" s="570" t="s">
        <v>153</v>
      </c>
    </row>
    <row r="117" spans="2:4" x14ac:dyDescent="0.35">
      <c r="B117" s="648" t="s">
        <v>1130</v>
      </c>
      <c r="C117" s="543" t="s">
        <v>1131</v>
      </c>
      <c r="D117" s="585"/>
    </row>
    <row r="118" spans="2:4" x14ac:dyDescent="0.35">
      <c r="B118" s="648" t="s">
        <v>1132</v>
      </c>
      <c r="C118" s="573" t="s">
        <v>665</v>
      </c>
      <c r="D118" s="570" t="s">
        <v>153</v>
      </c>
    </row>
    <row r="119" spans="2:4" x14ac:dyDescent="0.35">
      <c r="B119" s="648" t="s">
        <v>1133</v>
      </c>
      <c r="C119" s="543" t="s">
        <v>569</v>
      </c>
      <c r="D119" s="543" t="s">
        <v>153</v>
      </c>
    </row>
    <row r="120" spans="2:4" x14ac:dyDescent="0.35">
      <c r="B120" s="648" t="s">
        <v>1134</v>
      </c>
      <c r="C120" s="573" t="s">
        <v>582</v>
      </c>
      <c r="D120" s="543" t="s">
        <v>23</v>
      </c>
    </row>
    <row r="121" spans="2:4" x14ac:dyDescent="0.35">
      <c r="B121" s="648" t="s">
        <v>1135</v>
      </c>
      <c r="C121" s="543" t="s">
        <v>569</v>
      </c>
      <c r="D121" s="543" t="s">
        <v>153</v>
      </c>
    </row>
    <row r="122" spans="2:4" x14ac:dyDescent="0.35">
      <c r="B122" s="648" t="s">
        <v>1136</v>
      </c>
      <c r="C122" s="573" t="s">
        <v>582</v>
      </c>
      <c r="D122" s="543" t="s">
        <v>23</v>
      </c>
    </row>
    <row r="123" spans="2:4" x14ac:dyDescent="0.35">
      <c r="B123" s="648" t="s">
        <v>1137</v>
      </c>
      <c r="C123" s="543" t="s">
        <v>569</v>
      </c>
      <c r="D123" s="543" t="s">
        <v>153</v>
      </c>
    </row>
    <row r="124" spans="2:4" x14ac:dyDescent="0.35">
      <c r="B124" s="648" t="s">
        <v>1138</v>
      </c>
      <c r="C124" s="543" t="s">
        <v>569</v>
      </c>
      <c r="D124" s="543" t="s">
        <v>153</v>
      </c>
    </row>
    <row r="125" spans="2:4" x14ac:dyDescent="0.35">
      <c r="B125" s="648" t="s">
        <v>1139</v>
      </c>
      <c r="C125" s="543" t="s">
        <v>569</v>
      </c>
      <c r="D125" s="543" t="s">
        <v>153</v>
      </c>
    </row>
    <row r="126" spans="2:4" x14ac:dyDescent="0.35">
      <c r="B126" s="648" t="s">
        <v>1140</v>
      </c>
      <c r="C126" s="543" t="s">
        <v>569</v>
      </c>
      <c r="D126" s="543" t="s">
        <v>153</v>
      </c>
    </row>
    <row r="127" spans="2:4" x14ac:dyDescent="0.35">
      <c r="B127" s="648" t="s">
        <v>1141</v>
      </c>
      <c r="C127" s="543" t="s">
        <v>569</v>
      </c>
      <c r="D127" s="543" t="s">
        <v>153</v>
      </c>
    </row>
    <row r="128" spans="2:4" x14ac:dyDescent="0.35">
      <c r="B128" s="648" t="s">
        <v>573</v>
      </c>
      <c r="C128" s="543" t="s">
        <v>574</v>
      </c>
      <c r="D128" s="543" t="s">
        <v>375</v>
      </c>
    </row>
    <row r="129" spans="2:4" x14ac:dyDescent="0.35">
      <c r="B129" s="648" t="s">
        <v>1142</v>
      </c>
      <c r="C129" s="543" t="s">
        <v>582</v>
      </c>
      <c r="D129" s="543" t="s">
        <v>23</v>
      </c>
    </row>
    <row r="130" spans="2:4" x14ac:dyDescent="0.35">
      <c r="B130" s="648" t="s">
        <v>1143</v>
      </c>
      <c r="C130" s="543" t="s">
        <v>582</v>
      </c>
      <c r="D130" s="543" t="s">
        <v>23</v>
      </c>
    </row>
    <row r="131" spans="2:4" x14ac:dyDescent="0.35">
      <c r="B131" s="648" t="s">
        <v>1144</v>
      </c>
      <c r="C131" s="543" t="s">
        <v>582</v>
      </c>
      <c r="D131" s="543" t="s">
        <v>23</v>
      </c>
    </row>
    <row r="132" spans="2:4" x14ac:dyDescent="0.35">
      <c r="B132" s="648" t="s">
        <v>1145</v>
      </c>
      <c r="C132" s="543" t="s">
        <v>582</v>
      </c>
      <c r="D132" s="543" t="s">
        <v>23</v>
      </c>
    </row>
    <row r="133" spans="2:4" x14ac:dyDescent="0.35">
      <c r="B133" s="648" t="s">
        <v>1145</v>
      </c>
      <c r="C133" s="543" t="s">
        <v>582</v>
      </c>
      <c r="D133" s="543" t="s">
        <v>23</v>
      </c>
    </row>
    <row r="134" spans="2:4" x14ac:dyDescent="0.35">
      <c r="B134" s="648" t="s">
        <v>1145</v>
      </c>
      <c r="C134" s="543" t="s">
        <v>582</v>
      </c>
      <c r="D134" s="543" t="s">
        <v>23</v>
      </c>
    </row>
    <row r="135" spans="2:4" x14ac:dyDescent="0.35">
      <c r="B135" s="648" t="s">
        <v>1145</v>
      </c>
      <c r="C135" s="543" t="s">
        <v>582</v>
      </c>
      <c r="D135" s="543" t="s">
        <v>23</v>
      </c>
    </row>
    <row r="136" spans="2:4" x14ac:dyDescent="0.35">
      <c r="B136" s="648" t="s">
        <v>1145</v>
      </c>
      <c r="C136" s="543" t="s">
        <v>582</v>
      </c>
      <c r="D136" s="543" t="s">
        <v>23</v>
      </c>
    </row>
    <row r="137" spans="2:4" x14ac:dyDescent="0.35">
      <c r="B137" s="648" t="s">
        <v>1145</v>
      </c>
      <c r="C137" s="543" t="s">
        <v>582</v>
      </c>
      <c r="D137" s="543" t="s">
        <v>23</v>
      </c>
    </row>
    <row r="138" spans="2:4" x14ac:dyDescent="0.35">
      <c r="B138" s="648" t="s">
        <v>1146</v>
      </c>
      <c r="C138" s="543" t="s">
        <v>1147</v>
      </c>
      <c r="D138" s="543" t="s">
        <v>156</v>
      </c>
    </row>
    <row r="139" spans="2:4" x14ac:dyDescent="0.35">
      <c r="B139" s="648" t="s">
        <v>1148</v>
      </c>
      <c r="C139" s="543" t="s">
        <v>1147</v>
      </c>
      <c r="D139" s="543" t="s">
        <v>156</v>
      </c>
    </row>
    <row r="140" spans="2:4" x14ac:dyDescent="0.35">
      <c r="B140" s="648" t="s">
        <v>1149</v>
      </c>
      <c r="C140" s="543" t="s">
        <v>1147</v>
      </c>
      <c r="D140" s="543" t="s">
        <v>156</v>
      </c>
    </row>
    <row r="141" spans="2:4" x14ac:dyDescent="0.35">
      <c r="B141" s="648" t="s">
        <v>1150</v>
      </c>
      <c r="C141" s="543" t="s">
        <v>587</v>
      </c>
      <c r="D141" s="543" t="s">
        <v>397</v>
      </c>
    </row>
    <row r="142" spans="2:4" x14ac:dyDescent="0.35">
      <c r="B142" s="648" t="s">
        <v>1151</v>
      </c>
      <c r="C142" s="543" t="s">
        <v>395</v>
      </c>
      <c r="D142" s="543" t="s">
        <v>156</v>
      </c>
    </row>
    <row r="143" spans="2:4" x14ac:dyDescent="0.35">
      <c r="B143" s="648" t="s">
        <v>1152</v>
      </c>
      <c r="C143" s="543" t="s">
        <v>395</v>
      </c>
      <c r="D143" s="543" t="s">
        <v>156</v>
      </c>
    </row>
    <row r="144" spans="2:4" x14ac:dyDescent="0.35">
      <c r="B144" s="648" t="s">
        <v>1153</v>
      </c>
      <c r="C144" s="543" t="s">
        <v>449</v>
      </c>
      <c r="D144" s="543" t="s">
        <v>156</v>
      </c>
    </row>
    <row r="145" spans="2:4" x14ac:dyDescent="0.35">
      <c r="B145" s="648" t="s">
        <v>1154</v>
      </c>
      <c r="C145" s="573" t="s">
        <v>565</v>
      </c>
      <c r="D145" s="543" t="s">
        <v>156</v>
      </c>
    </row>
    <row r="146" spans="2:4" x14ac:dyDescent="0.35">
      <c r="B146" s="648" t="s">
        <v>615</v>
      </c>
      <c r="C146" s="543" t="s">
        <v>616</v>
      </c>
      <c r="D146" s="543" t="s">
        <v>156</v>
      </c>
    </row>
    <row r="147" spans="2:4" x14ac:dyDescent="0.35">
      <c r="B147" s="648" t="s">
        <v>1155</v>
      </c>
      <c r="C147" s="543" t="s">
        <v>595</v>
      </c>
      <c r="D147" s="543" t="s">
        <v>397</v>
      </c>
    </row>
    <row r="148" spans="2:4" x14ac:dyDescent="0.35">
      <c r="B148" s="648" t="s">
        <v>1156</v>
      </c>
      <c r="C148" s="543" t="s">
        <v>595</v>
      </c>
      <c r="D148" s="543" t="s">
        <v>397</v>
      </c>
    </row>
    <row r="149" spans="2:4" x14ac:dyDescent="0.35">
      <c r="B149" s="648" t="s">
        <v>1157</v>
      </c>
      <c r="C149" s="543" t="s">
        <v>600</v>
      </c>
      <c r="D149" s="543" t="s">
        <v>397</v>
      </c>
    </row>
    <row r="150" spans="2:4" x14ac:dyDescent="0.35">
      <c r="B150" s="648" t="s">
        <v>1158</v>
      </c>
      <c r="C150" s="543" t="s">
        <v>600</v>
      </c>
      <c r="D150" s="543" t="s">
        <v>397</v>
      </c>
    </row>
    <row r="151" spans="2:4" x14ac:dyDescent="0.35">
      <c r="B151" s="648" t="s">
        <v>1159</v>
      </c>
      <c r="C151" s="543" t="s">
        <v>600</v>
      </c>
      <c r="D151" s="543" t="s">
        <v>397</v>
      </c>
    </row>
    <row r="152" spans="2:4" x14ac:dyDescent="0.35">
      <c r="B152" s="648" t="s">
        <v>1160</v>
      </c>
      <c r="C152" s="543" t="s">
        <v>600</v>
      </c>
      <c r="D152" s="543" t="s">
        <v>397</v>
      </c>
    </row>
    <row r="153" spans="2:4" x14ac:dyDescent="0.35">
      <c r="B153" s="648" t="s">
        <v>1161</v>
      </c>
      <c r="C153" s="543" t="s">
        <v>636</v>
      </c>
      <c r="D153" s="543" t="s">
        <v>156</v>
      </c>
    </row>
    <row r="154" spans="2:4" x14ac:dyDescent="0.35"/>
    <row r="155" spans="2:4" x14ac:dyDescent="0.35"/>
    <row r="156" spans="2:4" x14ac:dyDescent="0.35"/>
    <row r="157" spans="2:4" x14ac:dyDescent="0.35"/>
    <row r="158" spans="2:4" x14ac:dyDescent="0.35">
      <c r="B158" s="306"/>
    </row>
    <row r="159" spans="2:4" x14ac:dyDescent="0.35">
      <c r="B159" s="306"/>
    </row>
    <row r="160" spans="2:4" x14ac:dyDescent="0.35">
      <c r="B160" s="306"/>
    </row>
    <row r="161" spans="2:2" x14ac:dyDescent="0.35">
      <c r="B161" s="306"/>
    </row>
    <row r="162" spans="2:2" x14ac:dyDescent="0.35">
      <c r="B162" s="306"/>
    </row>
    <row r="163" spans="2:2" x14ac:dyDescent="0.35">
      <c r="B163" s="306"/>
    </row>
    <row r="164" spans="2:2" hidden="1" x14ac:dyDescent="0.35">
      <c r="B164" s="306"/>
    </row>
    <row r="165" spans="2:2" hidden="1" x14ac:dyDescent="0.35">
      <c r="B165" s="306"/>
    </row>
    <row r="166" spans="2:2" hidden="1" x14ac:dyDescent="0.35">
      <c r="B166" s="306"/>
    </row>
    <row r="167" spans="2:2" hidden="1" x14ac:dyDescent="0.35">
      <c r="B167" s="306"/>
    </row>
    <row r="168" spans="2:2" hidden="1" x14ac:dyDescent="0.35">
      <c r="B168" s="306"/>
    </row>
    <row r="169" spans="2:2" hidden="1" x14ac:dyDescent="0.35">
      <c r="B169" s="306"/>
    </row>
    <row r="170" spans="2:2" hidden="1" x14ac:dyDescent="0.35">
      <c r="B170" s="306"/>
    </row>
    <row r="171" spans="2:2" hidden="1" x14ac:dyDescent="0.35">
      <c r="B171" s="306"/>
    </row>
    <row r="172" spans="2:2" hidden="1" x14ac:dyDescent="0.35">
      <c r="B172" s="306"/>
    </row>
    <row r="173" spans="2:2" hidden="1" x14ac:dyDescent="0.35">
      <c r="B173" s="306"/>
    </row>
    <row r="174" spans="2:2" hidden="1" x14ac:dyDescent="0.35">
      <c r="B174" s="306"/>
    </row>
    <row r="175" spans="2:2" hidden="1" x14ac:dyDescent="0.35">
      <c r="B175" s="306"/>
    </row>
    <row r="176" spans="2:2" hidden="1" x14ac:dyDescent="0.35">
      <c r="B176" s="306"/>
    </row>
    <row r="177" spans="2:2" hidden="1" x14ac:dyDescent="0.35">
      <c r="B177" s="306"/>
    </row>
    <row r="178" spans="2:2" hidden="1" x14ac:dyDescent="0.35">
      <c r="B178" s="306"/>
    </row>
    <row r="179" spans="2:2" hidden="1" x14ac:dyDescent="0.35">
      <c r="B179" s="306"/>
    </row>
    <row r="180" spans="2:2" hidden="1" x14ac:dyDescent="0.35">
      <c r="B180" s="306"/>
    </row>
    <row r="181" spans="2:2" hidden="1" x14ac:dyDescent="0.35">
      <c r="B181" s="306"/>
    </row>
    <row r="182" spans="2:2" hidden="1" x14ac:dyDescent="0.35">
      <c r="B182" s="306"/>
    </row>
    <row r="183" spans="2:2" hidden="1" x14ac:dyDescent="0.35">
      <c r="B183" s="306"/>
    </row>
    <row r="184" spans="2:2" hidden="1" x14ac:dyDescent="0.35">
      <c r="B184" s="306"/>
    </row>
    <row r="185" spans="2:2" hidden="1" x14ac:dyDescent="0.35">
      <c r="B185" s="306"/>
    </row>
    <row r="186" spans="2:2" hidden="1" x14ac:dyDescent="0.35">
      <c r="B186" s="306"/>
    </row>
    <row r="187" spans="2:2" hidden="1" x14ac:dyDescent="0.35">
      <c r="B187" s="306"/>
    </row>
    <row r="188" spans="2:2" hidden="1" x14ac:dyDescent="0.35">
      <c r="B188" s="306"/>
    </row>
    <row r="189" spans="2:2" hidden="1" x14ac:dyDescent="0.35">
      <c r="B189" s="306"/>
    </row>
    <row r="190" spans="2:2" hidden="1" x14ac:dyDescent="0.35">
      <c r="B190" s="306"/>
    </row>
    <row r="191" spans="2:2" hidden="1" x14ac:dyDescent="0.35">
      <c r="B191" s="306"/>
    </row>
    <row r="192" spans="2:2" hidden="1" x14ac:dyDescent="0.35">
      <c r="B192" s="306"/>
    </row>
    <row r="193" spans="2:2" hidden="1" x14ac:dyDescent="0.35">
      <c r="B193" s="306"/>
    </row>
    <row r="194" spans="2:2" hidden="1" x14ac:dyDescent="0.35">
      <c r="B194" s="306"/>
    </row>
    <row r="195" spans="2:2" hidden="1" x14ac:dyDescent="0.35">
      <c r="B195" s="306"/>
    </row>
    <row r="196" spans="2:2" hidden="1" x14ac:dyDescent="0.35">
      <c r="B196" s="306"/>
    </row>
    <row r="197" spans="2:2" hidden="1" x14ac:dyDescent="0.35">
      <c r="B197" s="306"/>
    </row>
    <row r="198" spans="2:2" hidden="1" x14ac:dyDescent="0.35">
      <c r="B198" s="306"/>
    </row>
    <row r="199" spans="2:2" hidden="1" x14ac:dyDescent="0.35">
      <c r="B199" s="306"/>
    </row>
    <row r="200" spans="2:2" hidden="1" x14ac:dyDescent="0.35">
      <c r="B200" s="306"/>
    </row>
    <row r="201" spans="2:2" hidden="1" x14ac:dyDescent="0.35">
      <c r="B201" s="306"/>
    </row>
    <row r="202" spans="2:2" hidden="1" x14ac:dyDescent="0.35">
      <c r="B202" s="306"/>
    </row>
    <row r="203" spans="2:2" hidden="1" x14ac:dyDescent="0.35">
      <c r="B203" s="306"/>
    </row>
    <row r="204" spans="2:2" hidden="1" x14ac:dyDescent="0.35">
      <c r="B204" s="306"/>
    </row>
    <row r="205" spans="2:2" hidden="1" x14ac:dyDescent="0.35">
      <c r="B205" s="306"/>
    </row>
    <row r="206" spans="2:2" hidden="1" x14ac:dyDescent="0.35">
      <c r="B206" s="306"/>
    </row>
    <row r="207" spans="2:2" hidden="1" x14ac:dyDescent="0.35">
      <c r="B207" s="306"/>
    </row>
    <row r="208" spans="2:2" hidden="1" x14ac:dyDescent="0.35">
      <c r="B208" s="306"/>
    </row>
    <row r="209" spans="2:2" hidden="1" x14ac:dyDescent="0.35">
      <c r="B209" s="306"/>
    </row>
    <row r="210" spans="2:2" hidden="1" x14ac:dyDescent="0.35">
      <c r="B210" s="306"/>
    </row>
    <row r="211" spans="2:2" hidden="1" x14ac:dyDescent="0.35">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defaultColWidth="9.1796875" defaultRowHeight="14.5" customHeight="1" zeroHeight="1" x14ac:dyDescent="0.35"/>
  <cols>
    <col min="1" max="3" width="2.1796875" style="9" customWidth="1"/>
    <col min="4" max="4" width="18.7265625" style="9" customWidth="1"/>
    <col min="5" max="8" width="9.1796875" style="9" customWidth="1"/>
    <col min="9" max="9" width="7" style="9" customWidth="1"/>
    <col min="10" max="12" width="9.1796875" style="9" customWidth="1"/>
    <col min="13" max="13" width="12.1796875" style="9" customWidth="1"/>
    <col min="14" max="14" width="5.7265625" style="9" customWidth="1"/>
    <col min="15" max="15" width="9.1796875" style="9" customWidth="1"/>
    <col min="16" max="16" width="34.54296875" style="9" customWidth="1"/>
    <col min="17" max="17" width="13.7265625" style="9" bestFit="1" customWidth="1"/>
    <col min="18" max="18" width="19.26953125" style="9" customWidth="1"/>
    <col min="19" max="20" width="9.1796875" style="9" customWidth="1"/>
    <col min="21" max="16384" width="9.1796875" style="9"/>
  </cols>
  <sheetData>
    <row r="1" spans="1:18" ht="15.75" customHeight="1" x14ac:dyDescent="0.7">
      <c r="B1" s="16"/>
      <c r="C1" s="16"/>
      <c r="E1" s="17"/>
      <c r="F1" s="712"/>
      <c r="G1" s="712"/>
      <c r="H1" s="712"/>
      <c r="I1" s="712"/>
      <c r="J1" s="712"/>
      <c r="K1" s="713"/>
      <c r="L1" s="713"/>
      <c r="M1" s="713"/>
      <c r="N1" s="713"/>
      <c r="O1" s="713"/>
    </row>
    <row r="2" spans="1:18" ht="15.75" customHeight="1" x14ac:dyDescent="0.7">
      <c r="B2" s="16"/>
      <c r="C2" s="16"/>
      <c r="E2" s="17"/>
    </row>
    <row r="3" spans="1:18" ht="15.75" customHeight="1" x14ac:dyDescent="0.7">
      <c r="A3" s="17"/>
      <c r="B3" s="17"/>
      <c r="C3" s="17"/>
      <c r="D3" s="17"/>
      <c r="E3" s="17"/>
      <c r="F3" s="18"/>
      <c r="G3" s="18"/>
      <c r="H3" s="18"/>
      <c r="I3" s="18"/>
      <c r="J3" s="18"/>
      <c r="K3" s="18"/>
      <c r="L3" s="18"/>
      <c r="M3" s="18"/>
      <c r="N3" s="18"/>
      <c r="O3" s="18"/>
      <c r="P3" s="18"/>
    </row>
    <row r="4" spans="1:18" ht="16.5" customHeight="1" x14ac:dyDescent="0.7">
      <c r="A4" s="17"/>
      <c r="B4" s="17"/>
      <c r="C4" s="17"/>
      <c r="D4" s="17"/>
      <c r="E4" s="17"/>
      <c r="F4" s="18"/>
      <c r="G4" s="18"/>
      <c r="H4" s="18"/>
      <c r="I4" s="18"/>
      <c r="J4" s="18"/>
      <c r="K4" s="18"/>
      <c r="L4" s="18"/>
      <c r="M4" s="18"/>
      <c r="N4" s="18"/>
      <c r="O4" s="18"/>
      <c r="P4" s="18"/>
    </row>
    <row r="5" spans="1:18" ht="16.5" customHeight="1" x14ac:dyDescent="0.7">
      <c r="A5" s="17"/>
      <c r="B5" s="17"/>
      <c r="C5" s="17"/>
      <c r="D5" s="17"/>
      <c r="E5" s="17"/>
      <c r="F5" s="19"/>
      <c r="G5" s="19"/>
      <c r="H5" s="19"/>
      <c r="I5" s="19"/>
      <c r="J5" s="19"/>
      <c r="K5" s="19"/>
      <c r="L5" s="19"/>
      <c r="M5" s="19"/>
      <c r="N5" s="19"/>
      <c r="O5" s="19"/>
      <c r="P5" s="19"/>
      <c r="Q5" s="19"/>
      <c r="R5" s="19"/>
    </row>
    <row r="6" spans="1:18" ht="16.5" customHeight="1" x14ac:dyDescent="0.7">
      <c r="B6" s="16"/>
      <c r="C6" s="16"/>
      <c r="D6" s="17"/>
      <c r="E6" s="17"/>
      <c r="F6" s="19"/>
      <c r="G6" s="19"/>
      <c r="H6" s="19"/>
      <c r="I6" s="19"/>
      <c r="J6" s="19"/>
      <c r="K6" s="19"/>
      <c r="L6" s="19"/>
      <c r="M6" s="19"/>
      <c r="N6" s="19"/>
      <c r="O6" s="19"/>
      <c r="P6" s="19"/>
      <c r="Q6" s="19"/>
      <c r="R6" s="19"/>
    </row>
    <row r="7" spans="1:18" ht="16.5" customHeight="1" x14ac:dyDescent="0.7">
      <c r="B7" s="16"/>
      <c r="C7" s="17"/>
      <c r="D7" s="17"/>
      <c r="E7" s="17"/>
      <c r="F7" s="19"/>
      <c r="G7" s="19"/>
      <c r="H7" s="19"/>
      <c r="I7" s="19"/>
      <c r="J7" s="19"/>
      <c r="K7" s="19"/>
      <c r="L7" s="19"/>
      <c r="M7" s="19"/>
      <c r="N7" s="19"/>
      <c r="O7" s="19"/>
      <c r="P7" s="19"/>
      <c r="Q7" s="19"/>
      <c r="R7" s="19"/>
    </row>
    <row r="8" spans="1:18" ht="16.5" customHeight="1" x14ac:dyDescent="0.7">
      <c r="B8" s="16"/>
      <c r="C8" s="16"/>
      <c r="D8" s="17"/>
      <c r="E8" s="17"/>
      <c r="F8" s="19"/>
      <c r="G8" s="19"/>
      <c r="H8" s="19"/>
      <c r="I8" s="19"/>
      <c r="J8" s="19"/>
      <c r="K8" s="19"/>
      <c r="L8" s="19"/>
      <c r="M8" s="19"/>
      <c r="N8" s="19"/>
      <c r="O8" s="19"/>
      <c r="P8" s="19"/>
      <c r="Q8" s="19"/>
      <c r="R8" s="19"/>
    </row>
    <row r="9" spans="1:18" ht="16.5" customHeight="1" x14ac:dyDescent="0.35">
      <c r="B9" s="16"/>
      <c r="C9" s="16"/>
      <c r="D9" s="20"/>
      <c r="E9" s="20"/>
      <c r="F9" s="19"/>
      <c r="G9" s="19"/>
      <c r="H9" s="19"/>
      <c r="I9" s="19"/>
      <c r="J9" s="19"/>
      <c r="K9" s="19"/>
      <c r="L9" s="19"/>
      <c r="M9" s="19"/>
      <c r="N9" s="19"/>
      <c r="O9" s="19"/>
      <c r="P9" s="19"/>
      <c r="Q9" s="19"/>
      <c r="R9" s="19"/>
    </row>
    <row r="10" spans="1:18" ht="30" customHeight="1" x14ac:dyDescent="0.5">
      <c r="B10" s="16"/>
      <c r="C10" s="16"/>
      <c r="D10" s="1084"/>
      <c r="E10" s="1084"/>
      <c r="F10" s="1084"/>
      <c r="G10" s="1084"/>
      <c r="H10" s="1084"/>
      <c r="I10" s="1084"/>
      <c r="J10" s="1084"/>
      <c r="K10" s="1084"/>
      <c r="L10" s="1084"/>
      <c r="M10" s="1084"/>
    </row>
    <row r="11" spans="1:18" ht="16.5" customHeight="1" x14ac:dyDescent="0.35">
      <c r="B11" s="16"/>
      <c r="C11" s="16"/>
    </row>
    <row r="12" spans="1:18" ht="16.5" customHeight="1" x14ac:dyDescent="0.35">
      <c r="B12" s="16"/>
      <c r="C12" s="16"/>
    </row>
    <row r="13" spans="1:18" ht="16.5" customHeight="1" x14ac:dyDescent="0.35">
      <c r="B13" s="16"/>
      <c r="C13" s="16"/>
    </row>
    <row r="14" spans="1:18" ht="16.5" customHeight="1" x14ac:dyDescent="0.35">
      <c r="B14" s="16"/>
      <c r="C14" s="16"/>
    </row>
    <row r="15" spans="1:18" ht="16.5" customHeight="1" x14ac:dyDescent="0.35">
      <c r="B15" s="16"/>
      <c r="C15" s="16"/>
    </row>
    <row r="16" spans="1:18" ht="16.5" customHeight="1" x14ac:dyDescent="0.35"/>
    <row r="17" ht="16.5" customHeight="1" x14ac:dyDescent="0.35"/>
    <row r="18" ht="16.5" customHeight="1" x14ac:dyDescent="0.35"/>
    <row r="19" ht="16.5" customHeight="1" x14ac:dyDescent="0.35"/>
    <row r="20" ht="16.5" customHeight="1" x14ac:dyDescent="0.35"/>
    <row r="21" ht="16.5" customHeight="1" x14ac:dyDescent="0.35"/>
    <row r="22" ht="16.5" customHeight="1" x14ac:dyDescent="0.35"/>
    <row r="23" ht="16.5" customHeight="1" x14ac:dyDescent="0.35"/>
    <row r="24" ht="16.5" customHeight="1" x14ac:dyDescent="0.35"/>
    <row r="25" ht="16.5" customHeight="1" x14ac:dyDescent="0.35"/>
    <row r="26" ht="16.5" customHeight="1"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796875" defaultRowHeight="14.5" x14ac:dyDescent="0.35"/>
  <cols>
    <col min="1" max="1" width="41.26953125" style="273" customWidth="1"/>
    <col min="2" max="2" width="56.453125" style="273" bestFit="1" customWidth="1"/>
    <col min="3" max="3" width="9.1796875" style="273"/>
    <col min="4" max="4" width="48.81640625" style="273" customWidth="1"/>
    <col min="5" max="16384" width="9.1796875" style="273"/>
  </cols>
  <sheetData>
    <row r="1" spans="1:4" s="274" customFormat="1" x14ac:dyDescent="0.35">
      <c r="A1" s="308" t="s">
        <v>1162</v>
      </c>
      <c r="B1" s="309" t="s">
        <v>1163</v>
      </c>
      <c r="D1" s="278" t="s">
        <v>1164</v>
      </c>
    </row>
    <row r="2" spans="1:4" x14ac:dyDescent="0.35">
      <c r="A2" s="658" t="s">
        <v>1165</v>
      </c>
      <c r="B2" s="659" t="s">
        <v>1166</v>
      </c>
      <c r="D2" s="658" t="str">
        <f>'G-1 All Habitats'!B3</f>
        <v>Cropland - Arable field margins cultivated annually</v>
      </c>
    </row>
    <row r="3" spans="1:4" x14ac:dyDescent="0.35">
      <c r="A3" s="658" t="s">
        <v>1167</v>
      </c>
      <c r="B3" s="659" t="s">
        <v>1168</v>
      </c>
      <c r="D3" s="658" t="str">
        <f>'G-1 All Habitats'!B4</f>
        <v>Cropland - Arable field margins game bird mix</v>
      </c>
    </row>
    <row r="4" spans="1:4" x14ac:dyDescent="0.35">
      <c r="A4" s="658" t="s">
        <v>1169</v>
      </c>
      <c r="B4" s="659" t="s">
        <v>1170</v>
      </c>
      <c r="D4" s="658" t="str">
        <f>'G-1 All Habitats'!B5</f>
        <v>Cropland - Arable field margins pollen &amp; nectar</v>
      </c>
    </row>
    <row r="5" spans="1:4" x14ac:dyDescent="0.35">
      <c r="A5" s="658" t="s">
        <v>1171</v>
      </c>
      <c r="B5" s="659" t="s">
        <v>1172</v>
      </c>
      <c r="D5" s="658" t="str">
        <f>'G-1 All Habitats'!B6</f>
        <v>Cropland - Arable field margins tussocky</v>
      </c>
    </row>
    <row r="6" spans="1:4" x14ac:dyDescent="0.35">
      <c r="A6" s="658" t="s">
        <v>1173</v>
      </c>
      <c r="B6" s="659" t="s">
        <v>1174</v>
      </c>
      <c r="D6" s="658" t="str">
        <f>'G-1 All Habitats'!B7</f>
        <v>Cropland - Cereal crops</v>
      </c>
    </row>
    <row r="7" spans="1:4" x14ac:dyDescent="0.35">
      <c r="A7" s="658" t="s">
        <v>1175</v>
      </c>
      <c r="B7" s="659" t="s">
        <v>1176</v>
      </c>
      <c r="D7" s="658" t="e">
        <f>'G-1 All Habitats'!#REF!</f>
        <v>#REF!</v>
      </c>
    </row>
    <row r="8" spans="1:4" x14ac:dyDescent="0.35">
      <c r="A8" s="658" t="s">
        <v>1177</v>
      </c>
      <c r="B8" s="659" t="s">
        <v>1178</v>
      </c>
      <c r="D8" s="658" t="str">
        <f>'G-1 All Habitats'!B8</f>
        <v>Cropland - Cereal crops winter stubble</v>
      </c>
    </row>
    <row r="9" spans="1:4" x14ac:dyDescent="0.35">
      <c r="A9" s="658" t="s">
        <v>1179</v>
      </c>
      <c r="B9" s="659" t="s">
        <v>1180</v>
      </c>
      <c r="D9" s="658" t="str">
        <f>'G-1 All Habitats'!B9</f>
        <v>Cropland - Horticulture</v>
      </c>
    </row>
    <row r="10" spans="1:4" x14ac:dyDescent="0.35">
      <c r="A10" s="658" t="s">
        <v>1181</v>
      </c>
      <c r="B10" s="659" t="s">
        <v>1182</v>
      </c>
      <c r="D10" s="658" t="str">
        <f>'G-1 All Habitats'!B10</f>
        <v>Cropland - Intensive orchards</v>
      </c>
    </row>
    <row r="11" spans="1:4" x14ac:dyDescent="0.35">
      <c r="A11" s="658" t="s">
        <v>1183</v>
      </c>
      <c r="B11" s="659" t="s">
        <v>1184</v>
      </c>
      <c r="D11" s="658" t="str">
        <f>'G-1 All Habitats'!B11</f>
        <v>Cropland - Non-cereal crops</v>
      </c>
    </row>
    <row r="12" spans="1:4" x14ac:dyDescent="0.35">
      <c r="A12" s="658" t="s">
        <v>1185</v>
      </c>
      <c r="B12" s="659" t="s">
        <v>1186</v>
      </c>
      <c r="D12" s="658" t="str">
        <f>'G-1 All Habitats'!B12</f>
        <v>Cropland - Temporary grass and clover leys</v>
      </c>
    </row>
    <row r="13" spans="1:4" x14ac:dyDescent="0.35">
      <c r="A13" s="658" t="s">
        <v>1187</v>
      </c>
      <c r="B13" s="659" t="s">
        <v>1188</v>
      </c>
      <c r="D13" s="658" t="str">
        <f>'G-1 All Habitats'!B13</f>
        <v>Grassland - Traditional orchards</v>
      </c>
    </row>
    <row r="14" spans="1:4" x14ac:dyDescent="0.35">
      <c r="A14" s="658" t="s">
        <v>1189</v>
      </c>
      <c r="B14" s="659" t="s">
        <v>1190</v>
      </c>
      <c r="D14" s="658" t="str">
        <f>'G-1 All Habitats'!B14</f>
        <v>Grassland - Bracken</v>
      </c>
    </row>
    <row r="15" spans="1:4" x14ac:dyDescent="0.35">
      <c r="A15" s="658" t="s">
        <v>1191</v>
      </c>
      <c r="B15" s="659" t="s">
        <v>1192</v>
      </c>
      <c r="D15" s="658" t="str">
        <f>'G-1 All Habitats'!B15</f>
        <v>Grassland - Floodplain Wetland Mosaic (CFGM)</v>
      </c>
    </row>
    <row r="16" spans="1:4" x14ac:dyDescent="0.35">
      <c r="A16" s="658" t="s">
        <v>1193</v>
      </c>
      <c r="B16" s="659" t="s">
        <v>1194</v>
      </c>
      <c r="D16" s="658" t="str">
        <f>'G-1 All Habitats'!B16</f>
        <v>Grassland - Lowland calcareous grassland</v>
      </c>
    </row>
    <row r="17" spans="1:4" x14ac:dyDescent="0.35">
      <c r="A17" s="658" t="s">
        <v>1195</v>
      </c>
      <c r="D17" s="658" t="str">
        <f>'G-1 All Habitats'!B17</f>
        <v>Grassland - Lowland dry acid grassland</v>
      </c>
    </row>
    <row r="18" spans="1:4" x14ac:dyDescent="0.35">
      <c r="A18" s="658" t="s">
        <v>1196</v>
      </c>
      <c r="D18" s="658" t="str">
        <f>'G-1 All Habitats'!B18</f>
        <v>Grassland - Lowland meadows</v>
      </c>
    </row>
    <row r="19" spans="1:4" x14ac:dyDescent="0.35">
      <c r="A19" s="658" t="s">
        <v>1197</v>
      </c>
      <c r="D19" s="658" t="str">
        <f>'G-1 All Habitats'!B19</f>
        <v>Grassland - Modified grassland</v>
      </c>
    </row>
    <row r="20" spans="1:4" x14ac:dyDescent="0.35">
      <c r="A20" s="658" t="s">
        <v>1198</v>
      </c>
      <c r="D20" s="658" t="str">
        <f>'G-1 All Habitats'!B20</f>
        <v>Grassland - Other lowland acid grassland</v>
      </c>
    </row>
    <row r="21" spans="1:4" x14ac:dyDescent="0.35">
      <c r="A21" s="658" t="s">
        <v>1199</v>
      </c>
      <c r="D21" s="658" t="str">
        <f>'G-1 All Habitats'!B21</f>
        <v>Grassland - Other neutral grassland</v>
      </c>
    </row>
    <row r="22" spans="1:4" x14ac:dyDescent="0.35">
      <c r="A22" s="658" t="s">
        <v>1200</v>
      </c>
      <c r="D22" s="658" t="str">
        <f>'G-1 All Habitats'!B22</f>
        <v>Grassland - Tall herb communities (H6430)</v>
      </c>
    </row>
    <row r="23" spans="1:4" x14ac:dyDescent="0.35">
      <c r="A23" s="658" t="s">
        <v>1201</v>
      </c>
      <c r="D23" s="658" t="str">
        <f>'G-1 All Habitats'!B23</f>
        <v>Grassland - Upland acid grassland</v>
      </c>
    </row>
    <row r="24" spans="1:4" x14ac:dyDescent="0.35">
      <c r="A24" s="658" t="s">
        <v>1202</v>
      </c>
      <c r="D24" s="658" t="str">
        <f>'G-1 All Habitats'!B24</f>
        <v>Grassland - Upland calcareous grassland</v>
      </c>
    </row>
    <row r="25" spans="1:4" x14ac:dyDescent="0.35">
      <c r="A25" s="658" t="s">
        <v>1203</v>
      </c>
      <c r="D25" s="658" t="str">
        <f>'G-1 All Habitats'!B25</f>
        <v>Grassland - Upland hay meadows</v>
      </c>
    </row>
    <row r="26" spans="1:4" x14ac:dyDescent="0.35">
      <c r="A26" s="658" t="s">
        <v>1204</v>
      </c>
      <c r="D26" s="658" t="str">
        <f>'G-1 All Habitats'!B26</f>
        <v>Heathland and shrub - Blackthorn scrub</v>
      </c>
    </row>
    <row r="27" spans="1:4" x14ac:dyDescent="0.35">
      <c r="A27" s="658" t="s">
        <v>1205</v>
      </c>
      <c r="D27" s="658" t="str">
        <f>'G-1 All Habitats'!B27</f>
        <v>Heathland and shrub - Bramble scrub</v>
      </c>
    </row>
    <row r="28" spans="1:4" x14ac:dyDescent="0.35">
      <c r="A28" s="658" t="s">
        <v>1206</v>
      </c>
      <c r="D28" s="658" t="str">
        <f>'G-1 All Habitats'!B28</f>
        <v>Heathland and shrub - Gorse scrub</v>
      </c>
    </row>
    <row r="29" spans="1:4" x14ac:dyDescent="0.35">
      <c r="A29" s="658" t="s">
        <v>1207</v>
      </c>
      <c r="D29" s="658" t="str">
        <f>'G-1 All Habitats'!B29</f>
        <v>Heathland and shrub - Hawthorn scrub</v>
      </c>
    </row>
    <row r="30" spans="1:4" x14ac:dyDescent="0.35">
      <c r="A30" s="658" t="s">
        <v>1208</v>
      </c>
      <c r="D30" s="658" t="str">
        <f>'G-1 All Habitats'!B30</f>
        <v>Heathland and shrub - Hazel scrub</v>
      </c>
    </row>
    <row r="31" spans="1:4" x14ac:dyDescent="0.35">
      <c r="A31" s="658" t="s">
        <v>1209</v>
      </c>
      <c r="D31" s="658" t="str">
        <f>'G-1 All Habitats'!B31</f>
        <v>Heathland and shrub - Lowland Heathland</v>
      </c>
    </row>
    <row r="32" spans="1:4" x14ac:dyDescent="0.35">
      <c r="A32" s="658" t="s">
        <v>1210</v>
      </c>
      <c r="D32" s="658" t="str">
        <f>'G-1 All Habitats'!B32</f>
        <v>Heathland and shrub - Mixed scrub</v>
      </c>
    </row>
    <row r="33" spans="1:4" x14ac:dyDescent="0.35">
      <c r="A33" s="658" t="s">
        <v>1211</v>
      </c>
      <c r="D33" s="658" t="str">
        <f>'G-1 All Habitats'!B33</f>
        <v>Heathland and shrub - Mountain heaths and willow scrub</v>
      </c>
    </row>
    <row r="34" spans="1:4" x14ac:dyDescent="0.35">
      <c r="A34" s="658" t="s">
        <v>1212</v>
      </c>
      <c r="D34" s="658" t="str">
        <f>'G-1 All Habitats'!B34</f>
        <v>Heathland and shrub - Rhododendron scrub</v>
      </c>
    </row>
    <row r="35" spans="1:4" x14ac:dyDescent="0.35">
      <c r="A35" s="658" t="s">
        <v>1213</v>
      </c>
      <c r="D35" s="658" t="str">
        <f>'G-1 All Habitats'!B35</f>
        <v>Heathland and shrub - Sea buckthorn scrub (Annex 1)</v>
      </c>
    </row>
    <row r="36" spans="1:4" x14ac:dyDescent="0.35">
      <c r="A36" s="658" t="s">
        <v>1214</v>
      </c>
      <c r="D36" s="658" t="str">
        <f>'G-1 All Habitats'!B36</f>
        <v>Heathland and shrub - Sea buckthorn scrub (other)</v>
      </c>
    </row>
    <row r="37" spans="1:4" x14ac:dyDescent="0.35">
      <c r="A37" s="658" t="s">
        <v>1215</v>
      </c>
      <c r="D37" s="658" t="str">
        <f>'G-1 All Habitats'!B37</f>
        <v>Heathland and shrub - Upland Heathland</v>
      </c>
    </row>
    <row r="38" spans="1:4" x14ac:dyDescent="0.35">
      <c r="A38" s="658" t="s">
        <v>1216</v>
      </c>
      <c r="D38" s="658" t="str">
        <f>'G-1 All Habitats'!B38</f>
        <v>Lakes - Aquifer fed naturally fluctuating water bodies</v>
      </c>
    </row>
    <row r="39" spans="1:4" x14ac:dyDescent="0.35">
      <c r="A39" s="658" t="s">
        <v>1217</v>
      </c>
      <c r="D39" s="658" t="e">
        <f>'G-1 All Habitats'!#REF!</f>
        <v>#REF!</v>
      </c>
    </row>
    <row r="40" spans="1:4" x14ac:dyDescent="0.35">
      <c r="A40" s="658" t="s">
        <v>1218</v>
      </c>
      <c r="D40" s="658" t="str">
        <f>'G-1 All Habitats'!B40</f>
        <v>Lakes - High alkalinity lakes</v>
      </c>
    </row>
    <row r="41" spans="1:4" x14ac:dyDescent="0.35">
      <c r="A41" s="658" t="s">
        <v>1219</v>
      </c>
      <c r="D41" s="658" t="str">
        <f>'G-1 All Habitats'!B41</f>
        <v>Lakes - Low alkalinity lakes</v>
      </c>
    </row>
    <row r="42" spans="1:4" x14ac:dyDescent="0.35">
      <c r="A42" s="658" t="s">
        <v>1220</v>
      </c>
      <c r="D42" s="658" t="str">
        <f>'G-1 All Habitats'!B42</f>
        <v>Lakes - Marl Lakes</v>
      </c>
    </row>
    <row r="43" spans="1:4" x14ac:dyDescent="0.35">
      <c r="A43" s="658" t="s">
        <v>1221</v>
      </c>
      <c r="D43" s="658" t="str">
        <f>'G-1 All Habitats'!B43</f>
        <v>Lakes - Moderate alkalinity lakes</v>
      </c>
    </row>
    <row r="44" spans="1:4" x14ac:dyDescent="0.35">
      <c r="A44" s="658" t="s">
        <v>1222</v>
      </c>
      <c r="D44" s="658" t="str">
        <f>'G-1 All Habitats'!B44</f>
        <v>Lakes - Peat Lakes</v>
      </c>
    </row>
    <row r="45" spans="1:4" x14ac:dyDescent="0.35">
      <c r="A45" s="658" t="s">
        <v>1223</v>
      </c>
      <c r="D45" s="658" t="str">
        <f>'G-1 All Habitats'!B45</f>
        <v>Lakes - Ponds (Priority Habitat)</v>
      </c>
    </row>
    <row r="46" spans="1:4" x14ac:dyDescent="0.35">
      <c r="A46" s="658" t="s">
        <v>1224</v>
      </c>
      <c r="D46" s="658" t="str">
        <f>'G-1 All Habitats'!B46</f>
        <v>Lakes - Ponds (Non- Priority Habitat)</v>
      </c>
    </row>
    <row r="47" spans="1:4" x14ac:dyDescent="0.35">
      <c r="A47" s="658" t="s">
        <v>1225</v>
      </c>
      <c r="D47" s="658" t="str">
        <f>'G-1 All Habitats'!B47</f>
        <v>Lakes - Reservoirs</v>
      </c>
    </row>
    <row r="48" spans="1:4" x14ac:dyDescent="0.35">
      <c r="A48" s="658" t="s">
        <v>1226</v>
      </c>
      <c r="D48" s="658" t="str">
        <f>'G-1 All Habitats'!B48</f>
        <v>Lakes - Temporary lakes, ponds and pools</v>
      </c>
    </row>
    <row r="49" spans="1:4" x14ac:dyDescent="0.35">
      <c r="A49" s="658" t="s">
        <v>1227</v>
      </c>
      <c r="D49" s="658" t="str">
        <f>'G-1 All Habitats'!B49</f>
        <v>Sparsely vegetated land - Calaminarian grasslands</v>
      </c>
    </row>
    <row r="50" spans="1:4" x14ac:dyDescent="0.35">
      <c r="A50" s="658" t="s">
        <v>1228</v>
      </c>
      <c r="D50" s="658" t="str">
        <f>'G-1 All Habitats'!B50</f>
        <v>Sparsely vegetated land - Coastal sand dunes</v>
      </c>
    </row>
    <row r="51" spans="1:4" x14ac:dyDescent="0.35">
      <c r="A51" s="658" t="s">
        <v>1229</v>
      </c>
      <c r="D51" s="658" t="str">
        <f>'G-1 All Habitats'!B51</f>
        <v>Sparsely vegetated land - Coastal vegetated shingle</v>
      </c>
    </row>
    <row r="52" spans="1:4" x14ac:dyDescent="0.35">
      <c r="A52" s="658" t="s">
        <v>1230</v>
      </c>
      <c r="D52" s="658" t="str">
        <f>'G-1 All Habitats'!B52</f>
        <v>Sparsely vegetated land - Ruderal/Ephemeral</v>
      </c>
    </row>
    <row r="53" spans="1:4" x14ac:dyDescent="0.35">
      <c r="A53" s="658" t="s">
        <v>1231</v>
      </c>
      <c r="D53" s="658" t="str">
        <f>'G-1 All Habitats'!B53</f>
        <v>Sparsely vegetated land - Inland rock outcrop and scree habitats</v>
      </c>
    </row>
    <row r="54" spans="1:4" x14ac:dyDescent="0.35">
      <c r="A54" s="658" t="s">
        <v>1232</v>
      </c>
      <c r="D54" s="658" t="str">
        <f>'G-1 All Habitats'!B54</f>
        <v>Sparsely vegetated land - Limestone pavement</v>
      </c>
    </row>
    <row r="55" spans="1:4" x14ac:dyDescent="0.35">
      <c r="A55" s="658" t="s">
        <v>1233</v>
      </c>
      <c r="D55" s="658" t="str">
        <f>'G-1 All Habitats'!B55</f>
        <v>Sparsely vegetated land - Maritime cliff and slopes</v>
      </c>
    </row>
    <row r="56" spans="1:4" x14ac:dyDescent="0.35">
      <c r="A56" s="658" t="s">
        <v>1234</v>
      </c>
      <c r="D56" s="658" t="str">
        <f>'G-1 All Habitats'!B56</f>
        <v>Sparsely vegetated land - Other inland rock and scree</v>
      </c>
    </row>
    <row r="57" spans="1:4" x14ac:dyDescent="0.35">
      <c r="A57" s="658" t="s">
        <v>1235</v>
      </c>
      <c r="D57" s="658" t="str">
        <f>'G-1 All Habitats'!B57</f>
        <v>Urban - Allotments</v>
      </c>
    </row>
    <row r="58" spans="1:4" x14ac:dyDescent="0.35">
      <c r="A58" s="658" t="s">
        <v>1236</v>
      </c>
      <c r="D58" s="658" t="str">
        <f>'G-1 All Habitats'!B39</f>
        <v>Lakes - Ornamental lake or pond</v>
      </c>
    </row>
    <row r="59" spans="1:4" x14ac:dyDescent="0.35">
      <c r="A59" s="658" t="s">
        <v>1237</v>
      </c>
      <c r="D59" s="658" t="str">
        <f>'G-1 All Habitats'!B58</f>
        <v>Urban - Artificial unvegetated, unsealed surface</v>
      </c>
    </row>
    <row r="60" spans="1:4" x14ac:dyDescent="0.35">
      <c r="A60" s="658" t="s">
        <v>1238</v>
      </c>
      <c r="D60" s="658" t="str">
        <f>'G-1 All Habitats'!B59</f>
        <v>Urban - Bioswale</v>
      </c>
    </row>
    <row r="61" spans="1:4" x14ac:dyDescent="0.35">
      <c r="A61" s="658" t="s">
        <v>1239</v>
      </c>
      <c r="D61" s="658" t="str">
        <f>'G-1 All Habitats'!B60</f>
        <v>Urban - Intensive green roof</v>
      </c>
    </row>
    <row r="62" spans="1:4" x14ac:dyDescent="0.35">
      <c r="A62" s="658" t="s">
        <v>1240</v>
      </c>
      <c r="D62" s="658" t="str">
        <f>'G-1 All Habitats'!B61</f>
        <v>Urban - Built linear features</v>
      </c>
    </row>
    <row r="63" spans="1:4" x14ac:dyDescent="0.35">
      <c r="A63" s="658" t="s">
        <v>1241</v>
      </c>
      <c r="D63" s="658" t="str">
        <f>'G-1 All Habitats'!B62</f>
        <v>Urban - Cemeteries and churchyards</v>
      </c>
    </row>
    <row r="64" spans="1:4" x14ac:dyDescent="0.35">
      <c r="A64" s="658" t="s">
        <v>1242</v>
      </c>
      <c r="D64" s="658" t="str">
        <f>'G-1 All Habitats'!B63</f>
        <v>Urban - Developed land; sealed surface</v>
      </c>
    </row>
    <row r="65" spans="1:4" x14ac:dyDescent="0.35">
      <c r="A65" s="658" t="s">
        <v>1243</v>
      </c>
      <c r="D65" s="658" t="str">
        <f>'G-1 All Habitats'!B64</f>
        <v>Urban - Other green roof</v>
      </c>
    </row>
    <row r="66" spans="1:4" x14ac:dyDescent="0.35">
      <c r="A66" s="658" t="s">
        <v>1244</v>
      </c>
      <c r="D66" s="658" t="str">
        <f>'G-1 All Habitats'!B65</f>
        <v>Urban - Facade-bound green wall</v>
      </c>
    </row>
    <row r="67" spans="1:4" x14ac:dyDescent="0.35">
      <c r="A67" s="658" t="s">
        <v>1245</v>
      </c>
      <c r="D67" s="658" t="str">
        <f>'G-1 All Habitats'!B66</f>
        <v>Urban - Ground based green wall</v>
      </c>
    </row>
    <row r="68" spans="1:4" x14ac:dyDescent="0.35">
      <c r="A68" s="658" t="s">
        <v>1246</v>
      </c>
      <c r="D68" s="658" t="str">
        <f>'G-1 All Habitats'!B67</f>
        <v>Urban - Ground level planters</v>
      </c>
    </row>
    <row r="69" spans="1:4" x14ac:dyDescent="0.35">
      <c r="A69" s="658" t="s">
        <v>1247</v>
      </c>
      <c r="D69" s="658" t="str">
        <f>'G-1 All Habitats'!B68</f>
        <v>Urban - Biodiverse green roof</v>
      </c>
    </row>
    <row r="70" spans="1:4" x14ac:dyDescent="0.35">
      <c r="A70" s="658" t="s">
        <v>1248</v>
      </c>
      <c r="D70" s="658" t="str">
        <f>'G-1 All Habitats'!B69</f>
        <v>Urban - Introduced shrub</v>
      </c>
    </row>
    <row r="71" spans="1:4" x14ac:dyDescent="0.35">
      <c r="A71" s="658" t="s">
        <v>1249</v>
      </c>
      <c r="D71" s="658" t="e">
        <f>'G-1 All Habitats'!#REF!</f>
        <v>#REF!</v>
      </c>
    </row>
    <row r="72" spans="1:4" x14ac:dyDescent="0.35">
      <c r="A72" s="658" t="s">
        <v>1250</v>
      </c>
      <c r="D72" s="658" t="str">
        <f>'G-1 All Habitats'!B70</f>
        <v>Urban - Open Mosaic Habitats on Previously Developed Land</v>
      </c>
    </row>
    <row r="73" spans="1:4" x14ac:dyDescent="0.35">
      <c r="A73" s="658" t="s">
        <v>1251</v>
      </c>
      <c r="D73" s="658" t="e">
        <f>'G-1 All Habitats'!#REF!</f>
        <v>#REF!</v>
      </c>
    </row>
    <row r="74" spans="1:4" x14ac:dyDescent="0.35">
      <c r="A74" s="658" t="s">
        <v>1252</v>
      </c>
      <c r="D74" s="658" t="str">
        <f>'G-1 All Habitats'!B71</f>
        <v>Urban - Rain garden</v>
      </c>
    </row>
    <row r="75" spans="1:4" x14ac:dyDescent="0.35">
      <c r="A75" s="658" t="s">
        <v>1253</v>
      </c>
      <c r="D75" s="658" t="str">
        <f>'G-1 All Habitats'!B72</f>
        <v>Urban - Actively worked sand pit quarry or open cast mine</v>
      </c>
    </row>
    <row r="76" spans="1:4" x14ac:dyDescent="0.35">
      <c r="A76" s="658" t="s">
        <v>1254</v>
      </c>
      <c r="D76" s="658" t="str">
        <f>'G-1 All Habitats'!B73</f>
        <v>Urban - Urban Tree</v>
      </c>
    </row>
    <row r="77" spans="1:4" x14ac:dyDescent="0.35">
      <c r="A77" s="658" t="s">
        <v>1255</v>
      </c>
      <c r="D77" s="658" t="e">
        <f>'G-1 All Habitats'!#REF!</f>
        <v>#REF!</v>
      </c>
    </row>
    <row r="78" spans="1:4" x14ac:dyDescent="0.35">
      <c r="A78" s="658" t="s">
        <v>1256</v>
      </c>
      <c r="D78" s="658" t="str">
        <f>'G-1 All Habitats'!B74</f>
        <v>Urban - Sustainable urban drainage feature</v>
      </c>
    </row>
    <row r="79" spans="1:4" x14ac:dyDescent="0.35">
      <c r="A79" s="658" t="s">
        <v>1257</v>
      </c>
      <c r="D79" s="658" t="str">
        <f>'G-1 All Habitats'!B75</f>
        <v>Urban - Un-vegetated garden</v>
      </c>
    </row>
    <row r="80" spans="1:4" x14ac:dyDescent="0.35">
      <c r="A80" s="658" t="s">
        <v>1258</v>
      </c>
      <c r="D80" s="658" t="str">
        <f>'G-1 All Habitats'!B76</f>
        <v>Urban - Vacant/derelict land/ bareground</v>
      </c>
    </row>
    <row r="81" spans="1:4" x14ac:dyDescent="0.35">
      <c r="A81" s="658" t="s">
        <v>1259</v>
      </c>
      <c r="D81" s="658" t="str">
        <f>'G-1 All Habitats'!B77</f>
        <v>Urban - Vegetated garden</v>
      </c>
    </row>
    <row r="82" spans="1:4" x14ac:dyDescent="0.35">
      <c r="A82" s="658" t="s">
        <v>1260</v>
      </c>
      <c r="D82" s="658" t="e">
        <f>'G-1 All Habitats'!#REF!</f>
        <v>#REF!</v>
      </c>
    </row>
    <row r="83" spans="1:4" x14ac:dyDescent="0.35">
      <c r="A83" s="658" t="s">
        <v>1261</v>
      </c>
      <c r="D83" s="658" t="str">
        <f>'G-1 All Habitats'!B78</f>
        <v>Wetland - Blanket bog</v>
      </c>
    </row>
    <row r="84" spans="1:4" x14ac:dyDescent="0.35">
      <c r="A84" s="658" t="s">
        <v>1262</v>
      </c>
      <c r="D84" s="658" t="str">
        <f>'G-1 All Habitats'!B79</f>
        <v>Wetland - Depressions on Peat substrates (H7150)</v>
      </c>
    </row>
    <row r="85" spans="1:4" x14ac:dyDescent="0.35">
      <c r="A85" s="658" t="s">
        <v>1263</v>
      </c>
      <c r="D85" s="658" t="str">
        <f>'G-1 All Habitats'!B80</f>
        <v>Wetland - Fens (upland and lowland)</v>
      </c>
    </row>
    <row r="86" spans="1:4" x14ac:dyDescent="0.35">
      <c r="A86" s="658" t="s">
        <v>1264</v>
      </c>
      <c r="D86" s="658" t="str">
        <f>'G-1 All Habitats'!B81</f>
        <v>Wetland - Lowland raised bog</v>
      </c>
    </row>
    <row r="87" spans="1:4" x14ac:dyDescent="0.35">
      <c r="A87" s="658" t="s">
        <v>1265</v>
      </c>
      <c r="D87" s="658" t="str">
        <f>'G-1 All Habitats'!B82</f>
        <v>Wetland - Oceanic Valley Mire[1] (D2.1)</v>
      </c>
    </row>
    <row r="88" spans="1:4" x14ac:dyDescent="0.35">
      <c r="A88" s="658" t="s">
        <v>1266</v>
      </c>
      <c r="D88" s="658" t="str">
        <f>'G-1 All Habitats'!B83</f>
        <v>Wetland - Purple moor grass and rush pastures</v>
      </c>
    </row>
    <row r="89" spans="1:4" x14ac:dyDescent="0.35">
      <c r="A89" s="658" t="s">
        <v>1267</v>
      </c>
      <c r="D89" s="658" t="str">
        <f>'G-1 All Habitats'!B84</f>
        <v>Wetland - Reedbeds</v>
      </c>
    </row>
    <row r="90" spans="1:4" x14ac:dyDescent="0.35">
      <c r="A90" s="658" t="s">
        <v>1268</v>
      </c>
      <c r="D90" s="658" t="str">
        <f>'G-1 All Habitats'!B85</f>
        <v>Wetland - Transition mires and quaking bogs (H7140)</v>
      </c>
    </row>
    <row r="91" spans="1:4" x14ac:dyDescent="0.35">
      <c r="A91" s="658" t="s">
        <v>1269</v>
      </c>
      <c r="D91" s="658" t="str">
        <f>'G-1 All Habitats'!B86</f>
        <v>Woodland and forest - Felled</v>
      </c>
    </row>
    <row r="92" spans="1:4" x14ac:dyDescent="0.35">
      <c r="A92" s="658" t="s">
        <v>1270</v>
      </c>
      <c r="D92" s="658" t="str">
        <f>'G-1 All Habitats'!B87</f>
        <v>Woodland and forest - Lowland beech and yew woodland</v>
      </c>
    </row>
    <row r="93" spans="1:4" x14ac:dyDescent="0.35">
      <c r="A93" s="658" t="s">
        <v>1271</v>
      </c>
      <c r="D93" s="658" t="str">
        <f>'G-1 All Habitats'!B88</f>
        <v>Woodland and forest - Lowland mixed deciduous woodland</v>
      </c>
    </row>
    <row r="94" spans="1:4" x14ac:dyDescent="0.35">
      <c r="A94" s="658" t="s">
        <v>1272</v>
      </c>
      <c r="D94" s="658" t="str">
        <f>'G-1 All Habitats'!B89</f>
        <v>Woodland and forest - Native pine woodlands</v>
      </c>
    </row>
    <row r="95" spans="1:4" x14ac:dyDescent="0.35">
      <c r="A95" s="658" t="s">
        <v>1273</v>
      </c>
      <c r="D95" s="658" t="str">
        <f>'G-1 All Habitats'!B90</f>
        <v>Woodland and forest - Other coniferous woodland</v>
      </c>
    </row>
    <row r="96" spans="1:4" x14ac:dyDescent="0.35">
      <c r="A96" s="658" t="s">
        <v>1274</v>
      </c>
      <c r="D96" s="658" t="str">
        <f>'G-1 All Habitats'!B91</f>
        <v>Woodland and forest - Other Scot's Pine woodland</v>
      </c>
    </row>
    <row r="97" spans="1:4" x14ac:dyDescent="0.35">
      <c r="A97" s="658" t="s">
        <v>1275</v>
      </c>
      <c r="D97" s="658" t="str">
        <f>'G-1 All Habitats'!B92</f>
        <v>Woodland and forest - Other woodland; broadleaved</v>
      </c>
    </row>
    <row r="98" spans="1:4" x14ac:dyDescent="0.35">
      <c r="A98" s="658" t="s">
        <v>1276</v>
      </c>
      <c r="D98" s="658" t="str">
        <f>'G-1 All Habitats'!B93</f>
        <v>Woodland and forest - Other woodland; mixed</v>
      </c>
    </row>
    <row r="99" spans="1:4" x14ac:dyDescent="0.35">
      <c r="A99" s="658" t="s">
        <v>1277</v>
      </c>
      <c r="D99" s="658" t="e">
        <f>'G-1 All Habitats'!#REF!</f>
        <v>#REF!</v>
      </c>
    </row>
    <row r="100" spans="1:4" x14ac:dyDescent="0.35">
      <c r="A100" s="658" t="s">
        <v>1278</v>
      </c>
      <c r="D100" s="658" t="str">
        <f>'G-1 All Habitats'!B94</f>
        <v>Woodland and forest - Upland birchwoods</v>
      </c>
    </row>
    <row r="101" spans="1:4" x14ac:dyDescent="0.35">
      <c r="A101" s="658" t="s">
        <v>1279</v>
      </c>
      <c r="D101" s="658" t="str">
        <f>'G-1 All Habitats'!B95</f>
        <v>Woodland and forest - Upland mixed ashwoods</v>
      </c>
    </row>
    <row r="102" spans="1:4" x14ac:dyDescent="0.35">
      <c r="A102" s="658" t="s">
        <v>1280</v>
      </c>
      <c r="D102" s="658" t="str">
        <f>'G-1 All Habitats'!B96</f>
        <v>Woodland and forest - Upland oakwood</v>
      </c>
    </row>
    <row r="103" spans="1:4" x14ac:dyDescent="0.35">
      <c r="A103" s="658" t="s">
        <v>1281</v>
      </c>
      <c r="D103" s="658" t="str">
        <f>'G-1 All Habitats'!B97</f>
        <v>Woodland and forest - Wet woodland</v>
      </c>
    </row>
    <row r="104" spans="1:4" x14ac:dyDescent="0.35">
      <c r="A104" s="658" t="s">
        <v>1282</v>
      </c>
      <c r="D104" s="658" t="str">
        <f>'G-1 All Habitats'!B98</f>
        <v>Woodland and forest - Wood-pasture and parkland</v>
      </c>
    </row>
    <row r="105" spans="1:4" x14ac:dyDescent="0.35">
      <c r="A105" s="658" t="s">
        <v>1283</v>
      </c>
      <c r="D105" s="658" t="str">
        <f>'G-1 All Habitats'!B99</f>
        <v>Coastal lagoons - Coastal lagoons</v>
      </c>
    </row>
    <row r="106" spans="1:4" x14ac:dyDescent="0.35">
      <c r="A106" s="658" t="s">
        <v>1284</v>
      </c>
      <c r="D106" s="658" t="str">
        <f>'G-1 All Habitats'!B100</f>
        <v>Rocky shore - High energy littoral rock</v>
      </c>
    </row>
    <row r="107" spans="1:4" x14ac:dyDescent="0.35">
      <c r="A107" s="658" t="s">
        <v>1285</v>
      </c>
      <c r="D107" s="658" t="str">
        <f>'G-1 All Habitats'!B101</f>
        <v>Rocky shore - High energy littoral rock - on peat, clay or chalk</v>
      </c>
    </row>
    <row r="108" spans="1:4" x14ac:dyDescent="0.35">
      <c r="A108" s="658" t="s">
        <v>1286</v>
      </c>
      <c r="D108" s="658" t="str">
        <f>'G-1 All Habitats'!B102</f>
        <v>Rocky shore - Moderate energy littoral rock</v>
      </c>
    </row>
    <row r="109" spans="1:4" x14ac:dyDescent="0.35">
      <c r="A109" s="658" t="s">
        <v>1287</v>
      </c>
      <c r="D109" s="658" t="str">
        <f>'G-1 All Habitats'!B103</f>
        <v>Rocky shore - Moderate energy littoral rock - on peat, clay or chalk</v>
      </c>
    </row>
    <row r="110" spans="1:4" x14ac:dyDescent="0.35">
      <c r="A110" s="658" t="s">
        <v>1288</v>
      </c>
      <c r="D110" s="658" t="str">
        <f>'G-1 All Habitats'!B104</f>
        <v>Rocky shore - Low energy littoral rock</v>
      </c>
    </row>
    <row r="111" spans="1:4" x14ac:dyDescent="0.35">
      <c r="A111" s="658" t="s">
        <v>1289</v>
      </c>
      <c r="D111" s="658" t="str">
        <f>'G-1 All Habitats'!B105</f>
        <v>Rocky shore - Low energy littoral rock - on peat, clay or chalk</v>
      </c>
    </row>
    <row r="112" spans="1:4" x14ac:dyDescent="0.35">
      <c r="A112" s="658" t="s">
        <v>1290</v>
      </c>
      <c r="D112" s="658" t="str">
        <f>'G-1 All Habitats'!B106</f>
        <v>Rocky shore - Features of littoral rock</v>
      </c>
    </row>
    <row r="113" spans="1:4" x14ac:dyDescent="0.35">
      <c r="A113" s="658" t="s">
        <v>1291</v>
      </c>
      <c r="D113" s="658" t="str">
        <f>'G-1 All Habitats'!B107</f>
        <v>Rocky shore - Features of littoral rock - on peat, clay or chalk</v>
      </c>
    </row>
    <row r="114" spans="1:4" x14ac:dyDescent="0.35">
      <c r="A114" s="658" t="s">
        <v>1292</v>
      </c>
      <c r="D114" s="658" t="e">
        <f>'G-1 All Habitats'!#REF!</f>
        <v>#REF!</v>
      </c>
    </row>
    <row r="115" spans="1:4" x14ac:dyDescent="0.35">
      <c r="A115" s="658" t="s">
        <v>1293</v>
      </c>
      <c r="D115" s="658" t="e">
        <f>'G-1 All Habitats'!#REF!</f>
        <v>#REF!</v>
      </c>
    </row>
    <row r="116" spans="1:4" x14ac:dyDescent="0.35">
      <c r="A116" s="658" t="s">
        <v>1294</v>
      </c>
      <c r="D116" s="658" t="e">
        <f>'G-1 All Habitats'!#REF!</f>
        <v>#REF!</v>
      </c>
    </row>
    <row r="117" spans="1:4" x14ac:dyDescent="0.35">
      <c r="A117" s="658" t="s">
        <v>1295</v>
      </c>
      <c r="D117" s="658" t="e">
        <f>'G-1 All Habitats'!#REF!</f>
        <v>#REF!</v>
      </c>
    </row>
    <row r="118" spans="1:4" x14ac:dyDescent="0.35">
      <c r="A118" s="658" t="s">
        <v>1296</v>
      </c>
      <c r="D118" s="658" t="str">
        <f>'G-1 All Habitats'!B110</f>
        <v>Intertidal sediment - Littoral coarse sediment</v>
      </c>
    </row>
    <row r="119" spans="1:4" x14ac:dyDescent="0.35">
      <c r="A119" s="658" t="s">
        <v>1297</v>
      </c>
      <c r="D119" s="658" t="e">
        <f>'G-1 All Habitats'!#REF!</f>
        <v>#REF!</v>
      </c>
    </row>
    <row r="120" spans="1:4" x14ac:dyDescent="0.35">
      <c r="A120" s="658" t="s">
        <v>1298</v>
      </c>
      <c r="D120" s="658" t="str">
        <f>'G-1 All Habitats'!B111</f>
        <v>Intertidal sediment - Littoral mud</v>
      </c>
    </row>
    <row r="121" spans="1:4" x14ac:dyDescent="0.35">
      <c r="A121" s="658" t="s">
        <v>1299</v>
      </c>
      <c r="D121" s="658" t="str">
        <f>'G-1 All Habitats'!B112</f>
        <v>Intertidal sediment - Littoral mixed sediments</v>
      </c>
    </row>
    <row r="122" spans="1:4" x14ac:dyDescent="0.35">
      <c r="A122" s="658" t="s">
        <v>1300</v>
      </c>
      <c r="D122" s="658" t="str">
        <f>'G-1 All Habitats'!B108</f>
        <v>Coastal saltmarsh - Saltmarshes and saline reedbeds</v>
      </c>
    </row>
    <row r="123" spans="1:4" x14ac:dyDescent="0.35">
      <c r="A123" s="658" t="s">
        <v>1301</v>
      </c>
      <c r="D123" s="658" t="str">
        <f>'G-1 All Habitats'!B113</f>
        <v>Intertidal sediment - Littoral seagrass</v>
      </c>
    </row>
    <row r="124" spans="1:4" x14ac:dyDescent="0.35">
      <c r="A124" s="658" t="s">
        <v>1302</v>
      </c>
      <c r="D124" s="658" t="str">
        <f>'G-1 All Habitats'!B114</f>
        <v>Intertidal sediment - Littoral seagrass on peat, clay or chalk</v>
      </c>
    </row>
    <row r="125" spans="1:4" x14ac:dyDescent="0.35">
      <c r="A125" s="658" t="s">
        <v>1303</v>
      </c>
      <c r="D125" s="658" t="str">
        <f>'G-1 All Habitats'!B116</f>
        <v>Intertidal sediment - Littoral biogenic reefs - Sabellaria</v>
      </c>
    </row>
    <row r="126" spans="1:4" x14ac:dyDescent="0.35">
      <c r="A126" s="658" t="s">
        <v>1304</v>
      </c>
      <c r="D126" s="658" t="e">
        <f>'G-1 All Habitats'!#REF!</f>
        <v>#REF!</v>
      </c>
    </row>
    <row r="127" spans="1:4" x14ac:dyDescent="0.35">
      <c r="A127" s="658" t="s">
        <v>1305</v>
      </c>
      <c r="D127" s="658" t="str">
        <f>'G-1 All Habitats'!B117</f>
        <v>Intertidal sediment - Features of littoral sediment</v>
      </c>
    </row>
    <row r="128" spans="1:4" x14ac:dyDescent="0.35">
      <c r="A128" s="658" t="s">
        <v>1306</v>
      </c>
      <c r="D128" s="658" t="str">
        <f>'G-1 All Habitats'!B118</f>
        <v>Intertidal sediment - Artificial littoral coarse sediment</v>
      </c>
    </row>
    <row r="129" spans="1:4" x14ac:dyDescent="0.35">
      <c r="A129" s="658" t="s">
        <v>1307</v>
      </c>
      <c r="D129" s="658" t="e">
        <f>'G-1 All Habitats'!#REF!</f>
        <v>#REF!</v>
      </c>
    </row>
    <row r="130" spans="1:4" x14ac:dyDescent="0.35">
      <c r="A130" s="658" t="s">
        <v>1308</v>
      </c>
      <c r="D130" s="658" t="str">
        <f>'G-1 All Habitats'!B121</f>
        <v>Intertidal sediment - Artificial littoral muddy sand</v>
      </c>
    </row>
    <row r="131" spans="1:4" x14ac:dyDescent="0.35">
      <c r="A131" s="658" t="s">
        <v>1309</v>
      </c>
      <c r="D131" s="658" t="str">
        <f>'G-1 All Habitats'!B122</f>
        <v>Intertidal sediment - Artificial littoral mixed sediments</v>
      </c>
    </row>
    <row r="132" spans="1:4" x14ac:dyDescent="0.35">
      <c r="A132" s="658" t="s">
        <v>1310</v>
      </c>
      <c r="D132" s="658" t="str">
        <f>'G-1 All Habitats'!B123</f>
        <v>Intertidal sediment - Artificial littoral seagrass</v>
      </c>
    </row>
    <row r="133" spans="1:4" x14ac:dyDescent="0.35">
      <c r="A133" s="658" t="s">
        <v>1311</v>
      </c>
      <c r="D133" s="658" t="str">
        <f>'G-1 All Habitats'!B124</f>
        <v>Intertidal sediment - Artificial littoral biogenic reefs</v>
      </c>
    </row>
    <row r="134" spans="1:4" x14ac:dyDescent="0.35">
      <c r="A134" s="658" t="s">
        <v>1312</v>
      </c>
      <c r="D134" s="658" t="e">
        <f>'G-1 All Habitats'!#REF!</f>
        <v>#REF!</v>
      </c>
    </row>
    <row r="135" spans="1:4" x14ac:dyDescent="0.35">
      <c r="A135" s="658" t="s">
        <v>1313</v>
      </c>
      <c r="D135" s="658" t="e">
        <f>'G-1 All Habitats'!#REF!</f>
        <v>#REF!</v>
      </c>
    </row>
    <row r="136" spans="1:4" x14ac:dyDescent="0.35">
      <c r="A136" s="658" t="s">
        <v>1314</v>
      </c>
      <c r="D136" s="658">
        <f>'G-1 All Habitats'!B130</f>
        <v>0</v>
      </c>
    </row>
    <row r="137" spans="1:4" x14ac:dyDescent="0.35">
      <c r="A137" s="658" t="s">
        <v>1315</v>
      </c>
      <c r="D137" s="658">
        <f>'G-1 All Habitats'!B131</f>
        <v>0</v>
      </c>
    </row>
    <row r="138" spans="1:4" x14ac:dyDescent="0.35">
      <c r="A138" s="658" t="s">
        <v>1316</v>
      </c>
      <c r="D138" s="658">
        <f>'G-1 All Habitats'!B132</f>
        <v>0</v>
      </c>
    </row>
    <row r="139" spans="1:4" x14ac:dyDescent="0.35">
      <c r="A139" s="658" t="s">
        <v>1317</v>
      </c>
      <c r="D139" s="658">
        <f>'G-1 All Habitats'!B133</f>
        <v>0</v>
      </c>
    </row>
    <row r="140" spans="1:4" x14ac:dyDescent="0.35">
      <c r="A140" s="658" t="s">
        <v>1318</v>
      </c>
      <c r="D140" s="658">
        <f>'G-1 All Habitats'!B134</f>
        <v>0</v>
      </c>
    </row>
    <row r="141" spans="1:4" x14ac:dyDescent="0.35">
      <c r="A141" s="658" t="s">
        <v>1319</v>
      </c>
      <c r="D141" s="658">
        <f>'G-1 All Habitats'!B135</f>
        <v>0</v>
      </c>
    </row>
    <row r="142" spans="1:4" x14ac:dyDescent="0.35">
      <c r="A142" s="658" t="s">
        <v>1320</v>
      </c>
      <c r="D142" s="658">
        <f>'G-1 All Habitats'!B136</f>
        <v>0</v>
      </c>
    </row>
    <row r="143" spans="1:4" x14ac:dyDescent="0.35">
      <c r="A143" s="658" t="s">
        <v>1321</v>
      </c>
      <c r="D143" s="658">
        <f>'G-1 All Habitats'!B137</f>
        <v>0</v>
      </c>
    </row>
    <row r="144" spans="1:4" x14ac:dyDescent="0.35">
      <c r="A144" s="658" t="s">
        <v>1322</v>
      </c>
      <c r="D144" s="658">
        <f>'G-1 All Habitats'!B138</f>
        <v>0</v>
      </c>
    </row>
    <row r="145" spans="1:4" x14ac:dyDescent="0.35">
      <c r="A145" s="658" t="s">
        <v>1323</v>
      </c>
      <c r="D145" s="658">
        <f>'G-1 All Habitats'!B139</f>
        <v>0</v>
      </c>
    </row>
    <row r="146" spans="1:4" x14ac:dyDescent="0.35">
      <c r="A146" s="658" t="s">
        <v>1324</v>
      </c>
      <c r="D146" s="658">
        <f>'G-1 All Habitats'!B140</f>
        <v>0</v>
      </c>
    </row>
    <row r="147" spans="1:4" x14ac:dyDescent="0.35">
      <c r="A147" s="658" t="s">
        <v>1325</v>
      </c>
      <c r="D147" s="658">
        <f>'G-1 All Habitats'!B141</f>
        <v>0</v>
      </c>
    </row>
    <row r="148" spans="1:4" x14ac:dyDescent="0.35">
      <c r="A148" s="658" t="s">
        <v>1326</v>
      </c>
      <c r="D148" s="658">
        <f>'G-1 All Habitats'!B142</f>
        <v>0</v>
      </c>
    </row>
    <row r="149" spans="1:4" x14ac:dyDescent="0.35">
      <c r="A149" s="658" t="s">
        <v>1327</v>
      </c>
      <c r="D149" s="658">
        <f>'G-1 All Habitats'!B143</f>
        <v>0</v>
      </c>
    </row>
    <row r="150" spans="1:4" x14ac:dyDescent="0.35">
      <c r="A150" s="658" t="s">
        <v>1328</v>
      </c>
      <c r="D150" s="658">
        <f>'G-1 All Habitats'!B144</f>
        <v>0</v>
      </c>
    </row>
    <row r="151" spans="1:4" x14ac:dyDescent="0.35">
      <c r="A151" s="658" t="s">
        <v>1329</v>
      </c>
      <c r="D151" s="658">
        <f>'G-1 All Habitats'!B145</f>
        <v>0</v>
      </c>
    </row>
    <row r="152" spans="1:4" x14ac:dyDescent="0.35">
      <c r="A152" s="658" t="s">
        <v>1330</v>
      </c>
      <c r="D152" s="658">
        <f>'G-1 All Habitats'!B146</f>
        <v>0</v>
      </c>
    </row>
    <row r="153" spans="1:4" x14ac:dyDescent="0.35">
      <c r="A153" s="658" t="s">
        <v>1331</v>
      </c>
      <c r="D153" s="658">
        <f>'G-1 All Habitats'!B147</f>
        <v>0</v>
      </c>
    </row>
    <row r="154" spans="1:4" x14ac:dyDescent="0.35">
      <c r="A154" s="658" t="s">
        <v>1332</v>
      </c>
      <c r="D154" s="658">
        <f>'G-1 All Habitats'!B148</f>
        <v>0</v>
      </c>
    </row>
    <row r="155" spans="1:4" x14ac:dyDescent="0.35">
      <c r="A155" s="658" t="s">
        <v>1333</v>
      </c>
      <c r="D155" s="658">
        <f>'G-1 All Habitats'!B149</f>
        <v>0</v>
      </c>
    </row>
    <row r="156" spans="1:4" x14ac:dyDescent="0.35">
      <c r="A156" s="658" t="s">
        <v>1334</v>
      </c>
      <c r="D156" s="658">
        <f>'G-1 All Habitats'!B150</f>
        <v>0</v>
      </c>
    </row>
    <row r="157" spans="1:4" x14ac:dyDescent="0.35">
      <c r="A157" s="658" t="s">
        <v>1335</v>
      </c>
    </row>
    <row r="158" spans="1:4" x14ac:dyDescent="0.35">
      <c r="A158" s="658" t="s">
        <v>1336</v>
      </c>
    </row>
    <row r="159" spans="1:4" x14ac:dyDescent="0.35">
      <c r="A159" s="658" t="s">
        <v>1337</v>
      </c>
    </row>
    <row r="160" spans="1:4" x14ac:dyDescent="0.35">
      <c r="A160" s="658" t="s">
        <v>1338</v>
      </c>
    </row>
    <row r="161" spans="1:1" x14ac:dyDescent="0.35">
      <c r="A161" s="658" t="s">
        <v>1339</v>
      </c>
    </row>
    <row r="162" spans="1:1" x14ac:dyDescent="0.35">
      <c r="A162" s="658" t="s">
        <v>1340</v>
      </c>
    </row>
    <row r="163" spans="1:1" x14ac:dyDescent="0.35">
      <c r="A163" s="658" t="s">
        <v>1341</v>
      </c>
    </row>
    <row r="164" spans="1:1" x14ac:dyDescent="0.35">
      <c r="A164" s="658" t="s">
        <v>1342</v>
      </c>
    </row>
    <row r="165" spans="1:1" x14ac:dyDescent="0.35">
      <c r="A165" s="658" t="s">
        <v>1343</v>
      </c>
    </row>
    <row r="166" spans="1:1" x14ac:dyDescent="0.35">
      <c r="A166" s="658" t="s">
        <v>1344</v>
      </c>
    </row>
    <row r="167" spans="1:1" x14ac:dyDescent="0.35">
      <c r="A167" s="658" t="s">
        <v>1345</v>
      </c>
    </row>
    <row r="168" spans="1:1" x14ac:dyDescent="0.35">
      <c r="A168" s="658" t="s">
        <v>1346</v>
      </c>
    </row>
    <row r="169" spans="1:1" x14ac:dyDescent="0.35">
      <c r="A169" s="658" t="s">
        <v>1347</v>
      </c>
    </row>
    <row r="170" spans="1:1" x14ac:dyDescent="0.35">
      <c r="A170" s="658" t="s">
        <v>1348</v>
      </c>
    </row>
    <row r="171" spans="1:1" x14ac:dyDescent="0.35">
      <c r="A171" s="658" t="s">
        <v>1349</v>
      </c>
    </row>
    <row r="172" spans="1:1" x14ac:dyDescent="0.35">
      <c r="A172" s="658" t="s">
        <v>1350</v>
      </c>
    </row>
    <row r="173" spans="1:1" x14ac:dyDescent="0.35">
      <c r="A173" s="658" t="s">
        <v>1351</v>
      </c>
    </row>
    <row r="174" spans="1:1" x14ac:dyDescent="0.35">
      <c r="A174" s="658" t="s">
        <v>1352</v>
      </c>
    </row>
    <row r="175" spans="1:1" x14ac:dyDescent="0.35">
      <c r="A175" s="658" t="s">
        <v>1353</v>
      </c>
    </row>
    <row r="176" spans="1:1" x14ac:dyDescent="0.35">
      <c r="A176" s="658" t="s">
        <v>1354</v>
      </c>
    </row>
    <row r="177" spans="1:1" x14ac:dyDescent="0.35">
      <c r="A177" s="658" t="s">
        <v>1355</v>
      </c>
    </row>
    <row r="178" spans="1:1" x14ac:dyDescent="0.35">
      <c r="A178" s="658" t="s">
        <v>1356</v>
      </c>
    </row>
    <row r="179" spans="1:1" x14ac:dyDescent="0.35">
      <c r="A179" s="658" t="s">
        <v>1357</v>
      </c>
    </row>
    <row r="180" spans="1:1" x14ac:dyDescent="0.35">
      <c r="A180" s="658" t="s">
        <v>1358</v>
      </c>
    </row>
    <row r="181" spans="1:1" x14ac:dyDescent="0.35">
      <c r="A181" s="658" t="s">
        <v>1359</v>
      </c>
    </row>
    <row r="182" spans="1:1" x14ac:dyDescent="0.35">
      <c r="A182" s="658" t="s">
        <v>1360</v>
      </c>
    </row>
    <row r="183" spans="1:1" x14ac:dyDescent="0.35">
      <c r="A183" s="658" t="s">
        <v>1361</v>
      </c>
    </row>
    <row r="184" spans="1:1" x14ac:dyDescent="0.35">
      <c r="A184" s="658" t="s">
        <v>1362</v>
      </c>
    </row>
    <row r="185" spans="1:1" x14ac:dyDescent="0.35">
      <c r="A185" s="658" t="s">
        <v>1363</v>
      </c>
    </row>
    <row r="186" spans="1:1" x14ac:dyDescent="0.35">
      <c r="A186" s="658" t="s">
        <v>1364</v>
      </c>
    </row>
    <row r="187" spans="1:1" x14ac:dyDescent="0.35">
      <c r="A187" s="658" t="s">
        <v>1365</v>
      </c>
    </row>
    <row r="188" spans="1:1" x14ac:dyDescent="0.35">
      <c r="A188" s="658" t="s">
        <v>1366</v>
      </c>
    </row>
    <row r="189" spans="1:1" x14ac:dyDescent="0.35">
      <c r="A189" s="658" t="s">
        <v>1367</v>
      </c>
    </row>
    <row r="190" spans="1:1" x14ac:dyDescent="0.35">
      <c r="A190" s="658" t="s">
        <v>1368</v>
      </c>
    </row>
    <row r="191" spans="1:1" x14ac:dyDescent="0.35">
      <c r="A191" s="658" t="s">
        <v>1369</v>
      </c>
    </row>
    <row r="192" spans="1:1" x14ac:dyDescent="0.35">
      <c r="A192" s="658" t="s">
        <v>1370</v>
      </c>
    </row>
    <row r="193" spans="1:1" x14ac:dyDescent="0.35">
      <c r="A193" s="658" t="s">
        <v>1371</v>
      </c>
    </row>
    <row r="194" spans="1:1" x14ac:dyDescent="0.35">
      <c r="A194" s="658" t="s">
        <v>1372</v>
      </c>
    </row>
    <row r="195" spans="1:1" x14ac:dyDescent="0.35">
      <c r="A195" s="658" t="s">
        <v>1373</v>
      </c>
    </row>
    <row r="196" spans="1:1" x14ac:dyDescent="0.35">
      <c r="A196" s="658" t="s">
        <v>1374</v>
      </c>
    </row>
    <row r="197" spans="1:1" x14ac:dyDescent="0.35">
      <c r="A197" s="658" t="s">
        <v>1375</v>
      </c>
    </row>
    <row r="198" spans="1:1" x14ac:dyDescent="0.35">
      <c r="A198" s="658" t="s">
        <v>1376</v>
      </c>
    </row>
    <row r="199" spans="1:1" x14ac:dyDescent="0.35">
      <c r="A199" s="658" t="s">
        <v>1377</v>
      </c>
    </row>
    <row r="200" spans="1:1" x14ac:dyDescent="0.35">
      <c r="A200" s="658" t="s">
        <v>1378</v>
      </c>
    </row>
    <row r="201" spans="1:1" x14ac:dyDescent="0.35">
      <c r="A201" s="658" t="s">
        <v>1379</v>
      </c>
    </row>
    <row r="202" spans="1:1" x14ac:dyDescent="0.35">
      <c r="A202" s="658" t="s">
        <v>1380</v>
      </c>
    </row>
    <row r="203" spans="1:1" x14ac:dyDescent="0.35">
      <c r="A203" s="658" t="s">
        <v>1381</v>
      </c>
    </row>
    <row r="204" spans="1:1" x14ac:dyDescent="0.35">
      <c r="A204" s="658" t="s">
        <v>1382</v>
      </c>
    </row>
    <row r="205" spans="1:1" x14ac:dyDescent="0.35">
      <c r="A205" s="658" t="s">
        <v>1383</v>
      </c>
    </row>
    <row r="206" spans="1:1" x14ac:dyDescent="0.35">
      <c r="A206" s="658" t="s">
        <v>1384</v>
      </c>
    </row>
    <row r="207" spans="1:1" x14ac:dyDescent="0.35">
      <c r="A207" s="658" t="s">
        <v>1385</v>
      </c>
    </row>
    <row r="208" spans="1:1" x14ac:dyDescent="0.35">
      <c r="A208" s="658" t="s">
        <v>1386</v>
      </c>
    </row>
    <row r="209" spans="1:1" x14ac:dyDescent="0.35">
      <c r="A209" s="658" t="s">
        <v>1387</v>
      </c>
    </row>
    <row r="210" spans="1:1" x14ac:dyDescent="0.35">
      <c r="A210" s="658" t="s">
        <v>1388</v>
      </c>
    </row>
    <row r="211" spans="1:1" x14ac:dyDescent="0.35">
      <c r="A211" s="658" t="s">
        <v>1389</v>
      </c>
    </row>
    <row r="212" spans="1:1" x14ac:dyDescent="0.35">
      <c r="A212" s="658" t="s">
        <v>1390</v>
      </c>
    </row>
    <row r="213" spans="1:1" x14ac:dyDescent="0.35">
      <c r="A213" s="658" t="s">
        <v>1391</v>
      </c>
    </row>
    <row r="214" spans="1:1" x14ac:dyDescent="0.35">
      <c r="A214" s="658" t="s">
        <v>1392</v>
      </c>
    </row>
    <row r="215" spans="1:1" x14ac:dyDescent="0.35">
      <c r="A215" s="658" t="s">
        <v>1393</v>
      </c>
    </row>
    <row r="216" spans="1:1" x14ac:dyDescent="0.35">
      <c r="A216" s="658" t="s">
        <v>1394</v>
      </c>
    </row>
    <row r="217" spans="1:1" x14ac:dyDescent="0.35">
      <c r="A217" s="658" t="s">
        <v>1395</v>
      </c>
    </row>
    <row r="218" spans="1:1" x14ac:dyDescent="0.35">
      <c r="A218" s="658" t="s">
        <v>1396</v>
      </c>
    </row>
    <row r="219" spans="1:1" x14ac:dyDescent="0.35">
      <c r="A219" s="658" t="s">
        <v>1397</v>
      </c>
    </row>
    <row r="220" spans="1:1" x14ac:dyDescent="0.35">
      <c r="A220" s="658" t="s">
        <v>1398</v>
      </c>
    </row>
    <row r="221" spans="1:1" x14ac:dyDescent="0.35">
      <c r="A221" s="658" t="s">
        <v>1399</v>
      </c>
    </row>
    <row r="222" spans="1:1" x14ac:dyDescent="0.35">
      <c r="A222" s="658" t="s">
        <v>1400</v>
      </c>
    </row>
    <row r="223" spans="1:1" x14ac:dyDescent="0.35">
      <c r="A223" s="658" t="s">
        <v>1401</v>
      </c>
    </row>
    <row r="224" spans="1:1" x14ac:dyDescent="0.35">
      <c r="A224" s="658" t="s">
        <v>1402</v>
      </c>
    </row>
    <row r="225" spans="1:1" x14ac:dyDescent="0.35">
      <c r="A225" s="658" t="s">
        <v>1403</v>
      </c>
    </row>
    <row r="226" spans="1:1" x14ac:dyDescent="0.35">
      <c r="A226" s="658" t="s">
        <v>1404</v>
      </c>
    </row>
    <row r="227" spans="1:1" x14ac:dyDescent="0.35">
      <c r="A227" s="658" t="s">
        <v>1405</v>
      </c>
    </row>
    <row r="228" spans="1:1" x14ac:dyDescent="0.35">
      <c r="A228" s="658" t="s">
        <v>1406</v>
      </c>
    </row>
    <row r="229" spans="1:1" x14ac:dyDescent="0.35">
      <c r="A229" s="658" t="s">
        <v>1407</v>
      </c>
    </row>
    <row r="230" spans="1:1" x14ac:dyDescent="0.35">
      <c r="A230" s="658" t="s">
        <v>1408</v>
      </c>
    </row>
    <row r="231" spans="1:1" x14ac:dyDescent="0.35">
      <c r="A231" s="658" t="s">
        <v>1409</v>
      </c>
    </row>
    <row r="232" spans="1:1" x14ac:dyDescent="0.35">
      <c r="A232" s="658" t="s">
        <v>1410</v>
      </c>
    </row>
    <row r="233" spans="1:1" x14ac:dyDescent="0.35">
      <c r="A233" s="658" t="s">
        <v>1411</v>
      </c>
    </row>
    <row r="234" spans="1:1" x14ac:dyDescent="0.35">
      <c r="A234" s="658" t="s">
        <v>1412</v>
      </c>
    </row>
    <row r="235" spans="1:1" x14ac:dyDescent="0.35">
      <c r="A235" s="658" t="s">
        <v>1413</v>
      </c>
    </row>
    <row r="236" spans="1:1" x14ac:dyDescent="0.35">
      <c r="A236" s="658" t="s">
        <v>1414</v>
      </c>
    </row>
    <row r="237" spans="1:1" x14ac:dyDescent="0.35">
      <c r="A237" s="658" t="s">
        <v>1415</v>
      </c>
    </row>
    <row r="238" spans="1:1" x14ac:dyDescent="0.35">
      <c r="A238" s="658" t="s">
        <v>1416</v>
      </c>
    </row>
    <row r="239" spans="1:1" x14ac:dyDescent="0.35">
      <c r="A239" s="658" t="s">
        <v>1417</v>
      </c>
    </row>
    <row r="240" spans="1:1" x14ac:dyDescent="0.35">
      <c r="A240" s="658" t="s">
        <v>1418</v>
      </c>
    </row>
    <row r="241" spans="1:1" x14ac:dyDescent="0.35">
      <c r="A241" s="658" t="s">
        <v>1419</v>
      </c>
    </row>
    <row r="242" spans="1:1" x14ac:dyDescent="0.35">
      <c r="A242" s="658" t="s">
        <v>1420</v>
      </c>
    </row>
    <row r="243" spans="1:1" x14ac:dyDescent="0.35">
      <c r="A243" s="658" t="s">
        <v>1421</v>
      </c>
    </row>
    <row r="244" spans="1:1" x14ac:dyDescent="0.35">
      <c r="A244" s="658" t="s">
        <v>1422</v>
      </c>
    </row>
    <row r="245" spans="1:1" x14ac:dyDescent="0.35">
      <c r="A245" s="658" t="s">
        <v>1423</v>
      </c>
    </row>
    <row r="246" spans="1:1" x14ac:dyDescent="0.35">
      <c r="A246" s="658" t="s">
        <v>1424</v>
      </c>
    </row>
    <row r="247" spans="1:1" x14ac:dyDescent="0.35">
      <c r="A247" s="658" t="s">
        <v>1425</v>
      </c>
    </row>
    <row r="248" spans="1:1" x14ac:dyDescent="0.35">
      <c r="A248" s="658" t="s">
        <v>1426</v>
      </c>
    </row>
    <row r="249" spans="1:1" x14ac:dyDescent="0.35">
      <c r="A249" s="658" t="s">
        <v>1427</v>
      </c>
    </row>
    <row r="250" spans="1:1" x14ac:dyDescent="0.35">
      <c r="A250" s="658" t="s">
        <v>1428</v>
      </c>
    </row>
    <row r="251" spans="1:1" x14ac:dyDescent="0.35">
      <c r="A251" s="658" t="s">
        <v>1429</v>
      </c>
    </row>
    <row r="252" spans="1:1" x14ac:dyDescent="0.35">
      <c r="A252" s="658" t="s">
        <v>1430</v>
      </c>
    </row>
    <row r="253" spans="1:1" x14ac:dyDescent="0.35">
      <c r="A253" s="658" t="s">
        <v>1431</v>
      </c>
    </row>
    <row r="254" spans="1:1" x14ac:dyDescent="0.35">
      <c r="A254" s="658" t="s">
        <v>1432</v>
      </c>
    </row>
    <row r="255" spans="1:1" x14ac:dyDescent="0.35">
      <c r="A255" s="658" t="s">
        <v>1433</v>
      </c>
    </row>
    <row r="256" spans="1:1" x14ac:dyDescent="0.35">
      <c r="A256" s="658" t="s">
        <v>1434</v>
      </c>
    </row>
    <row r="257" spans="1:1" x14ac:dyDescent="0.35">
      <c r="A257" s="658" t="s">
        <v>1435</v>
      </c>
    </row>
    <row r="258" spans="1:1" x14ac:dyDescent="0.35">
      <c r="A258" s="658" t="s">
        <v>1436</v>
      </c>
    </row>
    <row r="259" spans="1:1" x14ac:dyDescent="0.35">
      <c r="A259" s="658" t="s">
        <v>1437</v>
      </c>
    </row>
    <row r="260" spans="1:1" x14ac:dyDescent="0.35">
      <c r="A260" s="658" t="s">
        <v>1438</v>
      </c>
    </row>
    <row r="261" spans="1:1" x14ac:dyDescent="0.35">
      <c r="A261" s="658" t="s">
        <v>1439</v>
      </c>
    </row>
    <row r="262" spans="1:1" x14ac:dyDescent="0.35">
      <c r="A262" s="658" t="s">
        <v>1440</v>
      </c>
    </row>
    <row r="263" spans="1:1" x14ac:dyDescent="0.35">
      <c r="A263" s="658" t="s">
        <v>1441</v>
      </c>
    </row>
    <row r="264" spans="1:1" x14ac:dyDescent="0.35">
      <c r="A264" s="658" t="s">
        <v>1442</v>
      </c>
    </row>
    <row r="265" spans="1:1" x14ac:dyDescent="0.35">
      <c r="A265" s="658" t="s">
        <v>1443</v>
      </c>
    </row>
    <row r="266" spans="1:1" x14ac:dyDescent="0.35">
      <c r="A266" s="658" t="s">
        <v>1444</v>
      </c>
    </row>
    <row r="267" spans="1:1" x14ac:dyDescent="0.35">
      <c r="A267" s="658" t="s">
        <v>1445</v>
      </c>
    </row>
    <row r="268" spans="1:1" x14ac:dyDescent="0.35">
      <c r="A268" s="658" t="s">
        <v>1446</v>
      </c>
    </row>
    <row r="269" spans="1:1" x14ac:dyDescent="0.35">
      <c r="A269" s="658" t="s">
        <v>1447</v>
      </c>
    </row>
    <row r="270" spans="1:1" x14ac:dyDescent="0.35">
      <c r="A270" s="658" t="s">
        <v>1448</v>
      </c>
    </row>
    <row r="271" spans="1:1" x14ac:dyDescent="0.35">
      <c r="A271" s="658" t="s">
        <v>1449</v>
      </c>
    </row>
    <row r="272" spans="1:1" x14ac:dyDescent="0.35">
      <c r="A272" s="658" t="s">
        <v>1450</v>
      </c>
    </row>
    <row r="273" spans="1:1" x14ac:dyDescent="0.35">
      <c r="A273" s="658" t="s">
        <v>1451</v>
      </c>
    </row>
    <row r="274" spans="1:1" x14ac:dyDescent="0.35">
      <c r="A274" s="658" t="s">
        <v>1452</v>
      </c>
    </row>
    <row r="275" spans="1:1" x14ac:dyDescent="0.35">
      <c r="A275" s="658" t="s">
        <v>1453</v>
      </c>
    </row>
    <row r="276" spans="1:1" x14ac:dyDescent="0.35">
      <c r="A276" s="658" t="s">
        <v>1454</v>
      </c>
    </row>
    <row r="277" spans="1:1" x14ac:dyDescent="0.35">
      <c r="A277" s="658" t="s">
        <v>1455</v>
      </c>
    </row>
    <row r="278" spans="1:1" x14ac:dyDescent="0.35">
      <c r="A278" s="658" t="s">
        <v>1456</v>
      </c>
    </row>
    <row r="279" spans="1:1" x14ac:dyDescent="0.35">
      <c r="A279" s="658" t="s">
        <v>1457</v>
      </c>
    </row>
    <row r="280" spans="1:1" x14ac:dyDescent="0.35">
      <c r="A280" s="658" t="s">
        <v>1458</v>
      </c>
    </row>
    <row r="281" spans="1:1" x14ac:dyDescent="0.35">
      <c r="A281" s="658" t="s">
        <v>1459</v>
      </c>
    </row>
    <row r="282" spans="1:1" x14ac:dyDescent="0.35">
      <c r="A282" s="658" t="s">
        <v>1460</v>
      </c>
    </row>
    <row r="283" spans="1:1" x14ac:dyDescent="0.35">
      <c r="A283" s="658" t="s">
        <v>1461</v>
      </c>
    </row>
    <row r="284" spans="1:1" x14ac:dyDescent="0.35">
      <c r="A284" s="658" t="s">
        <v>1462</v>
      </c>
    </row>
    <row r="285" spans="1:1" x14ac:dyDescent="0.35">
      <c r="A285" s="658" t="s">
        <v>1463</v>
      </c>
    </row>
    <row r="286" spans="1:1" x14ac:dyDescent="0.35">
      <c r="A286" s="658" t="s">
        <v>1464</v>
      </c>
    </row>
    <row r="287" spans="1:1" x14ac:dyDescent="0.35">
      <c r="A287" s="658" t="s">
        <v>1465</v>
      </c>
    </row>
    <row r="288" spans="1:1" x14ac:dyDescent="0.35">
      <c r="A288" s="658" t="s">
        <v>1466</v>
      </c>
    </row>
    <row r="289" spans="1:1" x14ac:dyDescent="0.35">
      <c r="A289" s="658" t="s">
        <v>1467</v>
      </c>
    </row>
    <row r="290" spans="1:1" x14ac:dyDescent="0.35">
      <c r="A290" s="658" t="s">
        <v>1468</v>
      </c>
    </row>
    <row r="291" spans="1:1" x14ac:dyDescent="0.35">
      <c r="A291" s="658" t="s">
        <v>1469</v>
      </c>
    </row>
    <row r="292" spans="1:1" x14ac:dyDescent="0.35">
      <c r="A292" s="658" t="s">
        <v>1470</v>
      </c>
    </row>
    <row r="293" spans="1:1" x14ac:dyDescent="0.35">
      <c r="A293" s="658" t="s">
        <v>1471</v>
      </c>
    </row>
    <row r="294" spans="1:1" x14ac:dyDescent="0.35">
      <c r="A294" s="658" t="s">
        <v>1472</v>
      </c>
    </row>
    <row r="295" spans="1:1" x14ac:dyDescent="0.35">
      <c r="A295" s="658" t="s">
        <v>1473</v>
      </c>
    </row>
    <row r="296" spans="1:1" x14ac:dyDescent="0.35">
      <c r="A296" s="658" t="s">
        <v>1474</v>
      </c>
    </row>
    <row r="297" spans="1:1" x14ac:dyDescent="0.35">
      <c r="A297" s="658" t="s">
        <v>1475</v>
      </c>
    </row>
    <row r="298" spans="1:1" x14ac:dyDescent="0.35">
      <c r="A298" s="658" t="s">
        <v>1476</v>
      </c>
    </row>
    <row r="299" spans="1:1" x14ac:dyDescent="0.35">
      <c r="A299" s="658" t="s">
        <v>1477</v>
      </c>
    </row>
    <row r="300" spans="1:1" x14ac:dyDescent="0.35">
      <c r="A300" s="658" t="s">
        <v>1478</v>
      </c>
    </row>
    <row r="301" spans="1:1" x14ac:dyDescent="0.35">
      <c r="A301" s="658" t="s">
        <v>1479</v>
      </c>
    </row>
    <row r="302" spans="1:1" x14ac:dyDescent="0.35">
      <c r="A302" s="658" t="s">
        <v>1480</v>
      </c>
    </row>
    <row r="303" spans="1:1" x14ac:dyDescent="0.35">
      <c r="A303" s="658" t="s">
        <v>1481</v>
      </c>
    </row>
    <row r="304" spans="1:1" x14ac:dyDescent="0.35">
      <c r="A304" s="658" t="s">
        <v>1482</v>
      </c>
    </row>
    <row r="305" spans="1:1" x14ac:dyDescent="0.35">
      <c r="A305" s="658" t="s">
        <v>1483</v>
      </c>
    </row>
    <row r="306" spans="1:1" x14ac:dyDescent="0.35">
      <c r="A306" s="658" t="s">
        <v>1484</v>
      </c>
    </row>
    <row r="307" spans="1:1" x14ac:dyDescent="0.35">
      <c r="A307" s="658" t="s">
        <v>1485</v>
      </c>
    </row>
    <row r="308" spans="1:1" x14ac:dyDescent="0.35">
      <c r="A308" s="658" t="s">
        <v>1486</v>
      </c>
    </row>
    <row r="309" spans="1:1" x14ac:dyDescent="0.35">
      <c r="A309" s="658" t="s">
        <v>1487</v>
      </c>
    </row>
    <row r="310" spans="1:1" x14ac:dyDescent="0.35">
      <c r="A310" s="658" t="s">
        <v>1488</v>
      </c>
    </row>
    <row r="311" spans="1:1" x14ac:dyDescent="0.35">
      <c r="A311" s="658" t="s">
        <v>1489</v>
      </c>
    </row>
    <row r="312" spans="1:1" x14ac:dyDescent="0.35">
      <c r="A312" s="658" t="s">
        <v>1490</v>
      </c>
    </row>
    <row r="313" spans="1:1" x14ac:dyDescent="0.35">
      <c r="A313" s="658" t="s">
        <v>1491</v>
      </c>
    </row>
    <row r="314" spans="1:1" x14ac:dyDescent="0.35">
      <c r="A314" s="658" t="s">
        <v>1492</v>
      </c>
    </row>
    <row r="315" spans="1:1" x14ac:dyDescent="0.35">
      <c r="A315" s="658" t="s">
        <v>1493</v>
      </c>
    </row>
    <row r="316" spans="1:1" x14ac:dyDescent="0.35">
      <c r="A316" s="658" t="s">
        <v>1494</v>
      </c>
    </row>
    <row r="317" spans="1:1" x14ac:dyDescent="0.35">
      <c r="A317" s="658" t="s">
        <v>1495</v>
      </c>
    </row>
    <row r="318" spans="1:1" x14ac:dyDescent="0.35">
      <c r="A318" s="658" t="s">
        <v>1496</v>
      </c>
    </row>
    <row r="319" spans="1:1" x14ac:dyDescent="0.35">
      <c r="A319" s="658" t="s">
        <v>1497</v>
      </c>
    </row>
    <row r="320" spans="1:1" x14ac:dyDescent="0.35">
      <c r="A320" s="658" t="s">
        <v>1498</v>
      </c>
    </row>
    <row r="321" spans="1:1" x14ac:dyDescent="0.35">
      <c r="A321" s="658" t="s">
        <v>1499</v>
      </c>
    </row>
    <row r="322" spans="1:1" x14ac:dyDescent="0.35">
      <c r="A322" s="658" t="s">
        <v>1500</v>
      </c>
    </row>
    <row r="323" spans="1:1" x14ac:dyDescent="0.35">
      <c r="A323" s="658" t="s">
        <v>1501</v>
      </c>
    </row>
    <row r="324" spans="1:1" x14ac:dyDescent="0.35">
      <c r="A324" s="658" t="s">
        <v>1502</v>
      </c>
    </row>
    <row r="325" spans="1:1" x14ac:dyDescent="0.35">
      <c r="A325" s="658" t="s">
        <v>1503</v>
      </c>
    </row>
    <row r="326" spans="1:1" x14ac:dyDescent="0.35">
      <c r="A326" s="658" t="s">
        <v>1504</v>
      </c>
    </row>
    <row r="327" spans="1:1" x14ac:dyDescent="0.35">
      <c r="A327" s="658" t="s">
        <v>1505</v>
      </c>
    </row>
    <row r="328" spans="1:1" x14ac:dyDescent="0.35">
      <c r="A328" s="658" t="s">
        <v>1506</v>
      </c>
    </row>
    <row r="329" spans="1:1" x14ac:dyDescent="0.35">
      <c r="A329" s="658" t="s">
        <v>1507</v>
      </c>
    </row>
    <row r="330" spans="1:1" x14ac:dyDescent="0.35">
      <c r="A330" s="658" t="s">
        <v>1508</v>
      </c>
    </row>
    <row r="331" spans="1:1" x14ac:dyDescent="0.35">
      <c r="A331" s="658" t="s">
        <v>1509</v>
      </c>
    </row>
    <row r="332" spans="1:1" x14ac:dyDescent="0.35">
      <c r="A332" s="658" t="s">
        <v>1510</v>
      </c>
    </row>
    <row r="333" spans="1:1" x14ac:dyDescent="0.35">
      <c r="A333" s="658" t="s">
        <v>1511</v>
      </c>
    </row>
    <row r="334" spans="1:1" x14ac:dyDescent="0.35">
      <c r="A334" s="658" t="s">
        <v>1512</v>
      </c>
    </row>
    <row r="335" spans="1:1" x14ac:dyDescent="0.35">
      <c r="A335" s="658" t="s">
        <v>1513</v>
      </c>
    </row>
    <row r="336" spans="1:1" x14ac:dyDescent="0.35">
      <c r="A336" s="658" t="s">
        <v>1514</v>
      </c>
    </row>
    <row r="337" spans="1:1" x14ac:dyDescent="0.35">
      <c r="A337" s="658" t="s">
        <v>1515</v>
      </c>
    </row>
    <row r="338" spans="1:1" x14ac:dyDescent="0.35">
      <c r="A338" s="658" t="s">
        <v>1516</v>
      </c>
    </row>
    <row r="339" spans="1:1" x14ac:dyDescent="0.35">
      <c r="A339" s="658" t="s">
        <v>1517</v>
      </c>
    </row>
    <row r="340" spans="1:1" x14ac:dyDescent="0.35">
      <c r="A340" s="658" t="s">
        <v>1518</v>
      </c>
    </row>
    <row r="341" spans="1:1" x14ac:dyDescent="0.35">
      <c r="A341" s="658" t="s">
        <v>1519</v>
      </c>
    </row>
    <row r="342" spans="1:1" x14ac:dyDescent="0.35">
      <c r="A342" s="658" t="s">
        <v>1520</v>
      </c>
    </row>
    <row r="343" spans="1:1" x14ac:dyDescent="0.35">
      <c r="A343" s="658" t="s">
        <v>1521</v>
      </c>
    </row>
    <row r="344" spans="1:1" x14ac:dyDescent="0.35">
      <c r="A344" s="658" t="s">
        <v>1522</v>
      </c>
    </row>
    <row r="345" spans="1:1" x14ac:dyDescent="0.35">
      <c r="A345" s="658" t="s">
        <v>1523</v>
      </c>
    </row>
    <row r="346" spans="1:1" x14ac:dyDescent="0.35">
      <c r="A346" s="658" t="s">
        <v>1524</v>
      </c>
    </row>
    <row r="347" spans="1:1" x14ac:dyDescent="0.35">
      <c r="A347" s="658" t="s">
        <v>1525</v>
      </c>
    </row>
    <row r="348" spans="1:1" x14ac:dyDescent="0.35">
      <c r="A348" s="658" t="s">
        <v>1526</v>
      </c>
    </row>
    <row r="349" spans="1:1" x14ac:dyDescent="0.35">
      <c r="A349" s="658" t="s">
        <v>1527</v>
      </c>
    </row>
    <row r="350" spans="1:1" x14ac:dyDescent="0.35">
      <c r="A350" s="658" t="s">
        <v>1528</v>
      </c>
    </row>
    <row r="351" spans="1:1" x14ac:dyDescent="0.35">
      <c r="A351" s="658" t="s">
        <v>1529</v>
      </c>
    </row>
    <row r="352" spans="1:1" x14ac:dyDescent="0.35">
      <c r="A352" s="658" t="s">
        <v>1530</v>
      </c>
    </row>
    <row r="353" spans="1:1" x14ac:dyDescent="0.35">
      <c r="A353" s="658" t="s">
        <v>1531</v>
      </c>
    </row>
    <row r="354" spans="1:1" x14ac:dyDescent="0.35">
      <c r="A354" s="658" t="s">
        <v>1532</v>
      </c>
    </row>
    <row r="355" spans="1:1" x14ac:dyDescent="0.35">
      <c r="A355" s="658" t="s">
        <v>1533</v>
      </c>
    </row>
    <row r="356" spans="1:1" x14ac:dyDescent="0.35">
      <c r="A356" s="658" t="s">
        <v>1534</v>
      </c>
    </row>
    <row r="357" spans="1:1" x14ac:dyDescent="0.35">
      <c r="A357" s="658" t="s">
        <v>1535</v>
      </c>
    </row>
    <row r="358" spans="1:1" x14ac:dyDescent="0.35">
      <c r="A358" s="658" t="s">
        <v>1536</v>
      </c>
    </row>
    <row r="359" spans="1:1" x14ac:dyDescent="0.35">
      <c r="A359" s="658" t="s">
        <v>1537</v>
      </c>
    </row>
    <row r="360" spans="1:1" x14ac:dyDescent="0.35">
      <c r="A360" s="658" t="s">
        <v>1538</v>
      </c>
    </row>
    <row r="361" spans="1:1" x14ac:dyDescent="0.35">
      <c r="A361" s="658" t="s">
        <v>1539</v>
      </c>
    </row>
    <row r="362" spans="1:1" x14ac:dyDescent="0.35">
      <c r="A362" s="658" t="s">
        <v>1540</v>
      </c>
    </row>
    <row r="363" spans="1:1" x14ac:dyDescent="0.35">
      <c r="A363" s="658" t="s">
        <v>1541</v>
      </c>
    </row>
    <row r="364" spans="1:1" x14ac:dyDescent="0.35">
      <c r="A364" s="658" t="s">
        <v>1542</v>
      </c>
    </row>
    <row r="365" spans="1:1" x14ac:dyDescent="0.35">
      <c r="A365" s="658" t="s">
        <v>1543</v>
      </c>
    </row>
    <row r="366" spans="1:1" x14ac:dyDescent="0.35">
      <c r="A366" s="658" t="s">
        <v>1544</v>
      </c>
    </row>
    <row r="367" spans="1:1" x14ac:dyDescent="0.35">
      <c r="A367" s="658" t="s">
        <v>1545</v>
      </c>
    </row>
    <row r="368" spans="1:1" x14ac:dyDescent="0.35">
      <c r="A368" s="658" t="s">
        <v>1546</v>
      </c>
    </row>
    <row r="369" spans="1:1" x14ac:dyDescent="0.35">
      <c r="A369" s="658" t="s">
        <v>1547</v>
      </c>
    </row>
    <row r="370" spans="1:1" x14ac:dyDescent="0.35">
      <c r="A370" s="658" t="s">
        <v>1548</v>
      </c>
    </row>
    <row r="371" spans="1:1" x14ac:dyDescent="0.35">
      <c r="A371" s="658" t="s">
        <v>1549</v>
      </c>
    </row>
    <row r="372" spans="1:1" x14ac:dyDescent="0.35">
      <c r="A372" s="658" t="s">
        <v>1550</v>
      </c>
    </row>
    <row r="373" spans="1:1" x14ac:dyDescent="0.35">
      <c r="A373" s="658" t="s">
        <v>1551</v>
      </c>
    </row>
    <row r="374" spans="1:1" x14ac:dyDescent="0.35">
      <c r="A374" s="658" t="s">
        <v>1552</v>
      </c>
    </row>
    <row r="375" spans="1:1" x14ac:dyDescent="0.35">
      <c r="A375" s="658" t="s">
        <v>1553</v>
      </c>
    </row>
    <row r="376" spans="1:1" x14ac:dyDescent="0.35">
      <c r="A376" s="658" t="s">
        <v>1554</v>
      </c>
    </row>
    <row r="377" spans="1:1" x14ac:dyDescent="0.35">
      <c r="A377" s="658" t="s">
        <v>1555</v>
      </c>
    </row>
    <row r="378" spans="1:1" x14ac:dyDescent="0.35">
      <c r="A378" s="658" t="s">
        <v>1556</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b500b4-ea49-4172-aab3-e342ea79bfc9" xsi:nil="true"/>
    <lcf76f155ced4ddcb4097134ff3c332f xmlns="8c95fa4d-3248-4f25-8c6b-278eb790076a">
      <Terms xmlns="http://schemas.microsoft.com/office/infopath/2007/PartnerControls"/>
    </lcf76f155ced4ddcb4097134ff3c332f>
    <CRMlink xmlns="8c95fa4d-3248-4f25-8c6b-278eb790076a">
      <Url xsi:nil="true"/>
      <Description xsi:nil="true"/>
    </CRM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E06C3369FE364EAC8306DCF269CE2A" ma:contentTypeVersion="21" ma:contentTypeDescription="Create a new document." ma:contentTypeScope="" ma:versionID="4c8badb380821a46abbbde10cda30f6b">
  <xsd:schema xmlns:xsd="http://www.w3.org/2001/XMLSchema" xmlns:xs="http://www.w3.org/2001/XMLSchema" xmlns:p="http://schemas.microsoft.com/office/2006/metadata/properties" xmlns:ns2="8c95fa4d-3248-4f25-8c6b-278eb790076a" xmlns:ns3="e4b500b4-ea49-4172-aab3-e342ea79bfc9" targetNamespace="http://schemas.microsoft.com/office/2006/metadata/properties" ma:root="true" ma:fieldsID="7e8e9e7d5bf750dbc7c4271eeaa6dc8d" ns2:_="" ns3:_="">
    <xsd:import namespace="8c95fa4d-3248-4f25-8c6b-278eb790076a"/>
    <xsd:import namespace="e4b500b4-ea49-4172-aab3-e342ea79bf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CRMlink"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95fa4d-3248-4f25-8c6b-278eb79007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CRMlink" ma:index="18" nillable="true" ma:displayName="CRM link" ma:format="Hyperlink" ma:internalName="CRMlink">
      <xsd:complexType>
        <xsd:complexContent>
          <xsd:extension base="dms:URL">
            <xsd:sequence>
              <xsd:element name="Url" type="dms:ValidUrl" minOccurs="0" nillable="true"/>
              <xsd:element name="Description" type="xsd:string" nillable="true"/>
            </xsd:sequence>
          </xsd:extension>
        </xsd:complexContent>
      </xsd:complex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6a8eb37-6332-4543-ba78-adc0e1807d8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b500b4-ea49-4172-aab3-e342ea79bfc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09167dd-9774-4dc7-b4cb-79d6b86b6160}" ma:internalName="TaxCatchAll" ma:showField="CatchAllData" ma:web="e4b500b4-ea49-4172-aab3-e342ea79bfc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D8E80E-3650-4921-9D0F-F779F71661B1}">
  <ds:schemaRef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fd0dcb9e-a681-455b-934b-a5ea0a6a29d9"/>
    <ds:schemaRef ds:uri="460a00e0-59c8-4e13-8d0f-47b735ab5c88"/>
    <ds:schemaRef ds:uri="e4b500b4-ea49-4172-aab3-e342ea79bfc9"/>
    <ds:schemaRef ds:uri="8c95fa4d-3248-4f25-8c6b-278eb790076a"/>
  </ds:schemaRefs>
</ds:datastoreItem>
</file>

<file path=customXml/itemProps2.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3.xml><?xml version="1.0" encoding="utf-8"?>
<ds:datastoreItem xmlns:ds="http://schemas.openxmlformats.org/officeDocument/2006/customXml" ds:itemID="{98D97AEF-92F0-4BD7-8D98-0FD8274C42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95fa4d-3248-4f25-8c6b-278eb790076a"/>
    <ds:schemaRef ds:uri="e4b500b4-ea49-4172-aab3-e342ea79b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Cait O'Dowd - AshtonHale</cp:lastModifiedBy>
  <cp:revision/>
  <dcterms:created xsi:type="dcterms:W3CDTF">2018-04-09T09:41:18Z</dcterms:created>
  <dcterms:modified xsi:type="dcterms:W3CDTF">2025-01-23T09:32:49Z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0x010100F3E06C3369FE364EAC8306DCF269CE2A</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ies>
</file>